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pivotTables/pivotTable6.xml" ContentType="application/vnd.openxmlformats-officedocument.spreadsheetml.pivotTable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6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Records6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  <Override PartName="/xl/pivotTables/pivotTable5.xml" ContentType="application/vnd.openxmlformats-officedocument.spreadsheetml.pivotTable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28515" windowHeight="13350" tabRatio="967" activeTab="1"/>
  </bookViews>
  <sheets>
    <sheet name="Report_Unternehmen" sheetId="17" r:id="rId1"/>
    <sheet name="Bewertung" sheetId="1" r:id="rId2"/>
    <sheet name="Schlußkurse" sheetId="13" r:id="rId3"/>
    <sheet name="Buchwert_je_Aktie" sheetId="14" r:id="rId4"/>
    <sheet name="Ergebnis_je_Aktie_verwässert" sheetId="3" r:id="rId5"/>
    <sheet name="Dividende_je_Aktie" sheetId="15" r:id="rId6"/>
    <sheet name="Aktien_im_Umlauf_splitbereinigt" sheetId="10" r:id="rId7"/>
    <sheet name="KGV" sheetId="2" r:id="rId8"/>
    <sheet name="KBV" sheetId="18" r:id="rId9"/>
    <sheet name="Dividendenrendite" sheetId="16" r:id="rId10"/>
    <sheet name="Fiktive_Dividende" sheetId="19" r:id="rId11"/>
    <sheet name="Ausschüttungsquote" sheetId="6" r:id="rId12"/>
    <sheet name="Bewertung_Stammdaten" sheetId="8" r:id="rId13"/>
    <sheet name="Bereinigung_offen" sheetId="12" r:id="rId14"/>
    <sheet name="Bereinigung" sheetId="9" r:id="rId15"/>
  </sheets>
  <definedNames>
    <definedName name="_xlnm._FilterDatabase" localSheetId="6" hidden="1">Aktien_im_Umlauf_splitbereinigt!$A$3:$AB$3</definedName>
    <definedName name="_xlnm._FilterDatabase" localSheetId="11" hidden="1">Ausschüttungsquote!$A$3:$AL$3</definedName>
    <definedName name="_xlnm._FilterDatabase" localSheetId="14" hidden="1">Bereinigung!$A$1:$P$256</definedName>
    <definedName name="_xlnm._FilterDatabase" localSheetId="13" hidden="1">Bereinigung_offen!$A$2:$N$2</definedName>
    <definedName name="_xlnm._FilterDatabase" localSheetId="1" hidden="1">Bewertung!$A$2:$BQ$67</definedName>
    <definedName name="_xlnm._FilterDatabase" localSheetId="3" hidden="1">Buchwert_je_Aktie!$A$3:$AK$103</definedName>
    <definedName name="_xlnm._FilterDatabase" localSheetId="5" hidden="1">Dividende_je_Aktie!$A$3:$AM$103</definedName>
    <definedName name="_xlnm._FilterDatabase" localSheetId="9" hidden="1">Dividendenrendite!$A$3:$R$3</definedName>
    <definedName name="_xlnm._FilterDatabase" localSheetId="4" hidden="1">Ergebnis_je_Aktie_verwässert!$A$3:$AK$103</definedName>
    <definedName name="_xlnm._FilterDatabase" localSheetId="10" hidden="1">Fiktive_Dividende!$A$3:$X$3</definedName>
    <definedName name="_xlnm._FilterDatabase" localSheetId="8" hidden="1">KBV!$A$3:$R$3</definedName>
    <definedName name="_xlnm._FilterDatabase" localSheetId="7" hidden="1">KGV!$A$3:$R$3</definedName>
    <definedName name="_xlnm._FilterDatabase" localSheetId="2" hidden="1">Schlußkurse!$A$5:$AU$105</definedName>
  </definedNames>
  <calcPr calcId="124519"/>
  <pivotCaches>
    <pivotCache cacheId="0" r:id="rId16"/>
    <pivotCache cacheId="1" r:id="rId17"/>
    <pivotCache cacheId="2" r:id="rId18"/>
    <pivotCache cacheId="3" r:id="rId19"/>
    <pivotCache cacheId="4" r:id="rId20"/>
    <pivotCache cacheId="5" r:id="rId21"/>
  </pivotCaches>
</workbook>
</file>

<file path=xl/calcChain.xml><?xml version="1.0" encoding="utf-8"?>
<calcChain xmlns="http://schemas.openxmlformats.org/spreadsheetml/2006/main">
  <c r="Z103" i="15"/>
  <c r="Z102"/>
  <c r="Z101"/>
  <c r="Z100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56"/>
  <c r="Z29"/>
  <c r="Z11"/>
  <c r="Z50"/>
  <c r="Z68"/>
  <c r="Z67"/>
  <c r="Z66"/>
  <c r="Z65"/>
  <c r="Z64"/>
  <c r="Z62"/>
  <c r="Z63"/>
  <c r="Z31"/>
  <c r="Z61"/>
  <c r="Z60"/>
  <c r="Z26"/>
  <c r="Z59"/>
  <c r="Z58"/>
  <c r="Z57"/>
  <c r="Z21"/>
  <c r="Z20"/>
  <c r="Z18"/>
  <c r="Z55"/>
  <c r="Z54"/>
  <c r="Z53"/>
  <c r="Z52"/>
  <c r="Z51"/>
  <c r="Z49"/>
  <c r="Z48"/>
  <c r="Z47"/>
  <c r="Z46"/>
  <c r="Z45"/>
  <c r="Z44"/>
  <c r="Z43"/>
  <c r="Z42"/>
  <c r="Z41"/>
  <c r="Z40"/>
  <c r="Z39"/>
  <c r="Z38"/>
  <c r="Z37"/>
  <c r="Z36"/>
  <c r="Z35"/>
  <c r="Z34"/>
  <c r="Z33"/>
  <c r="Z32"/>
  <c r="Z30"/>
  <c r="Z28"/>
  <c r="Z27"/>
  <c r="Z25"/>
  <c r="Z24"/>
  <c r="Z23"/>
  <c r="Z22"/>
  <c r="Z19"/>
  <c r="Z17"/>
  <c r="Z16"/>
  <c r="Z15"/>
  <c r="Z14"/>
  <c r="Z13"/>
  <c r="Z12"/>
  <c r="Z10"/>
  <c r="Z9"/>
  <c r="Z8"/>
  <c r="Z7"/>
  <c r="Z6"/>
  <c r="Z5"/>
  <c r="Z4"/>
  <c r="AA103"/>
  <c r="AA102"/>
  <c r="AA101"/>
  <c r="AA100"/>
  <c r="AA99"/>
  <c r="AA98"/>
  <c r="AA97"/>
  <c r="AA96"/>
  <c r="AA95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56"/>
  <c r="AA29"/>
  <c r="AA11"/>
  <c r="AA50"/>
  <c r="AA68"/>
  <c r="AA67"/>
  <c r="AA66"/>
  <c r="AA65"/>
  <c r="AA64"/>
  <c r="AA62"/>
  <c r="AA63"/>
  <c r="AA31"/>
  <c r="AA61"/>
  <c r="AA60"/>
  <c r="AA26"/>
  <c r="AA59"/>
  <c r="AA58"/>
  <c r="AA57"/>
  <c r="AA21"/>
  <c r="AA20"/>
  <c r="AA18"/>
  <c r="AA55"/>
  <c r="AA54"/>
  <c r="AA53"/>
  <c r="AA52"/>
  <c r="AA51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0"/>
  <c r="AA28"/>
  <c r="AA27"/>
  <c r="AA25"/>
  <c r="AA24"/>
  <c r="AA23"/>
  <c r="AA22"/>
  <c r="AA19"/>
  <c r="AA17"/>
  <c r="AA16"/>
  <c r="AA15"/>
  <c r="AA14"/>
  <c r="AA13"/>
  <c r="AA12"/>
  <c r="AA10"/>
  <c r="AA9"/>
  <c r="AA8"/>
  <c r="AA7"/>
  <c r="AA6"/>
  <c r="AA5"/>
  <c r="AA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56"/>
  <c r="AB29"/>
  <c r="AB11"/>
  <c r="AB50"/>
  <c r="AB68"/>
  <c r="AB67"/>
  <c r="AB66"/>
  <c r="AB65"/>
  <c r="AB64"/>
  <c r="AB62"/>
  <c r="AB63"/>
  <c r="AB31"/>
  <c r="AB61"/>
  <c r="AB60"/>
  <c r="AB26"/>
  <c r="AB59"/>
  <c r="AB58"/>
  <c r="AB57"/>
  <c r="AB21"/>
  <c r="AB20"/>
  <c r="AB18"/>
  <c r="AB55"/>
  <c r="AB54"/>
  <c r="AB53"/>
  <c r="AB52"/>
  <c r="AB51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0"/>
  <c r="AB28"/>
  <c r="AB27"/>
  <c r="AB25"/>
  <c r="AB24"/>
  <c r="AB23"/>
  <c r="AB22"/>
  <c r="AB19"/>
  <c r="AB17"/>
  <c r="AB16"/>
  <c r="AB15"/>
  <c r="AB14"/>
  <c r="AB13"/>
  <c r="AB12"/>
  <c r="AB10"/>
  <c r="AB9"/>
  <c r="AB8"/>
  <c r="AB7"/>
  <c r="AB6"/>
  <c r="AB5"/>
  <c r="AB4"/>
  <c r="AC103"/>
  <c r="AC102"/>
  <c r="AC101"/>
  <c r="AC100"/>
  <c r="AC99"/>
  <c r="AC98"/>
  <c r="AC97"/>
  <c r="AC96"/>
  <c r="AC95"/>
  <c r="AC94"/>
  <c r="AC93"/>
  <c r="AC92"/>
  <c r="AC91"/>
  <c r="AC90"/>
  <c r="AC89"/>
  <c r="AC88"/>
  <c r="AC87"/>
  <c r="AC86"/>
  <c r="AC85"/>
  <c r="AC84"/>
  <c r="AC83"/>
  <c r="AC82"/>
  <c r="AC81"/>
  <c r="AC80"/>
  <c r="AC79"/>
  <c r="AC78"/>
  <c r="AC77"/>
  <c r="AC76"/>
  <c r="AC75"/>
  <c r="AC74"/>
  <c r="AC73"/>
  <c r="AC72"/>
  <c r="AC71"/>
  <c r="AC70"/>
  <c r="AC69"/>
  <c r="AC56"/>
  <c r="AC29"/>
  <c r="AC11"/>
  <c r="AC50"/>
  <c r="AC68"/>
  <c r="AC67"/>
  <c r="AC66"/>
  <c r="AC65"/>
  <c r="AC64"/>
  <c r="AC62"/>
  <c r="AC63"/>
  <c r="AC31"/>
  <c r="AC61"/>
  <c r="AC60"/>
  <c r="AC26"/>
  <c r="AC59"/>
  <c r="AC58"/>
  <c r="AC57"/>
  <c r="AC21"/>
  <c r="AC20"/>
  <c r="AC18"/>
  <c r="AC55"/>
  <c r="AC54"/>
  <c r="AC53"/>
  <c r="AC52"/>
  <c r="AC51"/>
  <c r="AC49"/>
  <c r="AC48"/>
  <c r="AC47"/>
  <c r="AC46"/>
  <c r="AC45"/>
  <c r="AC44"/>
  <c r="AC43"/>
  <c r="AC42"/>
  <c r="AC41"/>
  <c r="AC40"/>
  <c r="AC39"/>
  <c r="AC38"/>
  <c r="AC37"/>
  <c r="AC36"/>
  <c r="AC35"/>
  <c r="AC34"/>
  <c r="AC33"/>
  <c r="AC32"/>
  <c r="AC30"/>
  <c r="AC28"/>
  <c r="AC27"/>
  <c r="AC25"/>
  <c r="AC24"/>
  <c r="AC23"/>
  <c r="AC22"/>
  <c r="AC19"/>
  <c r="AC17"/>
  <c r="AC16"/>
  <c r="AC15"/>
  <c r="AC14"/>
  <c r="AC13"/>
  <c r="AC12"/>
  <c r="AC10"/>
  <c r="AC9"/>
  <c r="AC8"/>
  <c r="AC7"/>
  <c r="AC6"/>
  <c r="AC5"/>
  <c r="AC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56"/>
  <c r="AD29"/>
  <c r="AD11"/>
  <c r="AD50"/>
  <c r="AD68"/>
  <c r="AD67"/>
  <c r="AD66"/>
  <c r="AD65"/>
  <c r="AD64"/>
  <c r="AD62"/>
  <c r="AD63"/>
  <c r="AD31"/>
  <c r="AD61"/>
  <c r="AD60"/>
  <c r="AD26"/>
  <c r="AD59"/>
  <c r="AD58"/>
  <c r="AD57"/>
  <c r="AD21"/>
  <c r="AD20"/>
  <c r="AD18"/>
  <c r="AD55"/>
  <c r="AD54"/>
  <c r="AD53"/>
  <c r="AD52"/>
  <c r="AD51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0"/>
  <c r="AD28"/>
  <c r="AD27"/>
  <c r="AD25"/>
  <c r="AD24"/>
  <c r="AD23"/>
  <c r="AD22"/>
  <c r="AD19"/>
  <c r="AD17"/>
  <c r="AD16"/>
  <c r="AD15"/>
  <c r="AD14"/>
  <c r="AD13"/>
  <c r="AD12"/>
  <c r="AD10"/>
  <c r="AD9"/>
  <c r="AD8"/>
  <c r="AD7"/>
  <c r="AD6"/>
  <c r="AD5"/>
  <c r="AD4"/>
  <c r="AE103"/>
  <c r="AE102"/>
  <c r="AE101"/>
  <c r="AE100"/>
  <c r="AE99"/>
  <c r="AE98"/>
  <c r="AE97"/>
  <c r="AE96"/>
  <c r="AE95"/>
  <c r="AE94"/>
  <c r="AE93"/>
  <c r="AE92"/>
  <c r="AE91"/>
  <c r="AE90"/>
  <c r="AE89"/>
  <c r="AE88"/>
  <c r="AE87"/>
  <c r="AE86"/>
  <c r="AE85"/>
  <c r="AE84"/>
  <c r="AE83"/>
  <c r="AE82"/>
  <c r="AE81"/>
  <c r="AE80"/>
  <c r="AE79"/>
  <c r="AE78"/>
  <c r="AE77"/>
  <c r="AE76"/>
  <c r="AE75"/>
  <c r="AE74"/>
  <c r="AE73"/>
  <c r="AE72"/>
  <c r="AE71"/>
  <c r="AE70"/>
  <c r="AE69"/>
  <c r="AE56"/>
  <c r="AE29"/>
  <c r="AE11"/>
  <c r="AE50"/>
  <c r="AE68"/>
  <c r="AE67"/>
  <c r="AE66"/>
  <c r="AE65"/>
  <c r="AE64"/>
  <c r="AE62"/>
  <c r="AE63"/>
  <c r="AE31"/>
  <c r="AE61"/>
  <c r="AE60"/>
  <c r="AE26"/>
  <c r="AE59"/>
  <c r="AE58"/>
  <c r="AE57"/>
  <c r="AE21"/>
  <c r="AE20"/>
  <c r="AE18"/>
  <c r="AE55"/>
  <c r="AE54"/>
  <c r="AE53"/>
  <c r="AE52"/>
  <c r="AE51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E32"/>
  <c r="AE30"/>
  <c r="AE28"/>
  <c r="AE27"/>
  <c r="AE25"/>
  <c r="AE24"/>
  <c r="AE23"/>
  <c r="AE22"/>
  <c r="AE19"/>
  <c r="AE17"/>
  <c r="AE16"/>
  <c r="AE15"/>
  <c r="AE14"/>
  <c r="AE13"/>
  <c r="AE12"/>
  <c r="AE10"/>
  <c r="AE9"/>
  <c r="AE8"/>
  <c r="AE7"/>
  <c r="AE6"/>
  <c r="AE5"/>
  <c r="AE4"/>
  <c r="AF103"/>
  <c r="AF102"/>
  <c r="AF101"/>
  <c r="AF100"/>
  <c r="AF99"/>
  <c r="AF98"/>
  <c r="AF97"/>
  <c r="AF96"/>
  <c r="AF95"/>
  <c r="AF94"/>
  <c r="AF93"/>
  <c r="AF92"/>
  <c r="AF91"/>
  <c r="AF90"/>
  <c r="AF89"/>
  <c r="AF88"/>
  <c r="AF87"/>
  <c r="AF86"/>
  <c r="AF85"/>
  <c r="AF84"/>
  <c r="AF83"/>
  <c r="AF82"/>
  <c r="AF81"/>
  <c r="AF80"/>
  <c r="AF79"/>
  <c r="AF78"/>
  <c r="AF77"/>
  <c r="AF76"/>
  <c r="AF75"/>
  <c r="AF74"/>
  <c r="AF73"/>
  <c r="AF72"/>
  <c r="AF71"/>
  <c r="AF70"/>
  <c r="AF69"/>
  <c r="AF56"/>
  <c r="AF29"/>
  <c r="AF11"/>
  <c r="AF50"/>
  <c r="AF68"/>
  <c r="AF67"/>
  <c r="AF66"/>
  <c r="AF65"/>
  <c r="AF64"/>
  <c r="AF62"/>
  <c r="AF63"/>
  <c r="AF31"/>
  <c r="AF61"/>
  <c r="AF60"/>
  <c r="AF26"/>
  <c r="AF59"/>
  <c r="AF58"/>
  <c r="AF57"/>
  <c r="AF21"/>
  <c r="AF20"/>
  <c r="AF18"/>
  <c r="AF55"/>
  <c r="AF54"/>
  <c r="AF53"/>
  <c r="AF52"/>
  <c r="AF51"/>
  <c r="AF49"/>
  <c r="AF48"/>
  <c r="AF47"/>
  <c r="AF46"/>
  <c r="AF45"/>
  <c r="AF44"/>
  <c r="AF43"/>
  <c r="AF42"/>
  <c r="AF41"/>
  <c r="AF40"/>
  <c r="AF39"/>
  <c r="AF38"/>
  <c r="AF37"/>
  <c r="AF36"/>
  <c r="AF35"/>
  <c r="AF34"/>
  <c r="AF33"/>
  <c r="AF32"/>
  <c r="AF30"/>
  <c r="AF28"/>
  <c r="AF27"/>
  <c r="AF25"/>
  <c r="AF24"/>
  <c r="AF23"/>
  <c r="AF22"/>
  <c r="AF19"/>
  <c r="AF17"/>
  <c r="AF16"/>
  <c r="AF15"/>
  <c r="AF14"/>
  <c r="AF13"/>
  <c r="AF12"/>
  <c r="AF10"/>
  <c r="AF9"/>
  <c r="AF8"/>
  <c r="AF7"/>
  <c r="AF6"/>
  <c r="AF5"/>
  <c r="AF4"/>
  <c r="AG103"/>
  <c r="AG102"/>
  <c r="AG101"/>
  <c r="AG100"/>
  <c r="AG99"/>
  <c r="AG98"/>
  <c r="AG97"/>
  <c r="AG96"/>
  <c r="AG95"/>
  <c r="AG94"/>
  <c r="AG93"/>
  <c r="AG92"/>
  <c r="AG91"/>
  <c r="AG90"/>
  <c r="AG89"/>
  <c r="AG88"/>
  <c r="AG87"/>
  <c r="AG86"/>
  <c r="AG85"/>
  <c r="AG84"/>
  <c r="AG83"/>
  <c r="AG82"/>
  <c r="AG81"/>
  <c r="AG80"/>
  <c r="AG79"/>
  <c r="AG78"/>
  <c r="AG77"/>
  <c r="AG76"/>
  <c r="AG75"/>
  <c r="AG74"/>
  <c r="AG73"/>
  <c r="AG72"/>
  <c r="AG71"/>
  <c r="AG70"/>
  <c r="AG69"/>
  <c r="AG56"/>
  <c r="AG29"/>
  <c r="AG11"/>
  <c r="AG50"/>
  <c r="AG68"/>
  <c r="AG67"/>
  <c r="AG66"/>
  <c r="AG65"/>
  <c r="AG64"/>
  <c r="AG62"/>
  <c r="AG63"/>
  <c r="AG31"/>
  <c r="AG61"/>
  <c r="AG60"/>
  <c r="AG26"/>
  <c r="AG59"/>
  <c r="AG58"/>
  <c r="AG57"/>
  <c r="AG21"/>
  <c r="AG20"/>
  <c r="AG18"/>
  <c r="AG55"/>
  <c r="AG54"/>
  <c r="AG53"/>
  <c r="AG52"/>
  <c r="AG51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0"/>
  <c r="AG28"/>
  <c r="AG27"/>
  <c r="AG25"/>
  <c r="AG24"/>
  <c r="AG23"/>
  <c r="AG22"/>
  <c r="AG19"/>
  <c r="AG17"/>
  <c r="AG16"/>
  <c r="AG15"/>
  <c r="AG14"/>
  <c r="AG13"/>
  <c r="AG12"/>
  <c r="AG10"/>
  <c r="AG9"/>
  <c r="AG8"/>
  <c r="AG7"/>
  <c r="AG6"/>
  <c r="AG5"/>
  <c r="AG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H76"/>
  <c r="AH75"/>
  <c r="AH74"/>
  <c r="AH73"/>
  <c r="AH72"/>
  <c r="AH71"/>
  <c r="AH70"/>
  <c r="AH69"/>
  <c r="AH56"/>
  <c r="AH29"/>
  <c r="AH11"/>
  <c r="AH50"/>
  <c r="AH68"/>
  <c r="AH67"/>
  <c r="AH66"/>
  <c r="AH65"/>
  <c r="AH64"/>
  <c r="AH62"/>
  <c r="AH63"/>
  <c r="AH31"/>
  <c r="AH61"/>
  <c r="AH60"/>
  <c r="AH26"/>
  <c r="AH59"/>
  <c r="AH58"/>
  <c r="AH57"/>
  <c r="AH21"/>
  <c r="AH20"/>
  <c r="AH18"/>
  <c r="AH55"/>
  <c r="AH54"/>
  <c r="AH53"/>
  <c r="AH52"/>
  <c r="AH51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0"/>
  <c r="AH28"/>
  <c r="AH27"/>
  <c r="AH25"/>
  <c r="AH24"/>
  <c r="AH23"/>
  <c r="AH22"/>
  <c r="AH19"/>
  <c r="AH17"/>
  <c r="AH16"/>
  <c r="AH15"/>
  <c r="AH14"/>
  <c r="AH13"/>
  <c r="AH12"/>
  <c r="AH10"/>
  <c r="AH9"/>
  <c r="AH8"/>
  <c r="AH7"/>
  <c r="AH6"/>
  <c r="AH5"/>
  <c r="AH4"/>
  <c r="AI103"/>
  <c r="AI102"/>
  <c r="AI101"/>
  <c r="AI100"/>
  <c r="AI99"/>
  <c r="AI98"/>
  <c r="AI97"/>
  <c r="AI96"/>
  <c r="AI95"/>
  <c r="AI94"/>
  <c r="AI93"/>
  <c r="AI92"/>
  <c r="AI91"/>
  <c r="AI90"/>
  <c r="AI89"/>
  <c r="AI88"/>
  <c r="AI87"/>
  <c r="AI86"/>
  <c r="AI85"/>
  <c r="AI84"/>
  <c r="AI83"/>
  <c r="AI82"/>
  <c r="AI81"/>
  <c r="AI80"/>
  <c r="AI79"/>
  <c r="AI78"/>
  <c r="AI77"/>
  <c r="AI76"/>
  <c r="AI75"/>
  <c r="AI74"/>
  <c r="AI73"/>
  <c r="AI72"/>
  <c r="AI71"/>
  <c r="AI70"/>
  <c r="AI69"/>
  <c r="AI56"/>
  <c r="AI29"/>
  <c r="AI11"/>
  <c r="AI50"/>
  <c r="AI68"/>
  <c r="AI67"/>
  <c r="AI66"/>
  <c r="AI65"/>
  <c r="AI64"/>
  <c r="AI62"/>
  <c r="AI63"/>
  <c r="AI31"/>
  <c r="AI61"/>
  <c r="AI60"/>
  <c r="AI26"/>
  <c r="AI59"/>
  <c r="AI58"/>
  <c r="AI57"/>
  <c r="AI21"/>
  <c r="AI20"/>
  <c r="AI18"/>
  <c r="AI55"/>
  <c r="AI54"/>
  <c r="AI53"/>
  <c r="AI52"/>
  <c r="AI51"/>
  <c r="AI49"/>
  <c r="AI48"/>
  <c r="AI47"/>
  <c r="AI46"/>
  <c r="AI45"/>
  <c r="AI44"/>
  <c r="AI43"/>
  <c r="AI42"/>
  <c r="AI41"/>
  <c r="AI40"/>
  <c r="AI39"/>
  <c r="AI38"/>
  <c r="AI37"/>
  <c r="AI36"/>
  <c r="AI35"/>
  <c r="AI34"/>
  <c r="AI33"/>
  <c r="AI32"/>
  <c r="AI30"/>
  <c r="AI28"/>
  <c r="AI27"/>
  <c r="AI25"/>
  <c r="AI24"/>
  <c r="AI23"/>
  <c r="AI22"/>
  <c r="AI19"/>
  <c r="AI17"/>
  <c r="AI16"/>
  <c r="AI15"/>
  <c r="AI14"/>
  <c r="AI13"/>
  <c r="AI12"/>
  <c r="AI10"/>
  <c r="AI9"/>
  <c r="AI8"/>
  <c r="AI7"/>
  <c r="AI6"/>
  <c r="AI5"/>
  <c r="AI4"/>
  <c r="AJ103"/>
  <c r="AJ102"/>
  <c r="AJ101"/>
  <c r="AJ100"/>
  <c r="AJ99"/>
  <c r="AJ98"/>
  <c r="AJ97"/>
  <c r="AJ96"/>
  <c r="AJ95"/>
  <c r="AJ94"/>
  <c r="AJ93"/>
  <c r="AJ92"/>
  <c r="AJ91"/>
  <c r="AJ90"/>
  <c r="AJ89"/>
  <c r="AJ88"/>
  <c r="AJ87"/>
  <c r="AJ86"/>
  <c r="AJ85"/>
  <c r="AJ84"/>
  <c r="AJ83"/>
  <c r="AJ82"/>
  <c r="AJ81"/>
  <c r="AJ80"/>
  <c r="AJ79"/>
  <c r="AJ78"/>
  <c r="AJ77"/>
  <c r="AJ76"/>
  <c r="AJ75"/>
  <c r="AJ74"/>
  <c r="AJ73"/>
  <c r="AJ72"/>
  <c r="AJ71"/>
  <c r="AJ70"/>
  <c r="AJ69"/>
  <c r="AJ56"/>
  <c r="AJ29"/>
  <c r="AJ11"/>
  <c r="AJ50"/>
  <c r="AJ68"/>
  <c r="AJ67"/>
  <c r="AJ66"/>
  <c r="AJ65"/>
  <c r="AJ64"/>
  <c r="AJ62"/>
  <c r="AJ63"/>
  <c r="AJ31"/>
  <c r="AJ61"/>
  <c r="AJ60"/>
  <c r="AJ26"/>
  <c r="AJ59"/>
  <c r="AJ58"/>
  <c r="AJ57"/>
  <c r="AJ21"/>
  <c r="AJ20"/>
  <c r="AJ18"/>
  <c r="AJ55"/>
  <c r="AJ54"/>
  <c r="AJ53"/>
  <c r="AJ52"/>
  <c r="AJ51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0"/>
  <c r="AJ28"/>
  <c r="AJ27"/>
  <c r="AJ25"/>
  <c r="AJ24"/>
  <c r="AJ23"/>
  <c r="AJ22"/>
  <c r="AJ19"/>
  <c r="AJ17"/>
  <c r="AJ16"/>
  <c r="AJ15"/>
  <c r="AJ14"/>
  <c r="AJ13"/>
  <c r="AJ12"/>
  <c r="AJ10"/>
  <c r="AJ9"/>
  <c r="AJ8"/>
  <c r="AJ7"/>
  <c r="AJ6"/>
  <c r="AJ5"/>
  <c r="AJ4"/>
  <c r="AK103"/>
  <c r="AK102"/>
  <c r="AK101"/>
  <c r="AK100"/>
  <c r="AK99"/>
  <c r="AK98"/>
  <c r="AK97"/>
  <c r="AK96"/>
  <c r="AK95"/>
  <c r="AK94"/>
  <c r="AK93"/>
  <c r="AK92"/>
  <c r="AK91"/>
  <c r="AK90"/>
  <c r="AK89"/>
  <c r="AK88"/>
  <c r="AK87"/>
  <c r="AK86"/>
  <c r="AK85"/>
  <c r="AK84"/>
  <c r="AK83"/>
  <c r="AK82"/>
  <c r="AK81"/>
  <c r="AK80"/>
  <c r="AK79"/>
  <c r="AK78"/>
  <c r="AK77"/>
  <c r="AK76"/>
  <c r="AK75"/>
  <c r="AK74"/>
  <c r="AK73"/>
  <c r="AK72"/>
  <c r="AK71"/>
  <c r="AK70"/>
  <c r="AK69"/>
  <c r="AK56"/>
  <c r="AK29"/>
  <c r="AK11"/>
  <c r="AK50"/>
  <c r="AK68"/>
  <c r="AK67"/>
  <c r="AK66"/>
  <c r="AK65"/>
  <c r="AK64"/>
  <c r="AK62"/>
  <c r="AK63"/>
  <c r="AK31"/>
  <c r="AK61"/>
  <c r="AK60"/>
  <c r="AK26"/>
  <c r="AK59"/>
  <c r="AK58"/>
  <c r="AK57"/>
  <c r="AK21"/>
  <c r="AK20"/>
  <c r="AK18"/>
  <c r="AK55"/>
  <c r="AK54"/>
  <c r="AK53"/>
  <c r="AK52"/>
  <c r="AK51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0"/>
  <c r="AK28"/>
  <c r="AK27"/>
  <c r="AK25"/>
  <c r="AK24"/>
  <c r="AK23"/>
  <c r="AK22"/>
  <c r="AK19"/>
  <c r="AK17"/>
  <c r="AK16"/>
  <c r="AK15"/>
  <c r="AK14"/>
  <c r="AK13"/>
  <c r="AK12"/>
  <c r="AK10"/>
  <c r="AK9"/>
  <c r="AK8"/>
  <c r="AK7"/>
  <c r="AK6"/>
  <c r="AK5"/>
  <c r="AK4"/>
  <c r="AL5"/>
  <c r="AL6"/>
  <c r="AL7"/>
  <c r="AL8"/>
  <c r="AL9"/>
  <c r="AL10"/>
  <c r="AL12"/>
  <c r="AL13"/>
  <c r="AL14"/>
  <c r="AL15"/>
  <c r="AL16"/>
  <c r="AL17"/>
  <c r="AL19"/>
  <c r="AL22"/>
  <c r="AL23"/>
  <c r="AL24"/>
  <c r="AL25"/>
  <c r="AL27"/>
  <c r="AL28"/>
  <c r="AL30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1"/>
  <c r="AL52"/>
  <c r="AL53"/>
  <c r="AL54"/>
  <c r="AL55"/>
  <c r="AL18"/>
  <c r="AL20"/>
  <c r="AL21"/>
  <c r="AL57"/>
  <c r="AL58"/>
  <c r="AL59"/>
  <c r="AL26"/>
  <c r="AL60"/>
  <c r="AL61"/>
  <c r="AL31"/>
  <c r="AL63"/>
  <c r="AL62"/>
  <c r="AL64"/>
  <c r="AL65"/>
  <c r="AL66"/>
  <c r="AL67"/>
  <c r="AL68"/>
  <c r="AL50"/>
  <c r="AL11"/>
  <c r="AL29"/>
  <c r="AL56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4"/>
  <c r="AF5" i="6" l="1"/>
  <c r="AF6"/>
  <c r="AF7"/>
  <c r="AF8"/>
  <c r="AF9"/>
  <c r="AF10"/>
  <c r="AF12"/>
  <c r="AF13"/>
  <c r="AF14"/>
  <c r="AF15"/>
  <c r="AF16"/>
  <c r="AF17"/>
  <c r="AF19"/>
  <c r="AF22"/>
  <c r="AF23"/>
  <c r="AF24"/>
  <c r="AF25"/>
  <c r="AF27"/>
  <c r="AF28"/>
  <c r="AF30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1"/>
  <c r="AF52"/>
  <c r="AF53"/>
  <c r="AF54"/>
  <c r="AF55"/>
  <c r="AF18"/>
  <c r="AF20"/>
  <c r="AF21"/>
  <c r="AF57"/>
  <c r="AF58"/>
  <c r="AF59"/>
  <c r="AF26"/>
  <c r="AF60"/>
  <c r="AF61"/>
  <c r="AF31"/>
  <c r="AF63"/>
  <c r="AF62"/>
  <c r="AF64"/>
  <c r="AF65"/>
  <c r="AF66"/>
  <c r="AF67"/>
  <c r="AF68"/>
  <c r="AF50"/>
  <c r="AF11"/>
  <c r="AF29"/>
  <c r="AF56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E5"/>
  <c r="AE6"/>
  <c r="AE7"/>
  <c r="AE8"/>
  <c r="AE9"/>
  <c r="AE10"/>
  <c r="AE12"/>
  <c r="AE13"/>
  <c r="AE14"/>
  <c r="AE15"/>
  <c r="AE16"/>
  <c r="AE17"/>
  <c r="AE19"/>
  <c r="AE22"/>
  <c r="AE23"/>
  <c r="AE24"/>
  <c r="AE25"/>
  <c r="AE27"/>
  <c r="AE28"/>
  <c r="AE30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1"/>
  <c r="AE52"/>
  <c r="AE53"/>
  <c r="AE54"/>
  <c r="AE55"/>
  <c r="AE18"/>
  <c r="AE20"/>
  <c r="AE21"/>
  <c r="AE57"/>
  <c r="AE58"/>
  <c r="AE59"/>
  <c r="AE26"/>
  <c r="AE60"/>
  <c r="AE61"/>
  <c r="AE31"/>
  <c r="AE63"/>
  <c r="AE62"/>
  <c r="AE64"/>
  <c r="AE65"/>
  <c r="AE66"/>
  <c r="AE67"/>
  <c r="AE68"/>
  <c r="AE50"/>
  <c r="AE11"/>
  <c r="AE29"/>
  <c r="AE56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D5"/>
  <c r="AD6"/>
  <c r="AD7"/>
  <c r="AD8"/>
  <c r="AD9"/>
  <c r="AD10"/>
  <c r="AD12"/>
  <c r="AD13"/>
  <c r="AD14"/>
  <c r="AD15"/>
  <c r="AD16"/>
  <c r="AD17"/>
  <c r="AD19"/>
  <c r="AD22"/>
  <c r="AD23"/>
  <c r="AD24"/>
  <c r="AD25"/>
  <c r="AD27"/>
  <c r="AD28"/>
  <c r="AD30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1"/>
  <c r="AD52"/>
  <c r="AD53"/>
  <c r="AD54"/>
  <c r="AD55"/>
  <c r="AD18"/>
  <c r="AD20"/>
  <c r="AD21"/>
  <c r="AD57"/>
  <c r="AD58"/>
  <c r="AD59"/>
  <c r="AD26"/>
  <c r="AD60"/>
  <c r="AD61"/>
  <c r="AD31"/>
  <c r="AD63"/>
  <c r="AD62"/>
  <c r="AD64"/>
  <c r="AD65"/>
  <c r="AD66"/>
  <c r="AD67"/>
  <c r="AD68"/>
  <c r="AD50"/>
  <c r="AD11"/>
  <c r="AD29"/>
  <c r="AD56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C5"/>
  <c r="AC6"/>
  <c r="AC7"/>
  <c r="AC8"/>
  <c r="AC9"/>
  <c r="AC10"/>
  <c r="AC12"/>
  <c r="AC13"/>
  <c r="AC14"/>
  <c r="AC15"/>
  <c r="AC16"/>
  <c r="AC17"/>
  <c r="AC19"/>
  <c r="AC22"/>
  <c r="AC23"/>
  <c r="AC24"/>
  <c r="AC25"/>
  <c r="AC27"/>
  <c r="AC28"/>
  <c r="AC30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1"/>
  <c r="AC52"/>
  <c r="AC53"/>
  <c r="AC54"/>
  <c r="AC55"/>
  <c r="AC18"/>
  <c r="AC20"/>
  <c r="AC21"/>
  <c r="AC57"/>
  <c r="AC58"/>
  <c r="AC59"/>
  <c r="AC26"/>
  <c r="AC60"/>
  <c r="AC61"/>
  <c r="AC31"/>
  <c r="AC63"/>
  <c r="AC62"/>
  <c r="AC64"/>
  <c r="AC65"/>
  <c r="AC66"/>
  <c r="AC67"/>
  <c r="AC68"/>
  <c r="AC50"/>
  <c r="AC11"/>
  <c r="AC29"/>
  <c r="AC56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B5"/>
  <c r="AB6"/>
  <c r="AB7"/>
  <c r="AB8"/>
  <c r="AB9"/>
  <c r="AB10"/>
  <c r="AB12"/>
  <c r="AB13"/>
  <c r="AB14"/>
  <c r="AB15"/>
  <c r="AB16"/>
  <c r="AB17"/>
  <c r="AB19"/>
  <c r="AB22"/>
  <c r="AB23"/>
  <c r="AB24"/>
  <c r="AB25"/>
  <c r="AB27"/>
  <c r="AB28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1"/>
  <c r="AB52"/>
  <c r="AB53"/>
  <c r="AB54"/>
  <c r="AB55"/>
  <c r="AB18"/>
  <c r="AB20"/>
  <c r="AB21"/>
  <c r="AB57"/>
  <c r="AB58"/>
  <c r="AB59"/>
  <c r="AB26"/>
  <c r="AB60"/>
  <c r="AB61"/>
  <c r="AB31"/>
  <c r="AB63"/>
  <c r="AB62"/>
  <c r="AB64"/>
  <c r="AB65"/>
  <c r="AB66"/>
  <c r="AB67"/>
  <c r="AB68"/>
  <c r="AB50"/>
  <c r="AB11"/>
  <c r="AB29"/>
  <c r="AB56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A5"/>
  <c r="AA6"/>
  <c r="AA7"/>
  <c r="AA8"/>
  <c r="AA9"/>
  <c r="AA10"/>
  <c r="AA12"/>
  <c r="AA13"/>
  <c r="AA14"/>
  <c r="AA15"/>
  <c r="AA16"/>
  <c r="AA17"/>
  <c r="AA19"/>
  <c r="AA22"/>
  <c r="AA23"/>
  <c r="AA24"/>
  <c r="AA25"/>
  <c r="AA27"/>
  <c r="AA28"/>
  <c r="AA30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1"/>
  <c r="AA52"/>
  <c r="AA53"/>
  <c r="AA54"/>
  <c r="AA55"/>
  <c r="AA18"/>
  <c r="AA20"/>
  <c r="AA21"/>
  <c r="AA57"/>
  <c r="AA58"/>
  <c r="AA59"/>
  <c r="AA26"/>
  <c r="AA60"/>
  <c r="AA61"/>
  <c r="AA31"/>
  <c r="AA63"/>
  <c r="AA62"/>
  <c r="AA64"/>
  <c r="AA65"/>
  <c r="AA66"/>
  <c r="AA67"/>
  <c r="AA68"/>
  <c r="AA50"/>
  <c r="AA11"/>
  <c r="AA29"/>
  <c r="AA56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Z5"/>
  <c r="Z6"/>
  <c r="Z7"/>
  <c r="Z8"/>
  <c r="Z9"/>
  <c r="Z10"/>
  <c r="Z12"/>
  <c r="Z13"/>
  <c r="Z14"/>
  <c r="Z15"/>
  <c r="Z16"/>
  <c r="Z17"/>
  <c r="Z19"/>
  <c r="Z22"/>
  <c r="Z23"/>
  <c r="Z24"/>
  <c r="Z25"/>
  <c r="Z27"/>
  <c r="Z28"/>
  <c r="Z30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1"/>
  <c r="Z52"/>
  <c r="Z53"/>
  <c r="Z54"/>
  <c r="Z55"/>
  <c r="Z18"/>
  <c r="Z20"/>
  <c r="Z21"/>
  <c r="Z57"/>
  <c r="Z58"/>
  <c r="Z59"/>
  <c r="Z26"/>
  <c r="Z60"/>
  <c r="Z61"/>
  <c r="Z31"/>
  <c r="Z63"/>
  <c r="Z62"/>
  <c r="Z64"/>
  <c r="Z65"/>
  <c r="Z66"/>
  <c r="Z67"/>
  <c r="Z68"/>
  <c r="Z50"/>
  <c r="Z11"/>
  <c r="Z29"/>
  <c r="Z56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Y5"/>
  <c r="Y6"/>
  <c r="Y7"/>
  <c r="Y8"/>
  <c r="Y9"/>
  <c r="Y10"/>
  <c r="Y12"/>
  <c r="Y13"/>
  <c r="Y14"/>
  <c r="Y15"/>
  <c r="Y16"/>
  <c r="Y17"/>
  <c r="Y19"/>
  <c r="Y22"/>
  <c r="Y23"/>
  <c r="Y24"/>
  <c r="Y25"/>
  <c r="Y27"/>
  <c r="Y28"/>
  <c r="Y30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1"/>
  <c r="Y52"/>
  <c r="Y53"/>
  <c r="Y54"/>
  <c r="Y55"/>
  <c r="Y18"/>
  <c r="Y20"/>
  <c r="Y21"/>
  <c r="Y57"/>
  <c r="Y58"/>
  <c r="Y59"/>
  <c r="Y26"/>
  <c r="Y60"/>
  <c r="Y61"/>
  <c r="Y31"/>
  <c r="Y63"/>
  <c r="Y62"/>
  <c r="Y64"/>
  <c r="Y65"/>
  <c r="Y66"/>
  <c r="Y67"/>
  <c r="Y68"/>
  <c r="Y50"/>
  <c r="Y11"/>
  <c r="Y29"/>
  <c r="Y56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X5"/>
  <c r="X6"/>
  <c r="X7"/>
  <c r="X8"/>
  <c r="X9"/>
  <c r="X10"/>
  <c r="X12"/>
  <c r="X13"/>
  <c r="X14"/>
  <c r="X15"/>
  <c r="X16"/>
  <c r="X17"/>
  <c r="X19"/>
  <c r="X22"/>
  <c r="X23"/>
  <c r="X24"/>
  <c r="X25"/>
  <c r="X27"/>
  <c r="X28"/>
  <c r="X30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1"/>
  <c r="X52"/>
  <c r="X53"/>
  <c r="X54"/>
  <c r="X55"/>
  <c r="X18"/>
  <c r="X20"/>
  <c r="X21"/>
  <c r="X57"/>
  <c r="X58"/>
  <c r="X59"/>
  <c r="X26"/>
  <c r="X60"/>
  <c r="X61"/>
  <c r="X31"/>
  <c r="X63"/>
  <c r="X62"/>
  <c r="X64"/>
  <c r="X65"/>
  <c r="X66"/>
  <c r="X67"/>
  <c r="X68"/>
  <c r="X50"/>
  <c r="X11"/>
  <c r="X29"/>
  <c r="X56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W5"/>
  <c r="W6"/>
  <c r="W7"/>
  <c r="W8"/>
  <c r="W9"/>
  <c r="W10"/>
  <c r="W12"/>
  <c r="W13"/>
  <c r="W14"/>
  <c r="W15"/>
  <c r="W16"/>
  <c r="W17"/>
  <c r="W19"/>
  <c r="W22"/>
  <c r="W23"/>
  <c r="W24"/>
  <c r="W25"/>
  <c r="W27"/>
  <c r="W28"/>
  <c r="W30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1"/>
  <c r="W52"/>
  <c r="W53"/>
  <c r="W54"/>
  <c r="W55"/>
  <c r="W18"/>
  <c r="W20"/>
  <c r="W21"/>
  <c r="W57"/>
  <c r="W58"/>
  <c r="W59"/>
  <c r="W26"/>
  <c r="W60"/>
  <c r="W61"/>
  <c r="W31"/>
  <c r="W63"/>
  <c r="W62"/>
  <c r="W64"/>
  <c r="W65"/>
  <c r="W66"/>
  <c r="W67"/>
  <c r="W68"/>
  <c r="W50"/>
  <c r="W11"/>
  <c r="W29"/>
  <c r="W56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V5"/>
  <c r="V6"/>
  <c r="V7"/>
  <c r="V8"/>
  <c r="V9"/>
  <c r="V10"/>
  <c r="V12"/>
  <c r="V13"/>
  <c r="V14"/>
  <c r="V15"/>
  <c r="V16"/>
  <c r="V17"/>
  <c r="V19"/>
  <c r="V22"/>
  <c r="V23"/>
  <c r="V24"/>
  <c r="V25"/>
  <c r="V27"/>
  <c r="V28"/>
  <c r="V30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1"/>
  <c r="V52"/>
  <c r="V53"/>
  <c r="V54"/>
  <c r="V55"/>
  <c r="V18"/>
  <c r="V20"/>
  <c r="V21"/>
  <c r="V57"/>
  <c r="V58"/>
  <c r="V59"/>
  <c r="V26"/>
  <c r="V60"/>
  <c r="V61"/>
  <c r="V31"/>
  <c r="V63"/>
  <c r="V62"/>
  <c r="V64"/>
  <c r="V65"/>
  <c r="V66"/>
  <c r="V67"/>
  <c r="V68"/>
  <c r="V50"/>
  <c r="V11"/>
  <c r="V29"/>
  <c r="V56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U5"/>
  <c r="U6"/>
  <c r="U7"/>
  <c r="U8"/>
  <c r="U9"/>
  <c r="U10"/>
  <c r="U12"/>
  <c r="U13"/>
  <c r="U14"/>
  <c r="U15"/>
  <c r="U16"/>
  <c r="U17"/>
  <c r="U19"/>
  <c r="U22"/>
  <c r="U23"/>
  <c r="U24"/>
  <c r="U25"/>
  <c r="U27"/>
  <c r="U28"/>
  <c r="U30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1"/>
  <c r="U52"/>
  <c r="U53"/>
  <c r="U54"/>
  <c r="U55"/>
  <c r="U18"/>
  <c r="U20"/>
  <c r="U21"/>
  <c r="U57"/>
  <c r="U58"/>
  <c r="U59"/>
  <c r="U26"/>
  <c r="U60"/>
  <c r="U61"/>
  <c r="U31"/>
  <c r="U63"/>
  <c r="U62"/>
  <c r="U64"/>
  <c r="U65"/>
  <c r="U66"/>
  <c r="U67"/>
  <c r="U68"/>
  <c r="U50"/>
  <c r="U11"/>
  <c r="U29"/>
  <c r="U56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T5"/>
  <c r="T6"/>
  <c r="T7"/>
  <c r="T8"/>
  <c r="T9"/>
  <c r="T10"/>
  <c r="T12"/>
  <c r="T13"/>
  <c r="T14"/>
  <c r="T15"/>
  <c r="T16"/>
  <c r="T17"/>
  <c r="T19"/>
  <c r="T22"/>
  <c r="T23"/>
  <c r="T24"/>
  <c r="T25"/>
  <c r="T27"/>
  <c r="T28"/>
  <c r="T30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1"/>
  <c r="T52"/>
  <c r="T53"/>
  <c r="T54"/>
  <c r="T55"/>
  <c r="T18"/>
  <c r="T20"/>
  <c r="T21"/>
  <c r="T57"/>
  <c r="T58"/>
  <c r="T59"/>
  <c r="T26"/>
  <c r="T60"/>
  <c r="T61"/>
  <c r="T31"/>
  <c r="T63"/>
  <c r="T62"/>
  <c r="T64"/>
  <c r="T65"/>
  <c r="T66"/>
  <c r="T67"/>
  <c r="T68"/>
  <c r="T50"/>
  <c r="T11"/>
  <c r="T29"/>
  <c r="T56"/>
  <c r="T69"/>
  <c r="AG69" s="1"/>
  <c r="AL69" s="1"/>
  <c r="T70"/>
  <c r="AG70" s="1"/>
  <c r="AL70" s="1"/>
  <c r="T71"/>
  <c r="AG71" s="1"/>
  <c r="AL71" s="1"/>
  <c r="T72"/>
  <c r="AG72" s="1"/>
  <c r="AL72" s="1"/>
  <c r="T73"/>
  <c r="AG73" s="1"/>
  <c r="AL73" s="1"/>
  <c r="T74"/>
  <c r="AG74" s="1"/>
  <c r="AL74" s="1"/>
  <c r="T75"/>
  <c r="AG75" s="1"/>
  <c r="AL75" s="1"/>
  <c r="T76"/>
  <c r="AG76" s="1"/>
  <c r="AL76" s="1"/>
  <c r="T77"/>
  <c r="AG77" s="1"/>
  <c r="AL77" s="1"/>
  <c r="T78"/>
  <c r="AG78" s="1"/>
  <c r="AL78" s="1"/>
  <c r="T79"/>
  <c r="AG79" s="1"/>
  <c r="AL79" s="1"/>
  <c r="T80"/>
  <c r="AG80" s="1"/>
  <c r="AL80" s="1"/>
  <c r="T81"/>
  <c r="AG81" s="1"/>
  <c r="AL81" s="1"/>
  <c r="T82"/>
  <c r="AG82" s="1"/>
  <c r="AL82" s="1"/>
  <c r="T83"/>
  <c r="AG83" s="1"/>
  <c r="AL83" s="1"/>
  <c r="T84"/>
  <c r="AG84" s="1"/>
  <c r="AL84" s="1"/>
  <c r="T85"/>
  <c r="AG85" s="1"/>
  <c r="AL85" s="1"/>
  <c r="T86"/>
  <c r="AG86" s="1"/>
  <c r="AL86" s="1"/>
  <c r="T87"/>
  <c r="AG87" s="1"/>
  <c r="AL87" s="1"/>
  <c r="T88"/>
  <c r="AG88" s="1"/>
  <c r="AL88" s="1"/>
  <c r="T89"/>
  <c r="AG89" s="1"/>
  <c r="AL89" s="1"/>
  <c r="T90"/>
  <c r="AG90" s="1"/>
  <c r="AL90" s="1"/>
  <c r="T91"/>
  <c r="AG91" s="1"/>
  <c r="AL91" s="1"/>
  <c r="T92"/>
  <c r="AG92" s="1"/>
  <c r="AL92" s="1"/>
  <c r="T93"/>
  <c r="AG93" s="1"/>
  <c r="AL93" s="1"/>
  <c r="T94"/>
  <c r="AG94" s="1"/>
  <c r="AL94" s="1"/>
  <c r="T95"/>
  <c r="AG95" s="1"/>
  <c r="AL95" s="1"/>
  <c r="T96"/>
  <c r="AG96" s="1"/>
  <c r="AL96" s="1"/>
  <c r="T97"/>
  <c r="AG97" s="1"/>
  <c r="AL97" s="1"/>
  <c r="T98"/>
  <c r="AG98" s="1"/>
  <c r="AL98" s="1"/>
  <c r="T99"/>
  <c r="AG99" s="1"/>
  <c r="AL99" s="1"/>
  <c r="T100"/>
  <c r="AG100" s="1"/>
  <c r="AL100" s="1"/>
  <c r="T101"/>
  <c r="AG101" s="1"/>
  <c r="AL101" s="1"/>
  <c r="T102"/>
  <c r="AG102" s="1"/>
  <c r="AL102" s="1"/>
  <c r="T103"/>
  <c r="AG103" s="1"/>
  <c r="AL103" s="1"/>
  <c r="AF4"/>
  <c r="AE4"/>
  <c r="AD4"/>
  <c r="AC4"/>
  <c r="AB4"/>
  <c r="AA4"/>
  <c r="Z4"/>
  <c r="Y4"/>
  <c r="X4"/>
  <c r="W4"/>
  <c r="V4"/>
  <c r="U4"/>
  <c r="T4"/>
  <c r="AG56" l="1"/>
  <c r="AG29"/>
  <c r="AG11"/>
  <c r="AG59"/>
  <c r="AG44"/>
  <c r="AG25"/>
  <c r="AG5"/>
  <c r="AG65"/>
  <c r="AG31"/>
  <c r="AG20"/>
  <c r="AG53"/>
  <c r="AG48"/>
  <c r="AG40"/>
  <c r="AG36"/>
  <c r="AG32"/>
  <c r="AG19"/>
  <c r="AG14"/>
  <c r="AG9"/>
  <c r="AG54"/>
  <c r="AG37"/>
  <c r="AG6"/>
  <c r="AG50"/>
  <c r="AG66"/>
  <c r="AG49"/>
  <c r="AG41"/>
  <c r="AG33"/>
  <c r="AG22"/>
  <c r="AG45"/>
  <c r="AG15"/>
  <c r="AG21"/>
  <c r="AG10"/>
  <c r="AG26"/>
  <c r="AG27"/>
  <c r="AG63"/>
  <c r="AG68"/>
  <c r="AG64"/>
  <c r="AG61"/>
  <c r="AG58"/>
  <c r="AG18"/>
  <c r="AG52"/>
  <c r="AG47"/>
  <c r="AG43"/>
  <c r="AG39"/>
  <c r="AG35"/>
  <c r="AG30"/>
  <c r="AG24"/>
  <c r="AG17"/>
  <c r="AG13"/>
  <c r="AG8"/>
  <c r="AG62"/>
  <c r="AG60"/>
  <c r="AG57"/>
  <c r="AG55"/>
  <c r="AG51"/>
  <c r="AG46"/>
  <c r="AG42"/>
  <c r="AG38"/>
  <c r="AG34"/>
  <c r="AG28"/>
  <c r="AG23"/>
  <c r="AG16"/>
  <c r="AG12"/>
  <c r="AG7"/>
  <c r="AG67"/>
  <c r="AG4"/>
  <c r="R69" l="1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C5" i="19"/>
  <c r="N5" s="1"/>
  <c r="H5" i="6" s="1"/>
  <c r="C6" i="19"/>
  <c r="N6" s="1"/>
  <c r="H6" i="6" s="1"/>
  <c r="C7" i="19"/>
  <c r="N7" s="1"/>
  <c r="H7" i="6" s="1"/>
  <c r="C8" i="19"/>
  <c r="N8" s="1"/>
  <c r="H8" i="6" s="1"/>
  <c r="C9" i="19"/>
  <c r="N9" s="1"/>
  <c r="H9" i="6" s="1"/>
  <c r="C10" i="19"/>
  <c r="N10" s="1"/>
  <c r="H10" i="6" s="1"/>
  <c r="C12" i="19"/>
  <c r="N12" s="1"/>
  <c r="H12" i="6" s="1"/>
  <c r="C14" i="19"/>
  <c r="N14" s="1"/>
  <c r="H14" i="6" s="1"/>
  <c r="C15" i="19"/>
  <c r="N15" s="1"/>
  <c r="H15" i="6" s="1"/>
  <c r="C16" i="19"/>
  <c r="N16" s="1"/>
  <c r="H16" i="6" s="1"/>
  <c r="C17" i="19"/>
  <c r="N17" s="1"/>
  <c r="H17" i="6" s="1"/>
  <c r="C19" i="19"/>
  <c r="N19" s="1"/>
  <c r="H19" i="6" s="1"/>
  <c r="C22" i="19"/>
  <c r="N22" s="1"/>
  <c r="H22" i="6" s="1"/>
  <c r="C23" i="19"/>
  <c r="N23" s="1"/>
  <c r="H23" i="6" s="1"/>
  <c r="C27" i="19"/>
  <c r="N27" s="1"/>
  <c r="H27" i="6" s="1"/>
  <c r="C28" i="19"/>
  <c r="N28" s="1"/>
  <c r="H28" i="6" s="1"/>
  <c r="C30" i="19"/>
  <c r="N30" s="1"/>
  <c r="H30" i="6" s="1"/>
  <c r="C33" i="19"/>
  <c r="N33" s="1"/>
  <c r="H33" i="6" s="1"/>
  <c r="C34" i="19"/>
  <c r="N34" s="1"/>
  <c r="H34" i="6" s="1"/>
  <c r="C35" i="19"/>
  <c r="N35" s="1"/>
  <c r="H35" i="6" s="1"/>
  <c r="C36" i="19"/>
  <c r="N36" s="1"/>
  <c r="H36" i="6" s="1"/>
  <c r="C37" i="19"/>
  <c r="N37" s="1"/>
  <c r="H37" i="6" s="1"/>
  <c r="C39" i="19"/>
  <c r="N39" s="1"/>
  <c r="H39" i="6" s="1"/>
  <c r="C40" i="19"/>
  <c r="N40" s="1"/>
  <c r="H40" i="6" s="1"/>
  <c r="C42" i="19"/>
  <c r="N42" s="1"/>
  <c r="H42" i="6" s="1"/>
  <c r="C45" i="19"/>
  <c r="N45" s="1"/>
  <c r="H45" i="6" s="1"/>
  <c r="C46" i="19"/>
  <c r="N46" s="1"/>
  <c r="H46" i="6" s="1"/>
  <c r="C47" i="19"/>
  <c r="N47" s="1"/>
  <c r="H47" i="6" s="1"/>
  <c r="C52" i="19"/>
  <c r="N52" s="1"/>
  <c r="H52" i="6" s="1"/>
  <c r="C53" i="19"/>
  <c r="N53" s="1"/>
  <c r="H53" i="6" s="1"/>
  <c r="C54" i="19"/>
  <c r="N54" s="1"/>
  <c r="H54" i="6" s="1"/>
  <c r="C55" i="19"/>
  <c r="N55" s="1"/>
  <c r="H55" i="6" s="1"/>
  <c r="C18" i="19"/>
  <c r="N18" s="1"/>
  <c r="H18" i="6" s="1"/>
  <c r="C20" i="19"/>
  <c r="N20" s="1"/>
  <c r="H20" i="6" s="1"/>
  <c r="C21" i="19"/>
  <c r="N21" s="1"/>
  <c r="H21" i="6" s="1"/>
  <c r="C59" i="19"/>
  <c r="N59" s="1"/>
  <c r="H59" i="6" s="1"/>
  <c r="C61" i="19"/>
  <c r="N61" s="1"/>
  <c r="H61" i="6" s="1"/>
  <c r="C31" i="19"/>
  <c r="N31" s="1"/>
  <c r="H31" i="6" s="1"/>
  <c r="C63" i="19"/>
  <c r="N63" s="1"/>
  <c r="H63" i="6" s="1"/>
  <c r="C64" i="19"/>
  <c r="N64" s="1"/>
  <c r="H64" i="6" s="1"/>
  <c r="C65" i="19"/>
  <c r="N65" s="1"/>
  <c r="H65" i="6" s="1"/>
  <c r="C66" i="19"/>
  <c r="N66" s="1"/>
  <c r="H66" i="6" s="1"/>
  <c r="C67" i="19"/>
  <c r="N67" s="1"/>
  <c r="H67" i="6" s="1"/>
  <c r="C68" i="19"/>
  <c r="N68" s="1"/>
  <c r="H68" i="6" s="1"/>
  <c r="C29" i="19"/>
  <c r="N29" s="1"/>
  <c r="H29" i="6" s="1"/>
  <c r="C69" i="19"/>
  <c r="N69" s="1"/>
  <c r="C70"/>
  <c r="N70" s="1"/>
  <c r="C71"/>
  <c r="N71" s="1"/>
  <c r="C72"/>
  <c r="N72" s="1"/>
  <c r="C73"/>
  <c r="N73" s="1"/>
  <c r="C74"/>
  <c r="N74" s="1"/>
  <c r="C75"/>
  <c r="N75" s="1"/>
  <c r="C76"/>
  <c r="N76" s="1"/>
  <c r="C77"/>
  <c r="N77" s="1"/>
  <c r="C78"/>
  <c r="N78" s="1"/>
  <c r="C79"/>
  <c r="N79" s="1"/>
  <c r="C80"/>
  <c r="N80" s="1"/>
  <c r="C81"/>
  <c r="N81" s="1"/>
  <c r="C82"/>
  <c r="N82" s="1"/>
  <c r="C83"/>
  <c r="N83" s="1"/>
  <c r="C84"/>
  <c r="N84" s="1"/>
  <c r="C85"/>
  <c r="N85" s="1"/>
  <c r="C86"/>
  <c r="N86" s="1"/>
  <c r="C87"/>
  <c r="N87" s="1"/>
  <c r="C88"/>
  <c r="N88" s="1"/>
  <c r="C89"/>
  <c r="N89" s="1"/>
  <c r="C90"/>
  <c r="N90" s="1"/>
  <c r="C91"/>
  <c r="N91" s="1"/>
  <c r="C92"/>
  <c r="N92" s="1"/>
  <c r="C93"/>
  <c r="N93" s="1"/>
  <c r="C94"/>
  <c r="N94" s="1"/>
  <c r="C95"/>
  <c r="N95" s="1"/>
  <c r="C96"/>
  <c r="N96" s="1"/>
  <c r="C97"/>
  <c r="N97" s="1"/>
  <c r="C98"/>
  <c r="N98" s="1"/>
  <c r="C99"/>
  <c r="N99" s="1"/>
  <c r="C100"/>
  <c r="N100" s="1"/>
  <c r="C101"/>
  <c r="N101" s="1"/>
  <c r="C102"/>
  <c r="N102" s="1"/>
  <c r="C103"/>
  <c r="N103" s="1"/>
  <c r="C4"/>
  <c r="N4" s="1"/>
  <c r="H4" i="6" s="1"/>
  <c r="D69" i="19"/>
  <c r="O69" s="1"/>
  <c r="D70"/>
  <c r="O70" s="1"/>
  <c r="D71"/>
  <c r="O71" s="1"/>
  <c r="D72"/>
  <c r="O72" s="1"/>
  <c r="D73"/>
  <c r="O73" s="1"/>
  <c r="D74"/>
  <c r="O74" s="1"/>
  <c r="D75"/>
  <c r="O75" s="1"/>
  <c r="D76"/>
  <c r="O76" s="1"/>
  <c r="D77"/>
  <c r="O77" s="1"/>
  <c r="D78"/>
  <c r="O78" s="1"/>
  <c r="D79"/>
  <c r="O79" s="1"/>
  <c r="D80"/>
  <c r="O80" s="1"/>
  <c r="D81"/>
  <c r="O81" s="1"/>
  <c r="D82"/>
  <c r="O82" s="1"/>
  <c r="D83"/>
  <c r="O83" s="1"/>
  <c r="D84"/>
  <c r="O84" s="1"/>
  <c r="D85"/>
  <c r="O85" s="1"/>
  <c r="D86"/>
  <c r="O86" s="1"/>
  <c r="D87"/>
  <c r="O87" s="1"/>
  <c r="D88"/>
  <c r="O88" s="1"/>
  <c r="D89"/>
  <c r="O89" s="1"/>
  <c r="D90"/>
  <c r="O90" s="1"/>
  <c r="D91"/>
  <c r="O91" s="1"/>
  <c r="D92"/>
  <c r="O92" s="1"/>
  <c r="D93"/>
  <c r="O93" s="1"/>
  <c r="D94"/>
  <c r="O94" s="1"/>
  <c r="D95"/>
  <c r="O95" s="1"/>
  <c r="D96"/>
  <c r="O96" s="1"/>
  <c r="D97"/>
  <c r="O97" s="1"/>
  <c r="D98"/>
  <c r="O98" s="1"/>
  <c r="D99"/>
  <c r="O99" s="1"/>
  <c r="D100"/>
  <c r="O100" s="1"/>
  <c r="D101"/>
  <c r="O101" s="1"/>
  <c r="D102"/>
  <c r="O102" s="1"/>
  <c r="D103"/>
  <c r="O103" s="1"/>
  <c r="E25"/>
  <c r="P25" s="1"/>
  <c r="J25" i="6" s="1"/>
  <c r="E49" i="19"/>
  <c r="P49" s="1"/>
  <c r="J49" i="6" s="1"/>
  <c r="E69" i="19"/>
  <c r="P69" s="1"/>
  <c r="E70"/>
  <c r="P70" s="1"/>
  <c r="E71"/>
  <c r="P71" s="1"/>
  <c r="E72"/>
  <c r="P72" s="1"/>
  <c r="E73"/>
  <c r="P73" s="1"/>
  <c r="E74"/>
  <c r="P74" s="1"/>
  <c r="E75"/>
  <c r="P75" s="1"/>
  <c r="E76"/>
  <c r="P76" s="1"/>
  <c r="E77"/>
  <c r="P77" s="1"/>
  <c r="E78"/>
  <c r="P78" s="1"/>
  <c r="E79"/>
  <c r="P79" s="1"/>
  <c r="E80"/>
  <c r="P80" s="1"/>
  <c r="E81"/>
  <c r="P81" s="1"/>
  <c r="E82"/>
  <c r="P82" s="1"/>
  <c r="E83"/>
  <c r="P83" s="1"/>
  <c r="E84"/>
  <c r="P84" s="1"/>
  <c r="E85"/>
  <c r="P85" s="1"/>
  <c r="E86"/>
  <c r="P86" s="1"/>
  <c r="E87"/>
  <c r="P87" s="1"/>
  <c r="E88"/>
  <c r="P88" s="1"/>
  <c r="E89"/>
  <c r="P89" s="1"/>
  <c r="E90"/>
  <c r="P90" s="1"/>
  <c r="E91"/>
  <c r="P91" s="1"/>
  <c r="E92"/>
  <c r="P92" s="1"/>
  <c r="E93"/>
  <c r="P93" s="1"/>
  <c r="E94"/>
  <c r="P94" s="1"/>
  <c r="E95"/>
  <c r="P95" s="1"/>
  <c r="E96"/>
  <c r="P96" s="1"/>
  <c r="E97"/>
  <c r="P97" s="1"/>
  <c r="E98"/>
  <c r="P98" s="1"/>
  <c r="E99"/>
  <c r="P99" s="1"/>
  <c r="E100"/>
  <c r="P100" s="1"/>
  <c r="E101"/>
  <c r="P101" s="1"/>
  <c r="E102"/>
  <c r="P102" s="1"/>
  <c r="E103"/>
  <c r="P103" s="1"/>
  <c r="F25"/>
  <c r="Q25" s="1"/>
  <c r="K25" i="6" s="1"/>
  <c r="F38" i="19"/>
  <c r="Q38" s="1"/>
  <c r="K38" i="6" s="1"/>
  <c r="F49" i="19"/>
  <c r="Q49" s="1"/>
  <c r="K49" i="6" s="1"/>
  <c r="F69" i="19"/>
  <c r="Q69" s="1"/>
  <c r="F70"/>
  <c r="Q70" s="1"/>
  <c r="F71"/>
  <c r="Q71" s="1"/>
  <c r="F72"/>
  <c r="Q72" s="1"/>
  <c r="F73"/>
  <c r="Q73" s="1"/>
  <c r="F74"/>
  <c r="Q74" s="1"/>
  <c r="F75"/>
  <c r="Q75" s="1"/>
  <c r="F76"/>
  <c r="Q76" s="1"/>
  <c r="F77"/>
  <c r="Q77" s="1"/>
  <c r="F78"/>
  <c r="Q78" s="1"/>
  <c r="F79"/>
  <c r="Q79" s="1"/>
  <c r="F80"/>
  <c r="Q80" s="1"/>
  <c r="F81"/>
  <c r="Q81" s="1"/>
  <c r="F82"/>
  <c r="Q82" s="1"/>
  <c r="F83"/>
  <c r="Q83" s="1"/>
  <c r="F84"/>
  <c r="Q84" s="1"/>
  <c r="F85"/>
  <c r="Q85" s="1"/>
  <c r="F86"/>
  <c r="Q86" s="1"/>
  <c r="F87"/>
  <c r="Q87" s="1"/>
  <c r="F88"/>
  <c r="Q88" s="1"/>
  <c r="F89"/>
  <c r="Q89" s="1"/>
  <c r="F90"/>
  <c r="Q90" s="1"/>
  <c r="F91"/>
  <c r="Q91" s="1"/>
  <c r="F92"/>
  <c r="Q92" s="1"/>
  <c r="F93"/>
  <c r="Q93" s="1"/>
  <c r="F94"/>
  <c r="Q94" s="1"/>
  <c r="F95"/>
  <c r="Q95" s="1"/>
  <c r="F96"/>
  <c r="Q96" s="1"/>
  <c r="F97"/>
  <c r="Q97" s="1"/>
  <c r="F98"/>
  <c r="Q98" s="1"/>
  <c r="F99"/>
  <c r="Q99" s="1"/>
  <c r="F100"/>
  <c r="Q100" s="1"/>
  <c r="F101"/>
  <c r="Q101" s="1"/>
  <c r="F102"/>
  <c r="Q102" s="1"/>
  <c r="F103"/>
  <c r="Q103" s="1"/>
  <c r="G25"/>
  <c r="R25" s="1"/>
  <c r="L25" i="6" s="1"/>
  <c r="G38" i="19"/>
  <c r="R38" s="1"/>
  <c r="L38" i="6" s="1"/>
  <c r="G49" i="19"/>
  <c r="R49" s="1"/>
  <c r="L49" i="6" s="1"/>
  <c r="G55" i="19"/>
  <c r="R55" s="1"/>
  <c r="L55" i="6" s="1"/>
  <c r="G69" i="19"/>
  <c r="R69" s="1"/>
  <c r="G70"/>
  <c r="R70" s="1"/>
  <c r="G71"/>
  <c r="R71" s="1"/>
  <c r="G72"/>
  <c r="R72" s="1"/>
  <c r="G73"/>
  <c r="R73" s="1"/>
  <c r="G74"/>
  <c r="R74" s="1"/>
  <c r="G75"/>
  <c r="R75" s="1"/>
  <c r="G76"/>
  <c r="R76" s="1"/>
  <c r="G77"/>
  <c r="R77" s="1"/>
  <c r="G78"/>
  <c r="R78" s="1"/>
  <c r="G79"/>
  <c r="R79" s="1"/>
  <c r="G80"/>
  <c r="R80" s="1"/>
  <c r="G81"/>
  <c r="R81" s="1"/>
  <c r="G82"/>
  <c r="R82" s="1"/>
  <c r="G83"/>
  <c r="R83" s="1"/>
  <c r="G84"/>
  <c r="R84" s="1"/>
  <c r="G85"/>
  <c r="R85" s="1"/>
  <c r="G86"/>
  <c r="R86" s="1"/>
  <c r="G87"/>
  <c r="R87" s="1"/>
  <c r="G88"/>
  <c r="R88" s="1"/>
  <c r="G89"/>
  <c r="R89" s="1"/>
  <c r="G90"/>
  <c r="R90" s="1"/>
  <c r="G91"/>
  <c r="R91" s="1"/>
  <c r="G92"/>
  <c r="R92" s="1"/>
  <c r="G93"/>
  <c r="R93" s="1"/>
  <c r="G94"/>
  <c r="R94" s="1"/>
  <c r="G95"/>
  <c r="R95" s="1"/>
  <c r="G96"/>
  <c r="R96" s="1"/>
  <c r="G97"/>
  <c r="R97" s="1"/>
  <c r="G98"/>
  <c r="R98" s="1"/>
  <c r="G99"/>
  <c r="R99" s="1"/>
  <c r="G100"/>
  <c r="R100" s="1"/>
  <c r="G101"/>
  <c r="R101" s="1"/>
  <c r="G102"/>
  <c r="R102" s="1"/>
  <c r="G103"/>
  <c r="R103" s="1"/>
  <c r="H25"/>
  <c r="S25" s="1"/>
  <c r="M25" i="6" s="1"/>
  <c r="H38" i="19"/>
  <c r="S38" s="1"/>
  <c r="M38" i="6" s="1"/>
  <c r="H49" i="19"/>
  <c r="S49" s="1"/>
  <c r="M49" i="6" s="1"/>
  <c r="H55" i="19"/>
  <c r="S55" s="1"/>
  <c r="M55" i="6" s="1"/>
  <c r="H69" i="19"/>
  <c r="S69" s="1"/>
  <c r="H70"/>
  <c r="S70" s="1"/>
  <c r="H71"/>
  <c r="S71" s="1"/>
  <c r="H72"/>
  <c r="S72" s="1"/>
  <c r="H73"/>
  <c r="S73" s="1"/>
  <c r="H74"/>
  <c r="S74" s="1"/>
  <c r="H75"/>
  <c r="S75" s="1"/>
  <c r="H76"/>
  <c r="S76" s="1"/>
  <c r="H77"/>
  <c r="S77" s="1"/>
  <c r="H78"/>
  <c r="S78" s="1"/>
  <c r="H79"/>
  <c r="S79" s="1"/>
  <c r="H80"/>
  <c r="S80" s="1"/>
  <c r="H81"/>
  <c r="S81" s="1"/>
  <c r="H82"/>
  <c r="S82" s="1"/>
  <c r="H83"/>
  <c r="S83" s="1"/>
  <c r="H84"/>
  <c r="S84" s="1"/>
  <c r="H85"/>
  <c r="S85" s="1"/>
  <c r="H86"/>
  <c r="S86" s="1"/>
  <c r="H87"/>
  <c r="S87" s="1"/>
  <c r="H88"/>
  <c r="S88" s="1"/>
  <c r="H89"/>
  <c r="S89" s="1"/>
  <c r="H90"/>
  <c r="S90" s="1"/>
  <c r="H91"/>
  <c r="S91" s="1"/>
  <c r="H92"/>
  <c r="S92" s="1"/>
  <c r="H93"/>
  <c r="S93" s="1"/>
  <c r="H94"/>
  <c r="S94" s="1"/>
  <c r="H95"/>
  <c r="S95" s="1"/>
  <c r="H96"/>
  <c r="S96" s="1"/>
  <c r="H97"/>
  <c r="S97" s="1"/>
  <c r="H98"/>
  <c r="S98" s="1"/>
  <c r="H99"/>
  <c r="S99" s="1"/>
  <c r="H100"/>
  <c r="S100" s="1"/>
  <c r="H101"/>
  <c r="S101" s="1"/>
  <c r="H102"/>
  <c r="S102" s="1"/>
  <c r="H103"/>
  <c r="S103" s="1"/>
  <c r="I25"/>
  <c r="T25" s="1"/>
  <c r="N25" i="6" s="1"/>
  <c r="I30" i="19"/>
  <c r="T30" s="1"/>
  <c r="N30" i="6" s="1"/>
  <c r="I38" i="19"/>
  <c r="T38" s="1"/>
  <c r="N38" i="6" s="1"/>
  <c r="I49" i="19"/>
  <c r="T49" s="1"/>
  <c r="N49" i="6" s="1"/>
  <c r="I55" i="19"/>
  <c r="T55" s="1"/>
  <c r="N55" i="6" s="1"/>
  <c r="I26" i="19"/>
  <c r="T26" s="1"/>
  <c r="N26" i="6" s="1"/>
  <c r="I50" i="19"/>
  <c r="T50" s="1"/>
  <c r="N50" i="6" s="1"/>
  <c r="I69" i="19"/>
  <c r="T69" s="1"/>
  <c r="I70"/>
  <c r="T70" s="1"/>
  <c r="I71"/>
  <c r="T71" s="1"/>
  <c r="I72"/>
  <c r="T72" s="1"/>
  <c r="I73"/>
  <c r="T73" s="1"/>
  <c r="I74"/>
  <c r="T74" s="1"/>
  <c r="I75"/>
  <c r="T75" s="1"/>
  <c r="I76"/>
  <c r="T76" s="1"/>
  <c r="I77"/>
  <c r="T77" s="1"/>
  <c r="I78"/>
  <c r="T78" s="1"/>
  <c r="I79"/>
  <c r="T79" s="1"/>
  <c r="I80"/>
  <c r="T80" s="1"/>
  <c r="I81"/>
  <c r="T81" s="1"/>
  <c r="I82"/>
  <c r="T82" s="1"/>
  <c r="I83"/>
  <c r="T83" s="1"/>
  <c r="I84"/>
  <c r="T84" s="1"/>
  <c r="I85"/>
  <c r="T85" s="1"/>
  <c r="I86"/>
  <c r="T86" s="1"/>
  <c r="I87"/>
  <c r="T87" s="1"/>
  <c r="I88"/>
  <c r="T88" s="1"/>
  <c r="I89"/>
  <c r="T89" s="1"/>
  <c r="I90"/>
  <c r="T90" s="1"/>
  <c r="I91"/>
  <c r="T91" s="1"/>
  <c r="I92"/>
  <c r="T92" s="1"/>
  <c r="I93"/>
  <c r="T93" s="1"/>
  <c r="I94"/>
  <c r="T94" s="1"/>
  <c r="I95"/>
  <c r="T95" s="1"/>
  <c r="I96"/>
  <c r="T96" s="1"/>
  <c r="I97"/>
  <c r="T97" s="1"/>
  <c r="I98"/>
  <c r="T98" s="1"/>
  <c r="I99"/>
  <c r="T99" s="1"/>
  <c r="I100"/>
  <c r="T100" s="1"/>
  <c r="I101"/>
  <c r="T101" s="1"/>
  <c r="I102"/>
  <c r="T102" s="1"/>
  <c r="I103"/>
  <c r="T103" s="1"/>
  <c r="J25"/>
  <c r="U25" s="1"/>
  <c r="O25" i="6" s="1"/>
  <c r="J30" i="19"/>
  <c r="U30" s="1"/>
  <c r="O30" i="6" s="1"/>
  <c r="J38" i="19"/>
  <c r="U38" s="1"/>
  <c r="O38" i="6" s="1"/>
  <c r="J40" i="19"/>
  <c r="U40" s="1"/>
  <c r="O40" i="6" s="1"/>
  <c r="J46" i="19"/>
  <c r="U46" s="1"/>
  <c r="O46" i="6" s="1"/>
  <c r="J49" i="19"/>
  <c r="U49" s="1"/>
  <c r="O49" i="6" s="1"/>
  <c r="J55" i="19"/>
  <c r="U55" s="1"/>
  <c r="O55" i="6" s="1"/>
  <c r="J26" i="19"/>
  <c r="U26" s="1"/>
  <c r="O26" i="6" s="1"/>
  <c r="J66" i="19"/>
  <c r="U66" s="1"/>
  <c r="O66" i="6" s="1"/>
  <c r="J50" i="19"/>
  <c r="U50" s="1"/>
  <c r="O50" i="6" s="1"/>
  <c r="J56" i="19"/>
  <c r="U56" s="1"/>
  <c r="O56" i="6" s="1"/>
  <c r="J69" i="19"/>
  <c r="U69" s="1"/>
  <c r="J70"/>
  <c r="U70" s="1"/>
  <c r="J71"/>
  <c r="U71" s="1"/>
  <c r="J72"/>
  <c r="U72" s="1"/>
  <c r="J73"/>
  <c r="U73" s="1"/>
  <c r="J74"/>
  <c r="U74" s="1"/>
  <c r="J75"/>
  <c r="U75" s="1"/>
  <c r="J76"/>
  <c r="U76" s="1"/>
  <c r="J77"/>
  <c r="U77" s="1"/>
  <c r="J78"/>
  <c r="U78" s="1"/>
  <c r="J79"/>
  <c r="U79" s="1"/>
  <c r="J80"/>
  <c r="U80" s="1"/>
  <c r="J81"/>
  <c r="U81" s="1"/>
  <c r="J82"/>
  <c r="U82" s="1"/>
  <c r="J83"/>
  <c r="U83" s="1"/>
  <c r="J84"/>
  <c r="U84" s="1"/>
  <c r="J85"/>
  <c r="U85" s="1"/>
  <c r="J86"/>
  <c r="U86" s="1"/>
  <c r="J87"/>
  <c r="U87" s="1"/>
  <c r="J88"/>
  <c r="U88" s="1"/>
  <c r="J89"/>
  <c r="U89" s="1"/>
  <c r="J90"/>
  <c r="U90" s="1"/>
  <c r="J91"/>
  <c r="U91" s="1"/>
  <c r="J92"/>
  <c r="U92" s="1"/>
  <c r="J93"/>
  <c r="U93" s="1"/>
  <c r="J94"/>
  <c r="U94" s="1"/>
  <c r="J95"/>
  <c r="U95" s="1"/>
  <c r="J96"/>
  <c r="U96" s="1"/>
  <c r="J97"/>
  <c r="U97" s="1"/>
  <c r="J98"/>
  <c r="U98" s="1"/>
  <c r="J99"/>
  <c r="U99" s="1"/>
  <c r="J100"/>
  <c r="U100" s="1"/>
  <c r="J101"/>
  <c r="U101" s="1"/>
  <c r="J102"/>
  <c r="U102" s="1"/>
  <c r="J103"/>
  <c r="U103" s="1"/>
  <c r="K24"/>
  <c r="V24" s="1"/>
  <c r="P24" i="6" s="1"/>
  <c r="K25" i="19"/>
  <c r="V25" s="1"/>
  <c r="P25" i="6" s="1"/>
  <c r="K30" i="19"/>
  <c r="V30" s="1"/>
  <c r="P30" i="6" s="1"/>
  <c r="K38" i="19"/>
  <c r="V38" s="1"/>
  <c r="P38" i="6" s="1"/>
  <c r="K40" i="19"/>
  <c r="V40" s="1"/>
  <c r="P40" i="6" s="1"/>
  <c r="K46" i="19"/>
  <c r="V46" s="1"/>
  <c r="P46" i="6" s="1"/>
  <c r="K47" i="19"/>
  <c r="V47" s="1"/>
  <c r="P47" i="6" s="1"/>
  <c r="K49" i="19"/>
  <c r="V49" s="1"/>
  <c r="P49" i="6" s="1"/>
  <c r="K55" i="19"/>
  <c r="V55" s="1"/>
  <c r="P55" i="6" s="1"/>
  <c r="K18" i="19"/>
  <c r="V18" s="1"/>
  <c r="P18" i="6" s="1"/>
  <c r="K26" i="19"/>
  <c r="V26" s="1"/>
  <c r="P26" i="6" s="1"/>
  <c r="K66" i="19"/>
  <c r="V66" s="1"/>
  <c r="P66" i="6" s="1"/>
  <c r="K50" i="19"/>
  <c r="V50" s="1"/>
  <c r="P50" i="6" s="1"/>
  <c r="K56" i="19"/>
  <c r="V56" s="1"/>
  <c r="P56" i="6" s="1"/>
  <c r="K69" i="19"/>
  <c r="V69" s="1"/>
  <c r="K70"/>
  <c r="V70" s="1"/>
  <c r="K71"/>
  <c r="V71" s="1"/>
  <c r="K72"/>
  <c r="V72" s="1"/>
  <c r="K73"/>
  <c r="V73" s="1"/>
  <c r="K74"/>
  <c r="V74" s="1"/>
  <c r="K75"/>
  <c r="V75" s="1"/>
  <c r="K76"/>
  <c r="V76" s="1"/>
  <c r="K77"/>
  <c r="V77" s="1"/>
  <c r="K78"/>
  <c r="V78" s="1"/>
  <c r="K79"/>
  <c r="V79" s="1"/>
  <c r="K80"/>
  <c r="V80" s="1"/>
  <c r="K81"/>
  <c r="V81" s="1"/>
  <c r="K82"/>
  <c r="V82" s="1"/>
  <c r="K83"/>
  <c r="V83" s="1"/>
  <c r="K84"/>
  <c r="V84" s="1"/>
  <c r="K85"/>
  <c r="V85" s="1"/>
  <c r="K86"/>
  <c r="V86" s="1"/>
  <c r="K87"/>
  <c r="V87" s="1"/>
  <c r="K88"/>
  <c r="V88" s="1"/>
  <c r="K89"/>
  <c r="V89" s="1"/>
  <c r="K90"/>
  <c r="V90" s="1"/>
  <c r="K91"/>
  <c r="V91" s="1"/>
  <c r="K92"/>
  <c r="V92" s="1"/>
  <c r="K93"/>
  <c r="V93" s="1"/>
  <c r="K94"/>
  <c r="V94" s="1"/>
  <c r="K95"/>
  <c r="V95" s="1"/>
  <c r="K96"/>
  <c r="V96" s="1"/>
  <c r="K97"/>
  <c r="V97" s="1"/>
  <c r="K98"/>
  <c r="V98" s="1"/>
  <c r="K99"/>
  <c r="V99" s="1"/>
  <c r="K100"/>
  <c r="V100" s="1"/>
  <c r="K101"/>
  <c r="V101" s="1"/>
  <c r="K102"/>
  <c r="V102" s="1"/>
  <c r="K103"/>
  <c r="V103" s="1"/>
  <c r="L23"/>
  <c r="W23" s="1"/>
  <c r="Q23" i="6" s="1"/>
  <c r="L24" i="19"/>
  <c r="W24" s="1"/>
  <c r="Q24" i="6" s="1"/>
  <c r="L25" i="19"/>
  <c r="W25" s="1"/>
  <c r="Q25" i="6" s="1"/>
  <c r="L30" i="19"/>
  <c r="W30" s="1"/>
  <c r="Q30" i="6" s="1"/>
  <c r="L38" i="19"/>
  <c r="W38" s="1"/>
  <c r="Q38" i="6" s="1"/>
  <c r="L40" i="19"/>
  <c r="W40" s="1"/>
  <c r="Q40" i="6" s="1"/>
  <c r="L46" i="19"/>
  <c r="W46" s="1"/>
  <c r="Q46" i="6" s="1"/>
  <c r="L47" i="19"/>
  <c r="W47" s="1"/>
  <c r="Q47" i="6" s="1"/>
  <c r="L49" i="19"/>
  <c r="W49" s="1"/>
  <c r="Q49" i="6" s="1"/>
  <c r="L55" i="19"/>
  <c r="W55" s="1"/>
  <c r="Q55" i="6" s="1"/>
  <c r="L18" i="19"/>
  <c r="W18" s="1"/>
  <c r="Q18" i="6" s="1"/>
  <c r="L58" i="19"/>
  <c r="W58" s="1"/>
  <c r="Q58" i="6" s="1"/>
  <c r="L59" i="19"/>
  <c r="W59" s="1"/>
  <c r="Q59" i="6" s="1"/>
  <c r="L26" i="19"/>
  <c r="W26" s="1"/>
  <c r="Q26" i="6" s="1"/>
  <c r="L31" i="19"/>
  <c r="W31" s="1"/>
  <c r="Q31" i="6" s="1"/>
  <c r="L66" i="19"/>
  <c r="W66" s="1"/>
  <c r="Q66" i="6" s="1"/>
  <c r="L50" i="19"/>
  <c r="W50" s="1"/>
  <c r="Q50" i="6" s="1"/>
  <c r="L56" i="19"/>
  <c r="W56" s="1"/>
  <c r="Q56" i="6" s="1"/>
  <c r="L69" i="19"/>
  <c r="W69" s="1"/>
  <c r="L70"/>
  <c r="W70" s="1"/>
  <c r="L71"/>
  <c r="W71" s="1"/>
  <c r="L72"/>
  <c r="W72" s="1"/>
  <c r="L73"/>
  <c r="W73" s="1"/>
  <c r="L74"/>
  <c r="W74" s="1"/>
  <c r="L75"/>
  <c r="W75" s="1"/>
  <c r="L76"/>
  <c r="W76" s="1"/>
  <c r="L77"/>
  <c r="W77" s="1"/>
  <c r="L78"/>
  <c r="W78" s="1"/>
  <c r="L79"/>
  <c r="W79" s="1"/>
  <c r="L80"/>
  <c r="W80" s="1"/>
  <c r="L81"/>
  <c r="W81" s="1"/>
  <c r="L82"/>
  <c r="W82" s="1"/>
  <c r="L83"/>
  <c r="W83" s="1"/>
  <c r="L84"/>
  <c r="W84" s="1"/>
  <c r="L85"/>
  <c r="W85" s="1"/>
  <c r="L86"/>
  <c r="W86" s="1"/>
  <c r="L87"/>
  <c r="W87" s="1"/>
  <c r="L88"/>
  <c r="W88" s="1"/>
  <c r="L89"/>
  <c r="W89" s="1"/>
  <c r="L90"/>
  <c r="W90" s="1"/>
  <c r="L91"/>
  <c r="W91" s="1"/>
  <c r="L92"/>
  <c r="W92" s="1"/>
  <c r="L93"/>
  <c r="W93" s="1"/>
  <c r="L94"/>
  <c r="W94" s="1"/>
  <c r="L95"/>
  <c r="W95" s="1"/>
  <c r="L96"/>
  <c r="W96" s="1"/>
  <c r="L97"/>
  <c r="W97" s="1"/>
  <c r="L98"/>
  <c r="W98" s="1"/>
  <c r="L99"/>
  <c r="W99" s="1"/>
  <c r="L100"/>
  <c r="W100" s="1"/>
  <c r="L101"/>
  <c r="W101" s="1"/>
  <c r="L102"/>
  <c r="W102" s="1"/>
  <c r="L103"/>
  <c r="W103" s="1"/>
  <c r="M23"/>
  <c r="X23" s="1"/>
  <c r="R23" i="6" s="1"/>
  <c r="M24" i="19"/>
  <c r="X24" s="1"/>
  <c r="R24" i="6" s="1"/>
  <c r="M25" i="19"/>
  <c r="X25" s="1"/>
  <c r="R25" i="6" s="1"/>
  <c r="M28" i="19"/>
  <c r="X28" s="1"/>
  <c r="R28" i="6" s="1"/>
  <c r="M30" i="19"/>
  <c r="X30" s="1"/>
  <c r="R30" i="6" s="1"/>
  <c r="M38" i="19"/>
  <c r="X38" s="1"/>
  <c r="R38" i="6" s="1"/>
  <c r="M40" i="19"/>
  <c r="X40" s="1"/>
  <c r="R40" i="6" s="1"/>
  <c r="M46" i="19"/>
  <c r="X46" s="1"/>
  <c r="R46" i="6" s="1"/>
  <c r="M47" i="19"/>
  <c r="X47" s="1"/>
  <c r="R47" i="6" s="1"/>
  <c r="M48" i="19"/>
  <c r="X48" s="1"/>
  <c r="R48" i="6" s="1"/>
  <c r="M49" i="19"/>
  <c r="X49" s="1"/>
  <c r="R49" i="6" s="1"/>
  <c r="M55" i="19"/>
  <c r="X55" s="1"/>
  <c r="R55" i="6" s="1"/>
  <c r="M18" i="19"/>
  <c r="X18" s="1"/>
  <c r="R18" i="6" s="1"/>
  <c r="M58" i="19"/>
  <c r="X58" s="1"/>
  <c r="R58" i="6" s="1"/>
  <c r="M59" i="19"/>
  <c r="X59" s="1"/>
  <c r="R59" i="6" s="1"/>
  <c r="M26" i="19"/>
  <c r="X26" s="1"/>
  <c r="R26" i="6" s="1"/>
  <c r="M31" i="19"/>
  <c r="X31" s="1"/>
  <c r="R31" i="6" s="1"/>
  <c r="M66" i="19"/>
  <c r="X66" s="1"/>
  <c r="R66" i="6" s="1"/>
  <c r="M50" i="19"/>
  <c r="X50" s="1"/>
  <c r="R50" i="6" s="1"/>
  <c r="M56" i="19"/>
  <c r="X56" s="1"/>
  <c r="R56" i="6" s="1"/>
  <c r="M69" i="19"/>
  <c r="X69" s="1"/>
  <c r="M70"/>
  <c r="X70" s="1"/>
  <c r="M71"/>
  <c r="X71" s="1"/>
  <c r="M72"/>
  <c r="X72" s="1"/>
  <c r="M73"/>
  <c r="X73" s="1"/>
  <c r="M74"/>
  <c r="X74" s="1"/>
  <c r="M75"/>
  <c r="X75" s="1"/>
  <c r="M76"/>
  <c r="X76" s="1"/>
  <c r="M77"/>
  <c r="X77" s="1"/>
  <c r="M78"/>
  <c r="X78" s="1"/>
  <c r="M79"/>
  <c r="X79" s="1"/>
  <c r="M80"/>
  <c r="X80" s="1"/>
  <c r="M81"/>
  <c r="X81" s="1"/>
  <c r="M82"/>
  <c r="X82" s="1"/>
  <c r="M83"/>
  <c r="X83" s="1"/>
  <c r="M84"/>
  <c r="X84" s="1"/>
  <c r="M85"/>
  <c r="X85" s="1"/>
  <c r="M86"/>
  <c r="X86" s="1"/>
  <c r="M87"/>
  <c r="X87" s="1"/>
  <c r="M88"/>
  <c r="X88" s="1"/>
  <c r="M89"/>
  <c r="X89" s="1"/>
  <c r="M90"/>
  <c r="X90" s="1"/>
  <c r="M91"/>
  <c r="X91" s="1"/>
  <c r="M92"/>
  <c r="X92" s="1"/>
  <c r="M93"/>
  <c r="X93" s="1"/>
  <c r="M94"/>
  <c r="X94" s="1"/>
  <c r="M95"/>
  <c r="X95" s="1"/>
  <c r="M96"/>
  <c r="X96" s="1"/>
  <c r="M97"/>
  <c r="X97" s="1"/>
  <c r="M98"/>
  <c r="X98" s="1"/>
  <c r="M99"/>
  <c r="X99" s="1"/>
  <c r="M100"/>
  <c r="X100" s="1"/>
  <c r="M101"/>
  <c r="X101" s="1"/>
  <c r="M102"/>
  <c r="X102" s="1"/>
  <c r="M103"/>
  <c r="X103" s="1"/>
  <c r="Y103" i="10" l="1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56"/>
  <c r="Y29"/>
  <c r="Y11"/>
  <c r="Y50"/>
  <c r="Y68"/>
  <c r="Y67"/>
  <c r="Y66"/>
  <c r="Y65"/>
  <c r="Y64"/>
  <c r="Y62"/>
  <c r="Y63"/>
  <c r="Y31"/>
  <c r="Y61"/>
  <c r="Y60"/>
  <c r="Y26"/>
  <c r="Y59"/>
  <c r="Y58"/>
  <c r="Y57"/>
  <c r="Y21"/>
  <c r="Y20"/>
  <c r="Y18"/>
  <c r="Y55"/>
  <c r="Y54"/>
  <c r="Y53"/>
  <c r="Y52"/>
  <c r="Y51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0"/>
  <c r="Y28"/>
  <c r="Y27"/>
  <c r="Y25"/>
  <c r="Y24"/>
  <c r="Y23"/>
  <c r="Y22"/>
  <c r="Y19"/>
  <c r="Y17"/>
  <c r="Y16"/>
  <c r="Y15"/>
  <c r="Y14"/>
  <c r="Y13"/>
  <c r="Y12"/>
  <c r="Y10"/>
  <c r="Y9"/>
  <c r="Y8"/>
  <c r="Y7"/>
  <c r="Y6"/>
  <c r="Y5"/>
  <c r="Y4"/>
  <c r="Y2"/>
  <c r="BO1" i="1" l="1"/>
  <c r="BH1"/>
  <c r="BA1"/>
  <c r="AT1"/>
  <c r="AJ1"/>
  <c r="Z1"/>
  <c r="Q1"/>
  <c r="A87" i="8" l="1"/>
  <c r="A74"/>
  <c r="A61"/>
  <c r="A48"/>
  <c r="A35"/>
  <c r="A22"/>
  <c r="A9"/>
  <c r="C7" l="1"/>
  <c r="O6" i="18" l="1"/>
  <c r="O7"/>
  <c r="O17"/>
  <c r="O22"/>
  <c r="O23"/>
  <c r="O24"/>
  <c r="O25"/>
  <c r="O38"/>
  <c r="O40"/>
  <c r="O42"/>
  <c r="O46"/>
  <c r="O47"/>
  <c r="O49"/>
  <c r="O52"/>
  <c r="O58"/>
  <c r="O61"/>
  <c r="O31"/>
  <c r="O66"/>
  <c r="O50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N6"/>
  <c r="N7"/>
  <c r="N24"/>
  <c r="N25"/>
  <c r="N38"/>
  <c r="N40"/>
  <c r="N42"/>
  <c r="N46"/>
  <c r="N47"/>
  <c r="N49"/>
  <c r="N52"/>
  <c r="N61"/>
  <c r="N66"/>
  <c r="N50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M6"/>
  <c r="M7"/>
  <c r="M25"/>
  <c r="M38"/>
  <c r="M40"/>
  <c r="M46"/>
  <c r="M47"/>
  <c r="M49"/>
  <c r="M52"/>
  <c r="M61"/>
  <c r="M66"/>
  <c r="M50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L7"/>
  <c r="L25"/>
  <c r="L49"/>
  <c r="L50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K25"/>
  <c r="K49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J25"/>
  <c r="J49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I25"/>
  <c r="I49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H25"/>
  <c r="H49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C69"/>
  <c r="P69" s="1"/>
  <c r="C70"/>
  <c r="P70" s="1"/>
  <c r="C71"/>
  <c r="P71" s="1"/>
  <c r="C72"/>
  <c r="P72" s="1"/>
  <c r="C73"/>
  <c r="P73" s="1"/>
  <c r="C74"/>
  <c r="P74" s="1"/>
  <c r="C75"/>
  <c r="P75" s="1"/>
  <c r="C76"/>
  <c r="P76" s="1"/>
  <c r="C77"/>
  <c r="P77" s="1"/>
  <c r="C78"/>
  <c r="P78" s="1"/>
  <c r="C79"/>
  <c r="P79" s="1"/>
  <c r="C80"/>
  <c r="P80" s="1"/>
  <c r="C81"/>
  <c r="P81" s="1"/>
  <c r="C82"/>
  <c r="P82" s="1"/>
  <c r="C83"/>
  <c r="P83" s="1"/>
  <c r="C84"/>
  <c r="P84" s="1"/>
  <c r="C85"/>
  <c r="P85" s="1"/>
  <c r="C86"/>
  <c r="P86" s="1"/>
  <c r="C87"/>
  <c r="P87" s="1"/>
  <c r="C88"/>
  <c r="P88" s="1"/>
  <c r="C89"/>
  <c r="P89" s="1"/>
  <c r="C90"/>
  <c r="P90" s="1"/>
  <c r="C91"/>
  <c r="P91" s="1"/>
  <c r="C92"/>
  <c r="P92" s="1"/>
  <c r="C93"/>
  <c r="P93" s="1"/>
  <c r="C94"/>
  <c r="P94" s="1"/>
  <c r="C95"/>
  <c r="P95" s="1"/>
  <c r="C96"/>
  <c r="P96" s="1"/>
  <c r="C97"/>
  <c r="P97" s="1"/>
  <c r="C98"/>
  <c r="P98" s="1"/>
  <c r="C99"/>
  <c r="P99" s="1"/>
  <c r="C100"/>
  <c r="P100" s="1"/>
  <c r="C101"/>
  <c r="P101" s="1"/>
  <c r="C102"/>
  <c r="P102" s="1"/>
  <c r="C103"/>
  <c r="P103" s="1"/>
  <c r="Q103"/>
  <c r="R103" s="1"/>
  <c r="Q102"/>
  <c r="R102" s="1"/>
  <c r="Q101"/>
  <c r="R101" s="1"/>
  <c r="Q100"/>
  <c r="R100" s="1"/>
  <c r="Q99"/>
  <c r="R99" s="1"/>
  <c r="Q98"/>
  <c r="R98" s="1"/>
  <c r="Q97"/>
  <c r="R97" s="1"/>
  <c r="Q96"/>
  <c r="R96" s="1"/>
  <c r="Q95"/>
  <c r="R95" s="1"/>
  <c r="Q94"/>
  <c r="R94" s="1"/>
  <c r="Q93"/>
  <c r="R93" s="1"/>
  <c r="Q92"/>
  <c r="R92" s="1"/>
  <c r="Q91"/>
  <c r="R91" s="1"/>
  <c r="Q90"/>
  <c r="R90" s="1"/>
  <c r="Q89"/>
  <c r="R89" s="1"/>
  <c r="Q88"/>
  <c r="R88" s="1"/>
  <c r="Q87"/>
  <c r="R87" s="1"/>
  <c r="Q86"/>
  <c r="R86" s="1"/>
  <c r="Q85"/>
  <c r="R85" s="1"/>
  <c r="Q84"/>
  <c r="R84" s="1"/>
  <c r="Q83"/>
  <c r="R83" s="1"/>
  <c r="Q82"/>
  <c r="R82" s="1"/>
  <c r="Q81"/>
  <c r="R81" s="1"/>
  <c r="Q80"/>
  <c r="R80" s="1"/>
  <c r="Q79"/>
  <c r="R79" s="1"/>
  <c r="Q78"/>
  <c r="R78" s="1"/>
  <c r="Q77"/>
  <c r="R77" s="1"/>
  <c r="Q76"/>
  <c r="R76" s="1"/>
  <c r="Q75"/>
  <c r="R75" s="1"/>
  <c r="Q74"/>
  <c r="R74" s="1"/>
  <c r="Q73"/>
  <c r="R73" s="1"/>
  <c r="Q72"/>
  <c r="R72" s="1"/>
  <c r="Q71"/>
  <c r="R71" s="1"/>
  <c r="Q70"/>
  <c r="R70" s="1"/>
  <c r="Q69"/>
  <c r="R69" s="1"/>
  <c r="O103" i="16" l="1"/>
  <c r="N103"/>
  <c r="M103"/>
  <c r="L103"/>
  <c r="K103"/>
  <c r="J103"/>
  <c r="I103"/>
  <c r="H103"/>
  <c r="G103"/>
  <c r="F103"/>
  <c r="E103"/>
  <c r="D103"/>
  <c r="C103"/>
  <c r="O102"/>
  <c r="N102"/>
  <c r="M102"/>
  <c r="L102"/>
  <c r="K102"/>
  <c r="J102"/>
  <c r="I102"/>
  <c r="H102"/>
  <c r="G102"/>
  <c r="F102"/>
  <c r="E102"/>
  <c r="D102"/>
  <c r="C102"/>
  <c r="O101"/>
  <c r="N101"/>
  <c r="M101"/>
  <c r="L101"/>
  <c r="K101"/>
  <c r="J101"/>
  <c r="I101"/>
  <c r="H101"/>
  <c r="G101"/>
  <c r="F101"/>
  <c r="E101"/>
  <c r="D101"/>
  <c r="C101"/>
  <c r="O100"/>
  <c r="N100"/>
  <c r="M100"/>
  <c r="L100"/>
  <c r="K100"/>
  <c r="J100"/>
  <c r="I100"/>
  <c r="H100"/>
  <c r="G100"/>
  <c r="F100"/>
  <c r="E100"/>
  <c r="D100"/>
  <c r="C100"/>
  <c r="O99"/>
  <c r="N99"/>
  <c r="M99"/>
  <c r="L99"/>
  <c r="K99"/>
  <c r="J99"/>
  <c r="I99"/>
  <c r="H99"/>
  <c r="G99"/>
  <c r="F99"/>
  <c r="E99"/>
  <c r="D99"/>
  <c r="C99"/>
  <c r="O98"/>
  <c r="N98"/>
  <c r="M98"/>
  <c r="L98"/>
  <c r="K98"/>
  <c r="J98"/>
  <c r="I98"/>
  <c r="H98"/>
  <c r="G98"/>
  <c r="F98"/>
  <c r="E98"/>
  <c r="D98"/>
  <c r="C98"/>
  <c r="O97"/>
  <c r="N97"/>
  <c r="M97"/>
  <c r="L97"/>
  <c r="K97"/>
  <c r="J97"/>
  <c r="I97"/>
  <c r="H97"/>
  <c r="G97"/>
  <c r="F97"/>
  <c r="E97"/>
  <c r="D97"/>
  <c r="C97"/>
  <c r="O96"/>
  <c r="N96"/>
  <c r="M96"/>
  <c r="L96"/>
  <c r="K96"/>
  <c r="J96"/>
  <c r="I96"/>
  <c r="H96"/>
  <c r="G96"/>
  <c r="F96"/>
  <c r="E96"/>
  <c r="D96"/>
  <c r="C96"/>
  <c r="O95"/>
  <c r="N95"/>
  <c r="M95"/>
  <c r="L95"/>
  <c r="K95"/>
  <c r="J95"/>
  <c r="I95"/>
  <c r="H95"/>
  <c r="G95"/>
  <c r="F95"/>
  <c r="E95"/>
  <c r="D95"/>
  <c r="C95"/>
  <c r="O94"/>
  <c r="N94"/>
  <c r="M94"/>
  <c r="L94"/>
  <c r="K94"/>
  <c r="J94"/>
  <c r="I94"/>
  <c r="H94"/>
  <c r="G94"/>
  <c r="F94"/>
  <c r="E94"/>
  <c r="D94"/>
  <c r="C94"/>
  <c r="O93"/>
  <c r="N93"/>
  <c r="M93"/>
  <c r="L93"/>
  <c r="K93"/>
  <c r="J93"/>
  <c r="I93"/>
  <c r="H93"/>
  <c r="G93"/>
  <c r="F93"/>
  <c r="E93"/>
  <c r="D93"/>
  <c r="C93"/>
  <c r="O92"/>
  <c r="N92"/>
  <c r="M92"/>
  <c r="L92"/>
  <c r="K92"/>
  <c r="J92"/>
  <c r="I92"/>
  <c r="H92"/>
  <c r="G92"/>
  <c r="F92"/>
  <c r="E92"/>
  <c r="D92"/>
  <c r="C92"/>
  <c r="O91"/>
  <c r="N91"/>
  <c r="M91"/>
  <c r="L91"/>
  <c r="K91"/>
  <c r="J91"/>
  <c r="I91"/>
  <c r="H91"/>
  <c r="G91"/>
  <c r="F91"/>
  <c r="E91"/>
  <c r="D91"/>
  <c r="C91"/>
  <c r="O90"/>
  <c r="N90"/>
  <c r="M90"/>
  <c r="L90"/>
  <c r="K90"/>
  <c r="J90"/>
  <c r="I90"/>
  <c r="H90"/>
  <c r="G90"/>
  <c r="F90"/>
  <c r="E90"/>
  <c r="D90"/>
  <c r="C90"/>
  <c r="O89"/>
  <c r="N89"/>
  <c r="M89"/>
  <c r="L89"/>
  <c r="K89"/>
  <c r="J89"/>
  <c r="I89"/>
  <c r="H89"/>
  <c r="G89"/>
  <c r="F89"/>
  <c r="E89"/>
  <c r="D89"/>
  <c r="C89"/>
  <c r="O88"/>
  <c r="N88"/>
  <c r="M88"/>
  <c r="L88"/>
  <c r="K88"/>
  <c r="J88"/>
  <c r="I88"/>
  <c r="H88"/>
  <c r="G88"/>
  <c r="F88"/>
  <c r="E88"/>
  <c r="D88"/>
  <c r="C88"/>
  <c r="O87"/>
  <c r="N87"/>
  <c r="M87"/>
  <c r="L87"/>
  <c r="K87"/>
  <c r="J87"/>
  <c r="I87"/>
  <c r="H87"/>
  <c r="G87"/>
  <c r="F87"/>
  <c r="E87"/>
  <c r="D87"/>
  <c r="C87"/>
  <c r="O86"/>
  <c r="N86"/>
  <c r="M86"/>
  <c r="L86"/>
  <c r="K86"/>
  <c r="J86"/>
  <c r="I86"/>
  <c r="H86"/>
  <c r="G86"/>
  <c r="F86"/>
  <c r="E86"/>
  <c r="D86"/>
  <c r="C86"/>
  <c r="O85"/>
  <c r="N85"/>
  <c r="M85"/>
  <c r="L85"/>
  <c r="K85"/>
  <c r="J85"/>
  <c r="I85"/>
  <c r="H85"/>
  <c r="G85"/>
  <c r="F85"/>
  <c r="E85"/>
  <c r="D85"/>
  <c r="C85"/>
  <c r="O84"/>
  <c r="N84"/>
  <c r="M84"/>
  <c r="L84"/>
  <c r="K84"/>
  <c r="J84"/>
  <c r="I84"/>
  <c r="H84"/>
  <c r="G84"/>
  <c r="F84"/>
  <c r="E84"/>
  <c r="D84"/>
  <c r="C84"/>
  <c r="O83"/>
  <c r="N83"/>
  <c r="M83"/>
  <c r="L83"/>
  <c r="K83"/>
  <c r="J83"/>
  <c r="I83"/>
  <c r="H83"/>
  <c r="G83"/>
  <c r="F83"/>
  <c r="E83"/>
  <c r="D83"/>
  <c r="C83"/>
  <c r="O82"/>
  <c r="N82"/>
  <c r="M82"/>
  <c r="L82"/>
  <c r="K82"/>
  <c r="J82"/>
  <c r="I82"/>
  <c r="H82"/>
  <c r="G82"/>
  <c r="F82"/>
  <c r="E82"/>
  <c r="D82"/>
  <c r="C82"/>
  <c r="O81"/>
  <c r="N81"/>
  <c r="M81"/>
  <c r="L81"/>
  <c r="K81"/>
  <c r="J81"/>
  <c r="I81"/>
  <c r="H81"/>
  <c r="G81"/>
  <c r="F81"/>
  <c r="E81"/>
  <c r="D81"/>
  <c r="C81"/>
  <c r="O80"/>
  <c r="N80"/>
  <c r="M80"/>
  <c r="L80"/>
  <c r="K80"/>
  <c r="J80"/>
  <c r="I80"/>
  <c r="H80"/>
  <c r="G80"/>
  <c r="F80"/>
  <c r="E80"/>
  <c r="D80"/>
  <c r="C80"/>
  <c r="O79"/>
  <c r="N79"/>
  <c r="M79"/>
  <c r="L79"/>
  <c r="K79"/>
  <c r="J79"/>
  <c r="I79"/>
  <c r="H79"/>
  <c r="G79"/>
  <c r="F79"/>
  <c r="E79"/>
  <c r="D79"/>
  <c r="C79"/>
  <c r="O78"/>
  <c r="N78"/>
  <c r="M78"/>
  <c r="L78"/>
  <c r="K78"/>
  <c r="J78"/>
  <c r="I78"/>
  <c r="H78"/>
  <c r="G78"/>
  <c r="F78"/>
  <c r="E78"/>
  <c r="D78"/>
  <c r="C78"/>
  <c r="O77"/>
  <c r="N77"/>
  <c r="M77"/>
  <c r="L77"/>
  <c r="K77"/>
  <c r="J77"/>
  <c r="I77"/>
  <c r="H77"/>
  <c r="G77"/>
  <c r="F77"/>
  <c r="E77"/>
  <c r="D77"/>
  <c r="C77"/>
  <c r="O76"/>
  <c r="N76"/>
  <c r="M76"/>
  <c r="L76"/>
  <c r="K76"/>
  <c r="J76"/>
  <c r="I76"/>
  <c r="H76"/>
  <c r="G76"/>
  <c r="F76"/>
  <c r="E76"/>
  <c r="D76"/>
  <c r="C76"/>
  <c r="O75"/>
  <c r="N75"/>
  <c r="M75"/>
  <c r="L75"/>
  <c r="K75"/>
  <c r="J75"/>
  <c r="I75"/>
  <c r="H75"/>
  <c r="G75"/>
  <c r="F75"/>
  <c r="E75"/>
  <c r="D75"/>
  <c r="C75"/>
  <c r="O74"/>
  <c r="N74"/>
  <c r="M74"/>
  <c r="L74"/>
  <c r="K74"/>
  <c r="J74"/>
  <c r="I74"/>
  <c r="H74"/>
  <c r="G74"/>
  <c r="F74"/>
  <c r="E74"/>
  <c r="D74"/>
  <c r="C74"/>
  <c r="O73"/>
  <c r="N73"/>
  <c r="M73"/>
  <c r="L73"/>
  <c r="K73"/>
  <c r="J73"/>
  <c r="I73"/>
  <c r="H73"/>
  <c r="G73"/>
  <c r="F73"/>
  <c r="E73"/>
  <c r="D73"/>
  <c r="C73"/>
  <c r="O72"/>
  <c r="N72"/>
  <c r="M72"/>
  <c r="L72"/>
  <c r="K72"/>
  <c r="J72"/>
  <c r="I72"/>
  <c r="H72"/>
  <c r="G72"/>
  <c r="F72"/>
  <c r="E72"/>
  <c r="D72"/>
  <c r="C72"/>
  <c r="O71"/>
  <c r="N71"/>
  <c r="M71"/>
  <c r="L71"/>
  <c r="K71"/>
  <c r="J71"/>
  <c r="I71"/>
  <c r="H71"/>
  <c r="G71"/>
  <c r="F71"/>
  <c r="E71"/>
  <c r="D71"/>
  <c r="C71"/>
  <c r="O70"/>
  <c r="N70"/>
  <c r="M70"/>
  <c r="L70"/>
  <c r="K70"/>
  <c r="J70"/>
  <c r="I70"/>
  <c r="H70"/>
  <c r="G70"/>
  <c r="F70"/>
  <c r="E70"/>
  <c r="D70"/>
  <c r="C70"/>
  <c r="O69"/>
  <c r="N69"/>
  <c r="M69"/>
  <c r="L69"/>
  <c r="K69"/>
  <c r="J69"/>
  <c r="I69"/>
  <c r="H69"/>
  <c r="G69"/>
  <c r="F69"/>
  <c r="E69"/>
  <c r="D69"/>
  <c r="C69"/>
  <c r="G5" i="6" l="1"/>
  <c r="G6"/>
  <c r="G7"/>
  <c r="G8"/>
  <c r="G9"/>
  <c r="G10"/>
  <c r="G12"/>
  <c r="G13"/>
  <c r="G14"/>
  <c r="G15"/>
  <c r="G16"/>
  <c r="G17"/>
  <c r="G19"/>
  <c r="G22"/>
  <c r="G23"/>
  <c r="G24"/>
  <c r="G25"/>
  <c r="G27"/>
  <c r="G28"/>
  <c r="G30"/>
  <c r="G33"/>
  <c r="G34"/>
  <c r="G35"/>
  <c r="G36"/>
  <c r="G37"/>
  <c r="G38"/>
  <c r="G39"/>
  <c r="G40"/>
  <c r="G41"/>
  <c r="G42"/>
  <c r="G43"/>
  <c r="G44"/>
  <c r="G45"/>
  <c r="G46"/>
  <c r="G47"/>
  <c r="G48"/>
  <c r="G49"/>
  <c r="G51"/>
  <c r="G52"/>
  <c r="G53"/>
  <c r="G54"/>
  <c r="G55"/>
  <c r="G18"/>
  <c r="G20"/>
  <c r="G21"/>
  <c r="G57"/>
  <c r="G58"/>
  <c r="G59"/>
  <c r="G26"/>
  <c r="G60"/>
  <c r="G61"/>
  <c r="G31"/>
  <c r="G32"/>
  <c r="G63"/>
  <c r="G62"/>
  <c r="G64"/>
  <c r="G65"/>
  <c r="G66"/>
  <c r="G67"/>
  <c r="G68"/>
  <c r="G50"/>
  <c r="G11"/>
  <c r="G29"/>
  <c r="G56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4"/>
  <c r="F5"/>
  <c r="F6"/>
  <c r="F7"/>
  <c r="F8"/>
  <c r="F9"/>
  <c r="F10"/>
  <c r="F12"/>
  <c r="F13"/>
  <c r="F14"/>
  <c r="F15"/>
  <c r="F16"/>
  <c r="F17"/>
  <c r="F19"/>
  <c r="F22"/>
  <c r="F23"/>
  <c r="F24"/>
  <c r="F25"/>
  <c r="F27"/>
  <c r="F28"/>
  <c r="F30"/>
  <c r="F33"/>
  <c r="F34"/>
  <c r="F35"/>
  <c r="F36"/>
  <c r="F37"/>
  <c r="F38"/>
  <c r="F39"/>
  <c r="F40"/>
  <c r="F41"/>
  <c r="F42"/>
  <c r="F43"/>
  <c r="F44"/>
  <c r="F45"/>
  <c r="F46"/>
  <c r="F47"/>
  <c r="F48"/>
  <c r="F49"/>
  <c r="F51"/>
  <c r="F52"/>
  <c r="F53"/>
  <c r="F54"/>
  <c r="F55"/>
  <c r="F18"/>
  <c r="F20"/>
  <c r="F21"/>
  <c r="F57"/>
  <c r="F58"/>
  <c r="F59"/>
  <c r="F26"/>
  <c r="F60"/>
  <c r="F61"/>
  <c r="F31"/>
  <c r="F32"/>
  <c r="F63"/>
  <c r="F62"/>
  <c r="F64"/>
  <c r="F65"/>
  <c r="F66"/>
  <c r="F67"/>
  <c r="F68"/>
  <c r="F50"/>
  <c r="F11"/>
  <c r="F29"/>
  <c r="F56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4"/>
  <c r="C100" i="12" l="1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55"/>
  <c r="C28"/>
  <c r="X101" i="10"/>
  <c r="W101"/>
  <c r="V101"/>
  <c r="U101"/>
  <c r="T101"/>
  <c r="S101"/>
  <c r="R101"/>
  <c r="Q101"/>
  <c r="P101"/>
  <c r="AB101" s="1"/>
  <c r="O101"/>
  <c r="X100"/>
  <c r="W100"/>
  <c r="V100"/>
  <c r="U100"/>
  <c r="T100"/>
  <c r="S100"/>
  <c r="R100"/>
  <c r="Q100"/>
  <c r="P100"/>
  <c r="AB100" s="1"/>
  <c r="O100"/>
  <c r="X99"/>
  <c r="W99"/>
  <c r="V99"/>
  <c r="U99"/>
  <c r="T99"/>
  <c r="S99"/>
  <c r="R99"/>
  <c r="Q99"/>
  <c r="P99"/>
  <c r="AB99" s="1"/>
  <c r="O99"/>
  <c r="X98"/>
  <c r="W98"/>
  <c r="V98"/>
  <c r="U98"/>
  <c r="T98"/>
  <c r="S98"/>
  <c r="R98"/>
  <c r="Q98"/>
  <c r="P98"/>
  <c r="AB98" s="1"/>
  <c r="O98"/>
  <c r="X97"/>
  <c r="W97"/>
  <c r="V97"/>
  <c r="U97"/>
  <c r="T97"/>
  <c r="S97"/>
  <c r="R97"/>
  <c r="Q97"/>
  <c r="P97"/>
  <c r="AB97" s="1"/>
  <c r="O97"/>
  <c r="X96"/>
  <c r="W96"/>
  <c r="V96"/>
  <c r="U96"/>
  <c r="T96"/>
  <c r="S96"/>
  <c r="R96"/>
  <c r="Q96"/>
  <c r="P96"/>
  <c r="AB96" s="1"/>
  <c r="O96"/>
  <c r="X95"/>
  <c r="W95"/>
  <c r="V95"/>
  <c r="U95"/>
  <c r="T95"/>
  <c r="S95"/>
  <c r="R95"/>
  <c r="Q95"/>
  <c r="P95"/>
  <c r="AB95" s="1"/>
  <c r="O95"/>
  <c r="X94"/>
  <c r="W94"/>
  <c r="V94"/>
  <c r="U94"/>
  <c r="T94"/>
  <c r="S94"/>
  <c r="R94"/>
  <c r="Q94"/>
  <c r="P94"/>
  <c r="AB94" s="1"/>
  <c r="O94"/>
  <c r="X93"/>
  <c r="W93"/>
  <c r="V93"/>
  <c r="U93"/>
  <c r="T93"/>
  <c r="S93"/>
  <c r="R93"/>
  <c r="Q93"/>
  <c r="P93"/>
  <c r="AB93" s="1"/>
  <c r="O93"/>
  <c r="X92"/>
  <c r="W92"/>
  <c r="V92"/>
  <c r="U92"/>
  <c r="T92"/>
  <c r="S92"/>
  <c r="R92"/>
  <c r="Q92"/>
  <c r="P92"/>
  <c r="AB92" s="1"/>
  <c r="O92"/>
  <c r="X91"/>
  <c r="W91"/>
  <c r="V91"/>
  <c r="U91"/>
  <c r="T91"/>
  <c r="S91"/>
  <c r="R91"/>
  <c r="Q91"/>
  <c r="P91"/>
  <c r="AB91" s="1"/>
  <c r="O91"/>
  <c r="X90"/>
  <c r="W90"/>
  <c r="V90"/>
  <c r="U90"/>
  <c r="T90"/>
  <c r="S90"/>
  <c r="R90"/>
  <c r="Q90"/>
  <c r="P90"/>
  <c r="AB90" s="1"/>
  <c r="O90"/>
  <c r="X89"/>
  <c r="W89"/>
  <c r="V89"/>
  <c r="U89"/>
  <c r="T89"/>
  <c r="S89"/>
  <c r="R89"/>
  <c r="Q89"/>
  <c r="P89"/>
  <c r="AB89" s="1"/>
  <c r="O89"/>
  <c r="X88"/>
  <c r="W88"/>
  <c r="V88"/>
  <c r="U88"/>
  <c r="T88"/>
  <c r="S88"/>
  <c r="R88"/>
  <c r="Q88"/>
  <c r="P88"/>
  <c r="AB88" s="1"/>
  <c r="O88"/>
  <c r="X87"/>
  <c r="W87"/>
  <c r="V87"/>
  <c r="U87"/>
  <c r="T87"/>
  <c r="S87"/>
  <c r="R87"/>
  <c r="Q87"/>
  <c r="P87"/>
  <c r="AB87" s="1"/>
  <c r="O87"/>
  <c r="X86"/>
  <c r="W86"/>
  <c r="V86"/>
  <c r="U86"/>
  <c r="T86"/>
  <c r="S86"/>
  <c r="R86"/>
  <c r="Q86"/>
  <c r="P86"/>
  <c r="AB86" s="1"/>
  <c r="O86"/>
  <c r="X85"/>
  <c r="W85"/>
  <c r="V85"/>
  <c r="U85"/>
  <c r="T85"/>
  <c r="S85"/>
  <c r="R85"/>
  <c r="Q85"/>
  <c r="P85"/>
  <c r="AB85" s="1"/>
  <c r="O85"/>
  <c r="X84"/>
  <c r="W84"/>
  <c r="V84"/>
  <c r="U84"/>
  <c r="T84"/>
  <c r="S84"/>
  <c r="R84"/>
  <c r="Q84"/>
  <c r="P84"/>
  <c r="AB84" s="1"/>
  <c r="O84"/>
  <c r="X83"/>
  <c r="W83"/>
  <c r="V83"/>
  <c r="U83"/>
  <c r="T83"/>
  <c r="S83"/>
  <c r="R83"/>
  <c r="Q83"/>
  <c r="P83"/>
  <c r="AB83" s="1"/>
  <c r="O83"/>
  <c r="X82"/>
  <c r="W82"/>
  <c r="V82"/>
  <c r="U82"/>
  <c r="T82"/>
  <c r="S82"/>
  <c r="R82"/>
  <c r="Q82"/>
  <c r="P82"/>
  <c r="AB82" s="1"/>
  <c r="O82"/>
  <c r="X81"/>
  <c r="W81"/>
  <c r="V81"/>
  <c r="U81"/>
  <c r="T81"/>
  <c r="S81"/>
  <c r="R81"/>
  <c r="Q81"/>
  <c r="P81"/>
  <c r="AB81" s="1"/>
  <c r="O81"/>
  <c r="X80"/>
  <c r="W80"/>
  <c r="V80"/>
  <c r="U80"/>
  <c r="T80"/>
  <c r="S80"/>
  <c r="R80"/>
  <c r="Q80"/>
  <c r="P80"/>
  <c r="AB80" s="1"/>
  <c r="O80"/>
  <c r="X79"/>
  <c r="W79"/>
  <c r="V79"/>
  <c r="U79"/>
  <c r="T79"/>
  <c r="S79"/>
  <c r="R79"/>
  <c r="Q79"/>
  <c r="P79"/>
  <c r="AB79" s="1"/>
  <c r="O79"/>
  <c r="X78"/>
  <c r="W78"/>
  <c r="V78"/>
  <c r="U78"/>
  <c r="T78"/>
  <c r="S78"/>
  <c r="R78"/>
  <c r="Q78"/>
  <c r="P78"/>
  <c r="AB78" s="1"/>
  <c r="O78"/>
  <c r="X77"/>
  <c r="W77"/>
  <c r="V77"/>
  <c r="U77"/>
  <c r="T77"/>
  <c r="S77"/>
  <c r="R77"/>
  <c r="Q77"/>
  <c r="P77"/>
  <c r="AB77" s="1"/>
  <c r="O77"/>
  <c r="X76"/>
  <c r="W76"/>
  <c r="V76"/>
  <c r="U76"/>
  <c r="T76"/>
  <c r="S76"/>
  <c r="R76"/>
  <c r="Q76"/>
  <c r="P76"/>
  <c r="AB76" s="1"/>
  <c r="O76"/>
  <c r="X75"/>
  <c r="W75"/>
  <c r="V75"/>
  <c r="U75"/>
  <c r="T75"/>
  <c r="S75"/>
  <c r="R75"/>
  <c r="Q75"/>
  <c r="P75"/>
  <c r="AB75" s="1"/>
  <c r="O75"/>
  <c r="X74"/>
  <c r="W74"/>
  <c r="V74"/>
  <c r="U74"/>
  <c r="T74"/>
  <c r="S74"/>
  <c r="R74"/>
  <c r="Q74"/>
  <c r="P74"/>
  <c r="AB74" s="1"/>
  <c r="O74"/>
  <c r="X73"/>
  <c r="W73"/>
  <c r="V73"/>
  <c r="U73"/>
  <c r="T73"/>
  <c r="S73"/>
  <c r="R73"/>
  <c r="Q73"/>
  <c r="P73"/>
  <c r="AB73" s="1"/>
  <c r="O73"/>
  <c r="X72"/>
  <c r="W72"/>
  <c r="V72"/>
  <c r="U72"/>
  <c r="T72"/>
  <c r="S72"/>
  <c r="R72"/>
  <c r="Q72"/>
  <c r="P72"/>
  <c r="AB72" s="1"/>
  <c r="O72"/>
  <c r="X71"/>
  <c r="W71"/>
  <c r="V71"/>
  <c r="U71"/>
  <c r="T71"/>
  <c r="S71"/>
  <c r="R71"/>
  <c r="Q71"/>
  <c r="P71"/>
  <c r="AB71" s="1"/>
  <c r="O71"/>
  <c r="X70"/>
  <c r="W70"/>
  <c r="V70"/>
  <c r="U70"/>
  <c r="T70"/>
  <c r="S70"/>
  <c r="R70"/>
  <c r="Q70"/>
  <c r="P70"/>
  <c r="AB70" s="1"/>
  <c r="O70"/>
  <c r="X69"/>
  <c r="W69"/>
  <c r="V69"/>
  <c r="U69"/>
  <c r="T69"/>
  <c r="S69"/>
  <c r="R69"/>
  <c r="Q69"/>
  <c r="P69"/>
  <c r="AB69" s="1"/>
  <c r="O69"/>
  <c r="X56"/>
  <c r="W56"/>
  <c r="V56"/>
  <c r="U56"/>
  <c r="T56"/>
  <c r="S56"/>
  <c r="R56"/>
  <c r="Q56"/>
  <c r="P56"/>
  <c r="O56"/>
  <c r="X29"/>
  <c r="W29"/>
  <c r="V29"/>
  <c r="U29"/>
  <c r="T29"/>
  <c r="S29"/>
  <c r="R29"/>
  <c r="Q29"/>
  <c r="P29"/>
  <c r="AB29" s="1"/>
  <c r="BE13" i="1" s="1"/>
  <c r="O29" i="10"/>
  <c r="W101" i="15"/>
  <c r="V101"/>
  <c r="U101" s="1"/>
  <c r="T101"/>
  <c r="Y101" s="1"/>
  <c r="W100"/>
  <c r="V100"/>
  <c r="U100" s="1"/>
  <c r="T100"/>
  <c r="Y100" s="1"/>
  <c r="W99"/>
  <c r="V99"/>
  <c r="U99" s="1"/>
  <c r="T99"/>
  <c r="Y99" s="1"/>
  <c r="W98"/>
  <c r="V98"/>
  <c r="U98" s="1"/>
  <c r="T98"/>
  <c r="Y98" s="1"/>
  <c r="W97"/>
  <c r="V97"/>
  <c r="U97" s="1"/>
  <c r="T97"/>
  <c r="Y97" s="1"/>
  <c r="W96"/>
  <c r="V96"/>
  <c r="U96" s="1"/>
  <c r="T96"/>
  <c r="Y96" s="1"/>
  <c r="W95"/>
  <c r="V95"/>
  <c r="U95" s="1"/>
  <c r="T95"/>
  <c r="Y95" s="1"/>
  <c r="W94"/>
  <c r="V94"/>
  <c r="U94" s="1"/>
  <c r="T94"/>
  <c r="Y94" s="1"/>
  <c r="W93"/>
  <c r="V93"/>
  <c r="U93" s="1"/>
  <c r="T93"/>
  <c r="Y93" s="1"/>
  <c r="W92"/>
  <c r="V92"/>
  <c r="U92" s="1"/>
  <c r="T92"/>
  <c r="Y92" s="1"/>
  <c r="W91"/>
  <c r="V91"/>
  <c r="U91" s="1"/>
  <c r="T91"/>
  <c r="Y91" s="1"/>
  <c r="W90"/>
  <c r="V90"/>
  <c r="U90" s="1"/>
  <c r="T90"/>
  <c r="Y90" s="1"/>
  <c r="W89"/>
  <c r="V89"/>
  <c r="U89" s="1"/>
  <c r="T89"/>
  <c r="Y89" s="1"/>
  <c r="W88"/>
  <c r="V88"/>
  <c r="U88" s="1"/>
  <c r="T88"/>
  <c r="Y88" s="1"/>
  <c r="W87"/>
  <c r="V87"/>
  <c r="U87" s="1"/>
  <c r="T87"/>
  <c r="Y87" s="1"/>
  <c r="W86"/>
  <c r="V86"/>
  <c r="U86" s="1"/>
  <c r="T86"/>
  <c r="Y86" s="1"/>
  <c r="W85"/>
  <c r="V85"/>
  <c r="U85" s="1"/>
  <c r="T85"/>
  <c r="Y85" s="1"/>
  <c r="W84"/>
  <c r="V84"/>
  <c r="U84" s="1"/>
  <c r="T84"/>
  <c r="Y84" s="1"/>
  <c r="W83"/>
  <c r="V83"/>
  <c r="U83" s="1"/>
  <c r="T83"/>
  <c r="Y83" s="1"/>
  <c r="W82"/>
  <c r="V82"/>
  <c r="U82" s="1"/>
  <c r="T82"/>
  <c r="Y82" s="1"/>
  <c r="W81"/>
  <c r="V81"/>
  <c r="U81" s="1"/>
  <c r="T81"/>
  <c r="Y81" s="1"/>
  <c r="W80"/>
  <c r="V80"/>
  <c r="U80" s="1"/>
  <c r="T80"/>
  <c r="Y80" s="1"/>
  <c r="W79"/>
  <c r="V79"/>
  <c r="U79" s="1"/>
  <c r="T79"/>
  <c r="Y79" s="1"/>
  <c r="W78"/>
  <c r="V78"/>
  <c r="U78" s="1"/>
  <c r="T78"/>
  <c r="Y78" s="1"/>
  <c r="W77"/>
  <c r="V77"/>
  <c r="U77" s="1"/>
  <c r="T77"/>
  <c r="Y77" s="1"/>
  <c r="W76"/>
  <c r="V76"/>
  <c r="U76" s="1"/>
  <c r="T76"/>
  <c r="Y76" s="1"/>
  <c r="W75"/>
  <c r="V75"/>
  <c r="U75" s="1"/>
  <c r="T75"/>
  <c r="Y75" s="1"/>
  <c r="W74"/>
  <c r="V74"/>
  <c r="U74" s="1"/>
  <c r="T74"/>
  <c r="Y74" s="1"/>
  <c r="W73"/>
  <c r="V73"/>
  <c r="U73" s="1"/>
  <c r="T73"/>
  <c r="Y73" s="1"/>
  <c r="W72"/>
  <c r="V72"/>
  <c r="U72" s="1"/>
  <c r="T72"/>
  <c r="Y72" s="1"/>
  <c r="W71"/>
  <c r="V71"/>
  <c r="U71" s="1"/>
  <c r="T71"/>
  <c r="Y71" s="1"/>
  <c r="W70"/>
  <c r="V70"/>
  <c r="U70" s="1"/>
  <c r="T70"/>
  <c r="Y70" s="1"/>
  <c r="W69"/>
  <c r="V69"/>
  <c r="U69" s="1"/>
  <c r="T69"/>
  <c r="Y69" s="1"/>
  <c r="W56"/>
  <c r="V56" s="1"/>
  <c r="U56" s="1"/>
  <c r="T56"/>
  <c r="W29"/>
  <c r="V29" s="1"/>
  <c r="U29" s="1"/>
  <c r="T29"/>
  <c r="AJ101" i="3"/>
  <c r="AI101"/>
  <c r="AH101"/>
  <c r="AG101"/>
  <c r="AF101"/>
  <c r="AE101"/>
  <c r="AD101"/>
  <c r="AC101"/>
  <c r="AB101"/>
  <c r="AA101"/>
  <c r="Z101"/>
  <c r="Y101"/>
  <c r="V101"/>
  <c r="U101"/>
  <c r="T101" s="1"/>
  <c r="S101"/>
  <c r="AJ100"/>
  <c r="AI100"/>
  <c r="AH100"/>
  <c r="AG100"/>
  <c r="AF100"/>
  <c r="AE100"/>
  <c r="AD100"/>
  <c r="AC100"/>
  <c r="AB100"/>
  <c r="AA100"/>
  <c r="Z100"/>
  <c r="Y100"/>
  <c r="V100"/>
  <c r="U100"/>
  <c r="T100" s="1"/>
  <c r="S100"/>
  <c r="AJ99"/>
  <c r="AI99"/>
  <c r="AH99"/>
  <c r="AG99"/>
  <c r="AF99"/>
  <c r="AE99"/>
  <c r="AD99"/>
  <c r="AC99"/>
  <c r="AB99"/>
  <c r="AA99"/>
  <c r="Z99"/>
  <c r="Y99"/>
  <c r="V99"/>
  <c r="U99"/>
  <c r="T99" s="1"/>
  <c r="S99"/>
  <c r="AJ98"/>
  <c r="AI98"/>
  <c r="AH98"/>
  <c r="AG98"/>
  <c r="AF98"/>
  <c r="AE98"/>
  <c r="AD98"/>
  <c r="AC98"/>
  <c r="AB98"/>
  <c r="AA98"/>
  <c r="Z98"/>
  <c r="Y98"/>
  <c r="V98"/>
  <c r="U98"/>
  <c r="T98" s="1"/>
  <c r="S98"/>
  <c r="AJ97"/>
  <c r="AI97"/>
  <c r="AH97"/>
  <c r="AG97"/>
  <c r="AF97"/>
  <c r="AE97"/>
  <c r="AD97"/>
  <c r="AC97"/>
  <c r="AB97"/>
  <c r="AA97"/>
  <c r="Z97"/>
  <c r="Y97"/>
  <c r="V97"/>
  <c r="U97"/>
  <c r="T97" s="1"/>
  <c r="S97"/>
  <c r="AJ96"/>
  <c r="AI96"/>
  <c r="AH96"/>
  <c r="AG96"/>
  <c r="AF96"/>
  <c r="AE96"/>
  <c r="AD96"/>
  <c r="AC96"/>
  <c r="AB96"/>
  <c r="AA96"/>
  <c r="Z96"/>
  <c r="Y96"/>
  <c r="V96"/>
  <c r="U96"/>
  <c r="T96" s="1"/>
  <c r="S96"/>
  <c r="AJ95"/>
  <c r="AI95"/>
  <c r="AH95"/>
  <c r="AG95"/>
  <c r="AF95"/>
  <c r="AE95"/>
  <c r="AD95"/>
  <c r="AC95"/>
  <c r="AB95"/>
  <c r="AA95"/>
  <c r="Z95"/>
  <c r="Y95"/>
  <c r="V95"/>
  <c r="U95"/>
  <c r="T95" s="1"/>
  <c r="S95"/>
  <c r="AJ94"/>
  <c r="AI94"/>
  <c r="AH94"/>
  <c r="AG94"/>
  <c r="AF94"/>
  <c r="AE94"/>
  <c r="AD94"/>
  <c r="AC94"/>
  <c r="AB94"/>
  <c r="AA94"/>
  <c r="Z94"/>
  <c r="Y94"/>
  <c r="V94"/>
  <c r="U94"/>
  <c r="T94" s="1"/>
  <c r="S94"/>
  <c r="AJ93"/>
  <c r="AI93"/>
  <c r="AH93"/>
  <c r="AG93"/>
  <c r="AF93"/>
  <c r="AE93"/>
  <c r="AD93"/>
  <c r="AC93"/>
  <c r="AB93"/>
  <c r="AA93"/>
  <c r="Z93"/>
  <c r="Y93"/>
  <c r="V93"/>
  <c r="U93"/>
  <c r="T93" s="1"/>
  <c r="S93"/>
  <c r="AJ92"/>
  <c r="AI92"/>
  <c r="AH92"/>
  <c r="AG92"/>
  <c r="AF92"/>
  <c r="AE92"/>
  <c r="AD92"/>
  <c r="AC92"/>
  <c r="AB92"/>
  <c r="AA92"/>
  <c r="Z92"/>
  <c r="Y92"/>
  <c r="V92"/>
  <c r="U92"/>
  <c r="T92" s="1"/>
  <c r="S92"/>
  <c r="AJ91"/>
  <c r="AI91"/>
  <c r="AH91"/>
  <c r="AG91"/>
  <c r="AF91"/>
  <c r="AE91"/>
  <c r="AD91"/>
  <c r="AC91"/>
  <c r="AB91"/>
  <c r="AA91"/>
  <c r="Z91"/>
  <c r="Y91"/>
  <c r="V91"/>
  <c r="U91"/>
  <c r="T91" s="1"/>
  <c r="S91"/>
  <c r="AJ90"/>
  <c r="AI90"/>
  <c r="AH90"/>
  <c r="AG90"/>
  <c r="AF90"/>
  <c r="AE90"/>
  <c r="AD90"/>
  <c r="AC90"/>
  <c r="AB90"/>
  <c r="AA90"/>
  <c r="Z90"/>
  <c r="Y90"/>
  <c r="V90"/>
  <c r="U90"/>
  <c r="T90" s="1"/>
  <c r="S90"/>
  <c r="AJ89"/>
  <c r="AI89"/>
  <c r="AH89"/>
  <c r="AG89"/>
  <c r="AF89"/>
  <c r="AE89"/>
  <c r="AD89"/>
  <c r="AC89"/>
  <c r="AB89"/>
  <c r="AA89"/>
  <c r="Z89"/>
  <c r="Y89"/>
  <c r="V89"/>
  <c r="U89"/>
  <c r="T89" s="1"/>
  <c r="S89"/>
  <c r="AJ88"/>
  <c r="AI88"/>
  <c r="AH88"/>
  <c r="AG88"/>
  <c r="AF88"/>
  <c r="AE88"/>
  <c r="AD88"/>
  <c r="AC88"/>
  <c r="AB88"/>
  <c r="AA88"/>
  <c r="Z88"/>
  <c r="Y88"/>
  <c r="V88"/>
  <c r="U88"/>
  <c r="T88" s="1"/>
  <c r="S88"/>
  <c r="AJ87"/>
  <c r="AI87"/>
  <c r="AH87"/>
  <c r="AG87"/>
  <c r="AF87"/>
  <c r="AE87"/>
  <c r="AD87"/>
  <c r="AC87"/>
  <c r="AB87"/>
  <c r="AA87"/>
  <c r="Z87"/>
  <c r="Y87"/>
  <c r="V87"/>
  <c r="U87"/>
  <c r="T87" s="1"/>
  <c r="S87"/>
  <c r="AJ86"/>
  <c r="AI86"/>
  <c r="AH86"/>
  <c r="AG86"/>
  <c r="AF86"/>
  <c r="AE86"/>
  <c r="AD86"/>
  <c r="AC86"/>
  <c r="AB86"/>
  <c r="AA86"/>
  <c r="Z86"/>
  <c r="Y86"/>
  <c r="V86"/>
  <c r="U86"/>
  <c r="T86" s="1"/>
  <c r="S86"/>
  <c r="AJ85"/>
  <c r="AI85"/>
  <c r="AH85"/>
  <c r="AG85"/>
  <c r="AF85"/>
  <c r="AE85"/>
  <c r="AD85"/>
  <c r="AC85"/>
  <c r="AB85"/>
  <c r="AA85"/>
  <c r="Z85"/>
  <c r="Y85"/>
  <c r="V85"/>
  <c r="U85"/>
  <c r="T85" s="1"/>
  <c r="S85"/>
  <c r="AJ84"/>
  <c r="AI84"/>
  <c r="AH84"/>
  <c r="AG84"/>
  <c r="AF84"/>
  <c r="AE84"/>
  <c r="AD84"/>
  <c r="AC84"/>
  <c r="AB84"/>
  <c r="AA84"/>
  <c r="Z84"/>
  <c r="Y84"/>
  <c r="V84"/>
  <c r="U84"/>
  <c r="T84" s="1"/>
  <c r="S84"/>
  <c r="AJ83"/>
  <c r="AI83"/>
  <c r="AH83"/>
  <c r="AG83"/>
  <c r="AF83"/>
  <c r="AE83"/>
  <c r="AD83"/>
  <c r="AC83"/>
  <c r="AB83"/>
  <c r="AA83"/>
  <c r="Z83"/>
  <c r="Y83"/>
  <c r="V83"/>
  <c r="U83"/>
  <c r="T83" s="1"/>
  <c r="S83"/>
  <c r="AJ82"/>
  <c r="AI82"/>
  <c r="AH82"/>
  <c r="AG82"/>
  <c r="AF82"/>
  <c r="AE82"/>
  <c r="AD82"/>
  <c r="AC82"/>
  <c r="AB82"/>
  <c r="AA82"/>
  <c r="Z82"/>
  <c r="Y82"/>
  <c r="V82"/>
  <c r="U82"/>
  <c r="T82" s="1"/>
  <c r="S82"/>
  <c r="AJ81"/>
  <c r="AI81"/>
  <c r="AH81"/>
  <c r="AG81"/>
  <c r="AF81"/>
  <c r="AE81"/>
  <c r="AD81"/>
  <c r="AC81"/>
  <c r="AB81"/>
  <c r="AA81"/>
  <c r="Z81"/>
  <c r="Y81"/>
  <c r="V81"/>
  <c r="U81"/>
  <c r="T81" s="1"/>
  <c r="S81"/>
  <c r="AJ80"/>
  <c r="AI80"/>
  <c r="AH80"/>
  <c r="AG80"/>
  <c r="AF80"/>
  <c r="AE80"/>
  <c r="AD80"/>
  <c r="AC80"/>
  <c r="AB80"/>
  <c r="AA80"/>
  <c r="Z80"/>
  <c r="Y80"/>
  <c r="V80"/>
  <c r="U80"/>
  <c r="T80" s="1"/>
  <c r="S80"/>
  <c r="AJ79"/>
  <c r="AI79"/>
  <c r="AH79"/>
  <c r="AG79"/>
  <c r="AF79"/>
  <c r="AE79"/>
  <c r="AD79"/>
  <c r="AC79"/>
  <c r="AB79"/>
  <c r="AA79"/>
  <c r="Z79"/>
  <c r="Y79"/>
  <c r="V79"/>
  <c r="U79"/>
  <c r="T79" s="1"/>
  <c r="S79"/>
  <c r="AJ78"/>
  <c r="AI78"/>
  <c r="AH78"/>
  <c r="AG78"/>
  <c r="AF78"/>
  <c r="AE78"/>
  <c r="AD78"/>
  <c r="AC78"/>
  <c r="AB78"/>
  <c r="AA78"/>
  <c r="Z78"/>
  <c r="Y78"/>
  <c r="V78"/>
  <c r="U78"/>
  <c r="T78" s="1"/>
  <c r="S78"/>
  <c r="AJ77"/>
  <c r="AI77"/>
  <c r="AH77"/>
  <c r="AG77"/>
  <c r="AF77"/>
  <c r="AE77"/>
  <c r="AD77"/>
  <c r="AC77"/>
  <c r="AB77"/>
  <c r="AA77"/>
  <c r="Z77"/>
  <c r="Y77"/>
  <c r="V77"/>
  <c r="U77"/>
  <c r="T77" s="1"/>
  <c r="S77"/>
  <c r="AJ76"/>
  <c r="AI76"/>
  <c r="AH76"/>
  <c r="AG76"/>
  <c r="AF76"/>
  <c r="AE76"/>
  <c r="AD76"/>
  <c r="AC76"/>
  <c r="AB76"/>
  <c r="AA76"/>
  <c r="Z76"/>
  <c r="Y76"/>
  <c r="V76"/>
  <c r="U76"/>
  <c r="T76" s="1"/>
  <c r="S76"/>
  <c r="AJ75"/>
  <c r="AI75"/>
  <c r="AH75"/>
  <c r="AG75"/>
  <c r="AF75"/>
  <c r="AE75"/>
  <c r="AD75"/>
  <c r="AC75"/>
  <c r="AB75"/>
  <c r="AA75"/>
  <c r="Z75"/>
  <c r="Y75"/>
  <c r="V75"/>
  <c r="U75"/>
  <c r="T75" s="1"/>
  <c r="S75"/>
  <c r="AJ74"/>
  <c r="AI74"/>
  <c r="AH74"/>
  <c r="AG74"/>
  <c r="AF74"/>
  <c r="AE74"/>
  <c r="AD74"/>
  <c r="AC74"/>
  <c r="AB74"/>
  <c r="AA74"/>
  <c r="Z74"/>
  <c r="Y74"/>
  <c r="V74"/>
  <c r="U74"/>
  <c r="T74" s="1"/>
  <c r="S74"/>
  <c r="AJ73"/>
  <c r="AI73"/>
  <c r="AH73"/>
  <c r="AG73"/>
  <c r="AF73"/>
  <c r="AE73"/>
  <c r="AD73"/>
  <c r="AC73"/>
  <c r="AB73"/>
  <c r="AA73"/>
  <c r="Z73"/>
  <c r="Y73"/>
  <c r="V73"/>
  <c r="U73"/>
  <c r="T73" s="1"/>
  <c r="S73"/>
  <c r="AJ72"/>
  <c r="AI72"/>
  <c r="AH72"/>
  <c r="AG72"/>
  <c r="AF72"/>
  <c r="AE72"/>
  <c r="AD72"/>
  <c r="AC72"/>
  <c r="AB72"/>
  <c r="AA72"/>
  <c r="Z72"/>
  <c r="Y72"/>
  <c r="V72"/>
  <c r="U72"/>
  <c r="T72" s="1"/>
  <c r="S72"/>
  <c r="AJ71"/>
  <c r="AI71"/>
  <c r="AH71"/>
  <c r="AG71"/>
  <c r="AF71"/>
  <c r="AE71"/>
  <c r="AD71"/>
  <c r="AC71"/>
  <c r="AB71"/>
  <c r="AA71"/>
  <c r="Z71"/>
  <c r="Y71"/>
  <c r="V71"/>
  <c r="U71"/>
  <c r="T71" s="1"/>
  <c r="S71"/>
  <c r="AJ70"/>
  <c r="AI70"/>
  <c r="AH70"/>
  <c r="AG70"/>
  <c r="AF70"/>
  <c r="AE70"/>
  <c r="AD70"/>
  <c r="AC70"/>
  <c r="AB70"/>
  <c r="AA70"/>
  <c r="Z70"/>
  <c r="Y70"/>
  <c r="V70"/>
  <c r="U70"/>
  <c r="T70" s="1"/>
  <c r="S70"/>
  <c r="AJ69"/>
  <c r="AI69"/>
  <c r="AH69"/>
  <c r="AG69"/>
  <c r="AF69"/>
  <c r="AE69"/>
  <c r="AD69"/>
  <c r="AC69"/>
  <c r="AB69"/>
  <c r="AA69"/>
  <c r="Z69"/>
  <c r="Y69"/>
  <c r="V69"/>
  <c r="U69"/>
  <c r="T69" s="1"/>
  <c r="S69"/>
  <c r="AJ56"/>
  <c r="AI56"/>
  <c r="AH56"/>
  <c r="AG56"/>
  <c r="AF56"/>
  <c r="AE56"/>
  <c r="AD56"/>
  <c r="AC56"/>
  <c r="AB56"/>
  <c r="AA56"/>
  <c r="Z56"/>
  <c r="Y56"/>
  <c r="V56"/>
  <c r="U56" s="1"/>
  <c r="T56" s="1"/>
  <c r="S56"/>
  <c r="AJ29"/>
  <c r="AI29"/>
  <c r="AH29"/>
  <c r="AG29"/>
  <c r="AF29"/>
  <c r="AE29"/>
  <c r="AD29"/>
  <c r="AC29"/>
  <c r="AB29"/>
  <c r="AA29"/>
  <c r="Z29"/>
  <c r="Y29"/>
  <c r="V29"/>
  <c r="U29" s="1"/>
  <c r="T29" s="1"/>
  <c r="S29"/>
  <c r="AJ101" i="14"/>
  <c r="AI101"/>
  <c r="AH101"/>
  <c r="AG101"/>
  <c r="AF101"/>
  <c r="AE101"/>
  <c r="AD101"/>
  <c r="AC101"/>
  <c r="AB101"/>
  <c r="AA101"/>
  <c r="Z101"/>
  <c r="Y101"/>
  <c r="V101"/>
  <c r="U101"/>
  <c r="T101" s="1"/>
  <c r="S101"/>
  <c r="AJ100"/>
  <c r="AI100"/>
  <c r="AH100"/>
  <c r="AG100"/>
  <c r="AF100"/>
  <c r="AE100"/>
  <c r="AD100"/>
  <c r="AC100"/>
  <c r="AB100"/>
  <c r="AA100"/>
  <c r="Z100"/>
  <c r="Y100"/>
  <c r="V100"/>
  <c r="U100"/>
  <c r="T100" s="1"/>
  <c r="S100"/>
  <c r="AJ99"/>
  <c r="AI99"/>
  <c r="AH99"/>
  <c r="AG99"/>
  <c r="AF99"/>
  <c r="AE99"/>
  <c r="AD99"/>
  <c r="AC99"/>
  <c r="AB99"/>
  <c r="AA99"/>
  <c r="Z99"/>
  <c r="Y99"/>
  <c r="V99"/>
  <c r="U99"/>
  <c r="T99" s="1"/>
  <c r="S99"/>
  <c r="AJ98"/>
  <c r="AI98"/>
  <c r="AH98"/>
  <c r="AG98"/>
  <c r="AF98"/>
  <c r="AE98"/>
  <c r="AD98"/>
  <c r="AC98"/>
  <c r="AB98"/>
  <c r="AA98"/>
  <c r="Z98"/>
  <c r="Y98"/>
  <c r="V98"/>
  <c r="U98"/>
  <c r="T98" s="1"/>
  <c r="S98"/>
  <c r="AJ97"/>
  <c r="AI97"/>
  <c r="AH97"/>
  <c r="AG97"/>
  <c r="AF97"/>
  <c r="AE97"/>
  <c r="AD97"/>
  <c r="AC97"/>
  <c r="AB97"/>
  <c r="AA97"/>
  <c r="Z97"/>
  <c r="Y97"/>
  <c r="V97"/>
  <c r="U97"/>
  <c r="T97" s="1"/>
  <c r="S97"/>
  <c r="AJ96"/>
  <c r="AI96"/>
  <c r="AH96"/>
  <c r="AG96"/>
  <c r="AF96"/>
  <c r="AE96"/>
  <c r="AD96"/>
  <c r="AC96"/>
  <c r="AB96"/>
  <c r="AA96"/>
  <c r="Z96"/>
  <c r="Y96"/>
  <c r="V96"/>
  <c r="U96"/>
  <c r="T96" s="1"/>
  <c r="S96"/>
  <c r="AJ95"/>
  <c r="AI95"/>
  <c r="AH95"/>
  <c r="AG95"/>
  <c r="AF95"/>
  <c r="AE95"/>
  <c r="AD95"/>
  <c r="AC95"/>
  <c r="AB95"/>
  <c r="AA95"/>
  <c r="Z95"/>
  <c r="Y95"/>
  <c r="V95"/>
  <c r="U95"/>
  <c r="T95" s="1"/>
  <c r="S95"/>
  <c r="AJ94"/>
  <c r="AI94"/>
  <c r="AH94"/>
  <c r="AG94"/>
  <c r="AF94"/>
  <c r="AE94"/>
  <c r="AD94"/>
  <c r="AC94"/>
  <c r="AB94"/>
  <c r="AA94"/>
  <c r="Z94"/>
  <c r="Y94"/>
  <c r="V94"/>
  <c r="U94"/>
  <c r="T94" s="1"/>
  <c r="S94"/>
  <c r="AJ93"/>
  <c r="AI93"/>
  <c r="AH93"/>
  <c r="AG93"/>
  <c r="AF93"/>
  <c r="AE93"/>
  <c r="AD93"/>
  <c r="AC93"/>
  <c r="AB93"/>
  <c r="AA93"/>
  <c r="Z93"/>
  <c r="Y93"/>
  <c r="V93"/>
  <c r="U93"/>
  <c r="T93" s="1"/>
  <c r="S93"/>
  <c r="AJ92"/>
  <c r="AI92"/>
  <c r="AH92"/>
  <c r="AG92"/>
  <c r="AF92"/>
  <c r="AE92"/>
  <c r="AD92"/>
  <c r="AC92"/>
  <c r="AB92"/>
  <c r="AA92"/>
  <c r="Z92"/>
  <c r="Y92"/>
  <c r="V92"/>
  <c r="U92"/>
  <c r="T92" s="1"/>
  <c r="S92"/>
  <c r="AJ91"/>
  <c r="AI91"/>
  <c r="AH91"/>
  <c r="AG91"/>
  <c r="AF91"/>
  <c r="AE91"/>
  <c r="AD91"/>
  <c r="AC91"/>
  <c r="AB91"/>
  <c r="AA91"/>
  <c r="Z91"/>
  <c r="Y91"/>
  <c r="V91"/>
  <c r="U91"/>
  <c r="T91" s="1"/>
  <c r="S91"/>
  <c r="AJ90"/>
  <c r="AI90"/>
  <c r="AH90"/>
  <c r="AG90"/>
  <c r="AF90"/>
  <c r="AE90"/>
  <c r="AD90"/>
  <c r="AC90"/>
  <c r="AB90"/>
  <c r="AA90"/>
  <c r="Z90"/>
  <c r="Y90"/>
  <c r="V90"/>
  <c r="U90"/>
  <c r="T90" s="1"/>
  <c r="S90"/>
  <c r="AJ89"/>
  <c r="AI89"/>
  <c r="AH89"/>
  <c r="AG89"/>
  <c r="AF89"/>
  <c r="AE89"/>
  <c r="AD89"/>
  <c r="AC89"/>
  <c r="AB89"/>
  <c r="AA89"/>
  <c r="Z89"/>
  <c r="Y89"/>
  <c r="V89"/>
  <c r="U89"/>
  <c r="T89" s="1"/>
  <c r="S89"/>
  <c r="AJ88"/>
  <c r="AI88"/>
  <c r="AH88"/>
  <c r="AG88"/>
  <c r="AF88"/>
  <c r="AE88"/>
  <c r="AD88"/>
  <c r="AC88"/>
  <c r="AB88"/>
  <c r="AA88"/>
  <c r="Z88"/>
  <c r="Y88"/>
  <c r="V88"/>
  <c r="U88"/>
  <c r="T88" s="1"/>
  <c r="S88"/>
  <c r="AJ87"/>
  <c r="AI87"/>
  <c r="AH87"/>
  <c r="AG87"/>
  <c r="AF87"/>
  <c r="AE87"/>
  <c r="AD87"/>
  <c r="AC87"/>
  <c r="AB87"/>
  <c r="AA87"/>
  <c r="Z87"/>
  <c r="Y87"/>
  <c r="V87"/>
  <c r="U87"/>
  <c r="T87" s="1"/>
  <c r="S87"/>
  <c r="AJ86"/>
  <c r="AI86"/>
  <c r="AH86"/>
  <c r="AG86"/>
  <c r="AF86"/>
  <c r="AE86"/>
  <c r="AD86"/>
  <c r="AC86"/>
  <c r="AB86"/>
  <c r="AA86"/>
  <c r="Z86"/>
  <c r="Y86"/>
  <c r="V86"/>
  <c r="U86"/>
  <c r="T86" s="1"/>
  <c r="S86"/>
  <c r="AJ85"/>
  <c r="AI85"/>
  <c r="AH85"/>
  <c r="AG85"/>
  <c r="AF85"/>
  <c r="AE85"/>
  <c r="AD85"/>
  <c r="AC85"/>
  <c r="AB85"/>
  <c r="AA85"/>
  <c r="Z85"/>
  <c r="Y85"/>
  <c r="V85"/>
  <c r="U85"/>
  <c r="T85" s="1"/>
  <c r="S85"/>
  <c r="AJ84"/>
  <c r="AI84"/>
  <c r="AH84"/>
  <c r="AG84"/>
  <c r="AF84"/>
  <c r="AE84"/>
  <c r="AD84"/>
  <c r="AC84"/>
  <c r="AB84"/>
  <c r="AA84"/>
  <c r="Z84"/>
  <c r="Y84"/>
  <c r="V84"/>
  <c r="U84"/>
  <c r="T84" s="1"/>
  <c r="S84"/>
  <c r="AJ83"/>
  <c r="AI83"/>
  <c r="AH83"/>
  <c r="AG83"/>
  <c r="AF83"/>
  <c r="AE83"/>
  <c r="AD83"/>
  <c r="AC83"/>
  <c r="AB83"/>
  <c r="AA83"/>
  <c r="Z83"/>
  <c r="Y83"/>
  <c r="V83"/>
  <c r="U83"/>
  <c r="T83" s="1"/>
  <c r="S83"/>
  <c r="AJ82"/>
  <c r="AI82"/>
  <c r="AH82"/>
  <c r="AG82"/>
  <c r="AF82"/>
  <c r="AE82"/>
  <c r="AD82"/>
  <c r="AC82"/>
  <c r="AB82"/>
  <c r="AA82"/>
  <c r="Z82"/>
  <c r="Y82"/>
  <c r="V82"/>
  <c r="U82"/>
  <c r="T82" s="1"/>
  <c r="S82"/>
  <c r="AJ81"/>
  <c r="AI81"/>
  <c r="AH81"/>
  <c r="AG81"/>
  <c r="AF81"/>
  <c r="AE81"/>
  <c r="AD81"/>
  <c r="AC81"/>
  <c r="AB81"/>
  <c r="AA81"/>
  <c r="Z81"/>
  <c r="Y81"/>
  <c r="V81"/>
  <c r="U81"/>
  <c r="T81" s="1"/>
  <c r="S81"/>
  <c r="AJ80"/>
  <c r="AI80"/>
  <c r="AH80"/>
  <c r="AG80"/>
  <c r="AF80"/>
  <c r="AE80"/>
  <c r="AD80"/>
  <c r="AC80"/>
  <c r="AB80"/>
  <c r="AA80"/>
  <c r="Z80"/>
  <c r="Y80"/>
  <c r="V80"/>
  <c r="U80"/>
  <c r="T80" s="1"/>
  <c r="S80"/>
  <c r="AJ79"/>
  <c r="AI79"/>
  <c r="AH79"/>
  <c r="AG79"/>
  <c r="AF79"/>
  <c r="AE79"/>
  <c r="AD79"/>
  <c r="AC79"/>
  <c r="AB79"/>
  <c r="AA79"/>
  <c r="Z79"/>
  <c r="Y79"/>
  <c r="V79"/>
  <c r="U79"/>
  <c r="T79" s="1"/>
  <c r="S79"/>
  <c r="AJ78"/>
  <c r="AI78"/>
  <c r="AH78"/>
  <c r="AG78"/>
  <c r="AF78"/>
  <c r="AE78"/>
  <c r="AD78"/>
  <c r="AC78"/>
  <c r="AB78"/>
  <c r="AA78"/>
  <c r="Z78"/>
  <c r="Y78"/>
  <c r="V78"/>
  <c r="U78"/>
  <c r="T78" s="1"/>
  <c r="S78"/>
  <c r="AJ77"/>
  <c r="AI77"/>
  <c r="AH77"/>
  <c r="AG77"/>
  <c r="AF77"/>
  <c r="AE77"/>
  <c r="AD77"/>
  <c r="AC77"/>
  <c r="AB77"/>
  <c r="AA77"/>
  <c r="Z77"/>
  <c r="Y77"/>
  <c r="V77"/>
  <c r="U77"/>
  <c r="T77" s="1"/>
  <c r="S77"/>
  <c r="AJ76"/>
  <c r="AI76"/>
  <c r="AH76"/>
  <c r="AG76"/>
  <c r="AF76"/>
  <c r="AE76"/>
  <c r="AD76"/>
  <c r="AC76"/>
  <c r="AB76"/>
  <c r="AA76"/>
  <c r="Z76"/>
  <c r="Y76"/>
  <c r="V76"/>
  <c r="U76"/>
  <c r="T76" s="1"/>
  <c r="S76"/>
  <c r="AJ75"/>
  <c r="AI75"/>
  <c r="AH75"/>
  <c r="AG75"/>
  <c r="AF75"/>
  <c r="AE75"/>
  <c r="AD75"/>
  <c r="AC75"/>
  <c r="AB75"/>
  <c r="AA75"/>
  <c r="Z75"/>
  <c r="Y75"/>
  <c r="V75"/>
  <c r="U75"/>
  <c r="T75" s="1"/>
  <c r="S75"/>
  <c r="AJ74"/>
  <c r="AI74"/>
  <c r="AH74"/>
  <c r="AG74"/>
  <c r="AF74"/>
  <c r="AE74"/>
  <c r="AD74"/>
  <c r="AC74"/>
  <c r="AB74"/>
  <c r="AA74"/>
  <c r="Z74"/>
  <c r="Y74"/>
  <c r="V74"/>
  <c r="U74"/>
  <c r="T74" s="1"/>
  <c r="S74"/>
  <c r="AJ73"/>
  <c r="AI73"/>
  <c r="AH73"/>
  <c r="AG73"/>
  <c r="AF73"/>
  <c r="AE73"/>
  <c r="AD73"/>
  <c r="AC73"/>
  <c r="AB73"/>
  <c r="AA73"/>
  <c r="Z73"/>
  <c r="Y73"/>
  <c r="V73"/>
  <c r="U73"/>
  <c r="T73" s="1"/>
  <c r="S73"/>
  <c r="AJ72"/>
  <c r="AI72"/>
  <c r="AH72"/>
  <c r="AG72"/>
  <c r="AF72"/>
  <c r="AE72"/>
  <c r="AD72"/>
  <c r="AC72"/>
  <c r="AB72"/>
  <c r="AA72"/>
  <c r="Z72"/>
  <c r="Y72"/>
  <c r="V72"/>
  <c r="U72"/>
  <c r="T72" s="1"/>
  <c r="S72"/>
  <c r="AJ71"/>
  <c r="AI71"/>
  <c r="AH71"/>
  <c r="AG71"/>
  <c r="AF71"/>
  <c r="AE71"/>
  <c r="AD71"/>
  <c r="AC71"/>
  <c r="AB71"/>
  <c r="AA71"/>
  <c r="Z71"/>
  <c r="Y71"/>
  <c r="V71"/>
  <c r="U71"/>
  <c r="T71" s="1"/>
  <c r="S71"/>
  <c r="AJ70"/>
  <c r="AI70"/>
  <c r="AH70"/>
  <c r="AG70"/>
  <c r="AF70"/>
  <c r="AE70"/>
  <c r="AD70"/>
  <c r="AC70"/>
  <c r="AB70"/>
  <c r="AA70"/>
  <c r="Z70"/>
  <c r="Y70"/>
  <c r="V70"/>
  <c r="U70"/>
  <c r="T70" s="1"/>
  <c r="S70"/>
  <c r="AJ69"/>
  <c r="AI69"/>
  <c r="AH69"/>
  <c r="AG69"/>
  <c r="AF69"/>
  <c r="AE69"/>
  <c r="AD69"/>
  <c r="AC69"/>
  <c r="AB69"/>
  <c r="AA69"/>
  <c r="Z69"/>
  <c r="Y69"/>
  <c r="V69"/>
  <c r="U69"/>
  <c r="T69" s="1"/>
  <c r="S69"/>
  <c r="AJ56"/>
  <c r="AI56"/>
  <c r="AH56"/>
  <c r="AG56"/>
  <c r="AF56"/>
  <c r="AE56"/>
  <c r="AD56"/>
  <c r="AC56"/>
  <c r="AB56"/>
  <c r="AA56"/>
  <c r="Z56"/>
  <c r="Y56"/>
  <c r="V56"/>
  <c r="U56" s="1"/>
  <c r="T56" s="1"/>
  <c r="S56"/>
  <c r="AJ29"/>
  <c r="AI29"/>
  <c r="AH29"/>
  <c r="AG29"/>
  <c r="AF29"/>
  <c r="AE29"/>
  <c r="AD29"/>
  <c r="AC29"/>
  <c r="AB29"/>
  <c r="AA29"/>
  <c r="Z29"/>
  <c r="Y29"/>
  <c r="V29"/>
  <c r="U29" s="1"/>
  <c r="T29" s="1"/>
  <c r="S29"/>
  <c r="AU103" i="13"/>
  <c r="AT103"/>
  <c r="AS103"/>
  <c r="AR103"/>
  <c r="AQ103"/>
  <c r="AP103"/>
  <c r="AO103"/>
  <c r="AN103"/>
  <c r="AM103"/>
  <c r="AL103"/>
  <c r="AK103"/>
  <c r="AJ103"/>
  <c r="AI103"/>
  <c r="H103"/>
  <c r="AU102"/>
  <c r="AT102"/>
  <c r="AS102"/>
  <c r="AR102"/>
  <c r="AQ102"/>
  <c r="AP102"/>
  <c r="AO102"/>
  <c r="AN102"/>
  <c r="AM102"/>
  <c r="AL102"/>
  <c r="AK102"/>
  <c r="AJ102"/>
  <c r="AI102"/>
  <c r="H102"/>
  <c r="AU101"/>
  <c r="AT101"/>
  <c r="AS101"/>
  <c r="AR101"/>
  <c r="AQ101"/>
  <c r="AP101"/>
  <c r="AO101"/>
  <c r="AN101"/>
  <c r="AM101"/>
  <c r="AL101"/>
  <c r="AK101"/>
  <c r="AJ101"/>
  <c r="AI101"/>
  <c r="H101"/>
  <c r="AU100"/>
  <c r="AT100"/>
  <c r="AS100"/>
  <c r="AR100"/>
  <c r="AQ100"/>
  <c r="AP100"/>
  <c r="AO100"/>
  <c r="AN100"/>
  <c r="AM100"/>
  <c r="AL100"/>
  <c r="AK100"/>
  <c r="AJ100"/>
  <c r="AI100"/>
  <c r="H100"/>
  <c r="AU99"/>
  <c r="AT99"/>
  <c r="AS99"/>
  <c r="AR99"/>
  <c r="AQ99"/>
  <c r="AP99"/>
  <c r="AO99"/>
  <c r="AN99"/>
  <c r="AM99"/>
  <c r="AL99"/>
  <c r="AK99"/>
  <c r="AJ99"/>
  <c r="AI99"/>
  <c r="H99"/>
  <c r="AU98"/>
  <c r="AT98"/>
  <c r="AS98"/>
  <c r="AR98"/>
  <c r="AQ98"/>
  <c r="AP98"/>
  <c r="AO98"/>
  <c r="AN98"/>
  <c r="AM98"/>
  <c r="AL98"/>
  <c r="AK98"/>
  <c r="AJ98"/>
  <c r="AI98"/>
  <c r="H98"/>
  <c r="AU97"/>
  <c r="AT97"/>
  <c r="AS97"/>
  <c r="AR97"/>
  <c r="AQ97"/>
  <c r="AP97"/>
  <c r="AO97"/>
  <c r="AN97"/>
  <c r="AM97"/>
  <c r="AL97"/>
  <c r="AK97"/>
  <c r="AJ97"/>
  <c r="AI97"/>
  <c r="H97"/>
  <c r="AU96"/>
  <c r="AT96"/>
  <c r="AS96"/>
  <c r="AR96"/>
  <c r="AQ96"/>
  <c r="AP96"/>
  <c r="AO96"/>
  <c r="AN96"/>
  <c r="AM96"/>
  <c r="AL96"/>
  <c r="AK96"/>
  <c r="AJ96"/>
  <c r="AI96"/>
  <c r="H96"/>
  <c r="AU95"/>
  <c r="AT95"/>
  <c r="AS95"/>
  <c r="AR95"/>
  <c r="AQ95"/>
  <c r="AP95"/>
  <c r="AO95"/>
  <c r="AN95"/>
  <c r="AM95"/>
  <c r="AL95"/>
  <c r="AK95"/>
  <c r="AJ95"/>
  <c r="AI95"/>
  <c r="H95"/>
  <c r="AU94"/>
  <c r="AT94"/>
  <c r="AS94"/>
  <c r="AR94"/>
  <c r="AQ94"/>
  <c r="AP94"/>
  <c r="AO94"/>
  <c r="AN94"/>
  <c r="AM94"/>
  <c r="AL94"/>
  <c r="AK94"/>
  <c r="AJ94"/>
  <c r="AI94"/>
  <c r="H94"/>
  <c r="AU93"/>
  <c r="AT93"/>
  <c r="AS93"/>
  <c r="AR93"/>
  <c r="AQ93"/>
  <c r="AP93"/>
  <c r="AO93"/>
  <c r="AN93"/>
  <c r="AM93"/>
  <c r="AL93"/>
  <c r="AK93"/>
  <c r="AJ93"/>
  <c r="AI93"/>
  <c r="H93"/>
  <c r="AU92"/>
  <c r="AT92"/>
  <c r="AS92"/>
  <c r="AR92"/>
  <c r="AQ92"/>
  <c r="AP92"/>
  <c r="AO92"/>
  <c r="AN92"/>
  <c r="AM92"/>
  <c r="AL92"/>
  <c r="AK92"/>
  <c r="AJ92"/>
  <c r="AI92"/>
  <c r="H92"/>
  <c r="AU91"/>
  <c r="AT91"/>
  <c r="AS91"/>
  <c r="AR91"/>
  <c r="AQ91"/>
  <c r="AP91"/>
  <c r="AO91"/>
  <c r="AN91"/>
  <c r="AM91"/>
  <c r="AL91"/>
  <c r="AK91"/>
  <c r="AJ91"/>
  <c r="AI91"/>
  <c r="H91"/>
  <c r="AU90"/>
  <c r="AT90"/>
  <c r="AS90"/>
  <c r="AR90"/>
  <c r="AQ90"/>
  <c r="AP90"/>
  <c r="AO90"/>
  <c r="AN90"/>
  <c r="AM90"/>
  <c r="AL90"/>
  <c r="AK90"/>
  <c r="AJ90"/>
  <c r="AI90"/>
  <c r="H90"/>
  <c r="AU89"/>
  <c r="AT89"/>
  <c r="AS89"/>
  <c r="AR89"/>
  <c r="AQ89"/>
  <c r="AP89"/>
  <c r="AO89"/>
  <c r="AN89"/>
  <c r="AM89"/>
  <c r="AL89"/>
  <c r="AK89"/>
  <c r="AJ89"/>
  <c r="AI89"/>
  <c r="H89"/>
  <c r="AU88"/>
  <c r="AT88"/>
  <c r="AS88"/>
  <c r="AR88"/>
  <c r="AQ88"/>
  <c r="AP88"/>
  <c r="AO88"/>
  <c r="AN88"/>
  <c r="AM88"/>
  <c r="AL88"/>
  <c r="AK88"/>
  <c r="AJ88"/>
  <c r="AI88"/>
  <c r="H88"/>
  <c r="AU87"/>
  <c r="AT87"/>
  <c r="AS87"/>
  <c r="AR87"/>
  <c r="AQ87"/>
  <c r="AP87"/>
  <c r="AO87"/>
  <c r="AN87"/>
  <c r="AM87"/>
  <c r="AL87"/>
  <c r="AK87"/>
  <c r="AJ87"/>
  <c r="AI87"/>
  <c r="H87"/>
  <c r="AU86"/>
  <c r="AT86"/>
  <c r="AS86"/>
  <c r="AR86"/>
  <c r="AQ86"/>
  <c r="AP86"/>
  <c r="AO86"/>
  <c r="AN86"/>
  <c r="AM86"/>
  <c r="AL86"/>
  <c r="AK86"/>
  <c r="AJ86"/>
  <c r="AI86"/>
  <c r="H86"/>
  <c r="AU85"/>
  <c r="AT85"/>
  <c r="AS85"/>
  <c r="AR85"/>
  <c r="AQ85"/>
  <c r="AP85"/>
  <c r="AO85"/>
  <c r="AN85"/>
  <c r="AM85"/>
  <c r="AL85"/>
  <c r="AK85"/>
  <c r="AJ85"/>
  <c r="AI85"/>
  <c r="H85"/>
  <c r="AU84"/>
  <c r="AT84"/>
  <c r="AS84"/>
  <c r="AR84"/>
  <c r="AQ84"/>
  <c r="AP84"/>
  <c r="AO84"/>
  <c r="AN84"/>
  <c r="AM84"/>
  <c r="AL84"/>
  <c r="AK84"/>
  <c r="AJ84"/>
  <c r="AI84"/>
  <c r="H84"/>
  <c r="AU83"/>
  <c r="AT83"/>
  <c r="AS83"/>
  <c r="AR83"/>
  <c r="AQ83"/>
  <c r="AP83"/>
  <c r="AO83"/>
  <c r="AN83"/>
  <c r="AM83"/>
  <c r="AL83"/>
  <c r="AK83"/>
  <c r="AJ83"/>
  <c r="AI83"/>
  <c r="H83"/>
  <c r="AU82"/>
  <c r="AT82"/>
  <c r="AS82"/>
  <c r="AR82"/>
  <c r="AQ82"/>
  <c r="AP82"/>
  <c r="AO82"/>
  <c r="AN82"/>
  <c r="AM82"/>
  <c r="AL82"/>
  <c r="AK82"/>
  <c r="AJ82"/>
  <c r="AI82"/>
  <c r="H82"/>
  <c r="AU81"/>
  <c r="AT81"/>
  <c r="AS81"/>
  <c r="AR81"/>
  <c r="AQ81"/>
  <c r="AP81"/>
  <c r="AO81"/>
  <c r="AN81"/>
  <c r="AM81"/>
  <c r="AL81"/>
  <c r="AK81"/>
  <c r="AJ81"/>
  <c r="AI81"/>
  <c r="H81"/>
  <c r="AU80"/>
  <c r="AT80"/>
  <c r="AS80"/>
  <c r="AR80"/>
  <c r="AQ80"/>
  <c r="AP80"/>
  <c r="AO80"/>
  <c r="AN80"/>
  <c r="AM80"/>
  <c r="AL80"/>
  <c r="AK80"/>
  <c r="AJ80"/>
  <c r="AI80"/>
  <c r="H80"/>
  <c r="AU79"/>
  <c r="AT79"/>
  <c r="AS79"/>
  <c r="AR79"/>
  <c r="AQ79"/>
  <c r="AP79"/>
  <c r="AO79"/>
  <c r="AN79"/>
  <c r="AM79"/>
  <c r="AL79"/>
  <c r="AK79"/>
  <c r="AJ79"/>
  <c r="AI79"/>
  <c r="H79"/>
  <c r="AU78"/>
  <c r="AT78"/>
  <c r="AS78"/>
  <c r="AR78"/>
  <c r="AQ78"/>
  <c r="AP78"/>
  <c r="AO78"/>
  <c r="AN78"/>
  <c r="AM78"/>
  <c r="AL78"/>
  <c r="AK78"/>
  <c r="AJ78"/>
  <c r="AI78"/>
  <c r="H78"/>
  <c r="AU77"/>
  <c r="AT77"/>
  <c r="AS77"/>
  <c r="AR77"/>
  <c r="AQ77"/>
  <c r="AP77"/>
  <c r="AO77"/>
  <c r="AN77"/>
  <c r="AM77"/>
  <c r="AL77"/>
  <c r="AK77"/>
  <c r="AJ77"/>
  <c r="AI77"/>
  <c r="H77"/>
  <c r="AU76"/>
  <c r="AT76"/>
  <c r="AS76"/>
  <c r="AR76"/>
  <c r="AQ76"/>
  <c r="AP76"/>
  <c r="AO76"/>
  <c r="AN76"/>
  <c r="AM76"/>
  <c r="AL76"/>
  <c r="AK76"/>
  <c r="AJ76"/>
  <c r="AI76"/>
  <c r="H76"/>
  <c r="AU75"/>
  <c r="AT75"/>
  <c r="AS75"/>
  <c r="AR75"/>
  <c r="AQ75"/>
  <c r="AP75"/>
  <c r="AO75"/>
  <c r="AN75"/>
  <c r="AM75"/>
  <c r="AL75"/>
  <c r="AK75"/>
  <c r="AJ75"/>
  <c r="AI75"/>
  <c r="H75"/>
  <c r="AU74"/>
  <c r="AT74"/>
  <c r="AS74"/>
  <c r="AR74"/>
  <c r="AQ74"/>
  <c r="AP74"/>
  <c r="AO74"/>
  <c r="AN74"/>
  <c r="AM74"/>
  <c r="AL74"/>
  <c r="AK74"/>
  <c r="AJ74"/>
  <c r="AI74"/>
  <c r="H74"/>
  <c r="AU73"/>
  <c r="AT73"/>
  <c r="AS73"/>
  <c r="AR73"/>
  <c r="AQ73"/>
  <c r="AP73"/>
  <c r="AO73"/>
  <c r="AN73"/>
  <c r="AM73"/>
  <c r="AL73"/>
  <c r="AK73"/>
  <c r="AJ73"/>
  <c r="AI73"/>
  <c r="H73"/>
  <c r="AU72"/>
  <c r="AT72"/>
  <c r="AS72"/>
  <c r="AR72"/>
  <c r="AQ72"/>
  <c r="AP72"/>
  <c r="AO72"/>
  <c r="AN72"/>
  <c r="AM72"/>
  <c r="AL72"/>
  <c r="AK72"/>
  <c r="AJ72"/>
  <c r="AI72"/>
  <c r="H72"/>
  <c r="AU71"/>
  <c r="AT71"/>
  <c r="AS71"/>
  <c r="AR71"/>
  <c r="AQ71"/>
  <c r="AP71"/>
  <c r="AO71"/>
  <c r="AN71"/>
  <c r="AM71"/>
  <c r="AL71"/>
  <c r="AK71"/>
  <c r="AJ71"/>
  <c r="AI71"/>
  <c r="H71"/>
  <c r="AU29"/>
  <c r="AT29"/>
  <c r="AS29"/>
  <c r="AR29"/>
  <c r="AQ29"/>
  <c r="AP29"/>
  <c r="I56" i="19" s="1"/>
  <c r="T56" s="1"/>
  <c r="N56" i="6" s="1"/>
  <c r="AO29" i="13"/>
  <c r="AN29"/>
  <c r="AM29"/>
  <c r="AL29"/>
  <c r="AK29"/>
  <c r="AJ29"/>
  <c r="AI29"/>
  <c r="H29"/>
  <c r="AU40"/>
  <c r="AT40"/>
  <c r="AS40"/>
  <c r="AR40"/>
  <c r="AQ40"/>
  <c r="AP40"/>
  <c r="AO40"/>
  <c r="AN40"/>
  <c r="AM40"/>
  <c r="AL40"/>
  <c r="AK40"/>
  <c r="AJ40"/>
  <c r="AI40"/>
  <c r="H40"/>
  <c r="AK72" i="3" l="1"/>
  <c r="AK76"/>
  <c r="AK88"/>
  <c r="AK80"/>
  <c r="AK84"/>
  <c r="AK92"/>
  <c r="AK96"/>
  <c r="AK100"/>
  <c r="O56" i="16"/>
  <c r="O56" i="18"/>
  <c r="L56" i="16"/>
  <c r="L56" i="18"/>
  <c r="M56" i="16"/>
  <c r="M56" i="18"/>
  <c r="N56" i="16"/>
  <c r="N56" i="18"/>
  <c r="C56"/>
  <c r="C56" i="16"/>
  <c r="F56" i="19"/>
  <c r="Q56" s="1"/>
  <c r="K56" i="6" s="1"/>
  <c r="G56" i="18"/>
  <c r="G56" i="16"/>
  <c r="K56" i="18"/>
  <c r="K56" i="16"/>
  <c r="C56" i="19"/>
  <c r="N56" s="1"/>
  <c r="H56" i="6" s="1"/>
  <c r="D56" i="18"/>
  <c r="D56" i="16"/>
  <c r="G56" i="19"/>
  <c r="R56" s="1"/>
  <c r="L56" i="6" s="1"/>
  <c r="H56" i="18"/>
  <c r="H56" i="16"/>
  <c r="D56" i="19"/>
  <c r="O56" s="1"/>
  <c r="I56" i="6" s="1"/>
  <c r="E56" i="18"/>
  <c r="E56" i="16"/>
  <c r="H56" i="19"/>
  <c r="S56" s="1"/>
  <c r="M56" i="6" s="1"/>
  <c r="I56" i="18"/>
  <c r="I56" i="16"/>
  <c r="E56" i="19"/>
  <c r="P56" s="1"/>
  <c r="J56" i="6" s="1"/>
  <c r="F56" i="18"/>
  <c r="F56" i="16"/>
  <c r="J56" i="18"/>
  <c r="J56" i="16"/>
  <c r="AB56" i="10"/>
  <c r="BE27" i="1" s="1"/>
  <c r="AK56" i="3"/>
  <c r="Z56" i="10"/>
  <c r="BF27" i="1" s="1"/>
  <c r="Z70" i="10"/>
  <c r="AA70" s="1"/>
  <c r="Z72"/>
  <c r="AA72" s="1"/>
  <c r="Z74"/>
  <c r="AA74" s="1"/>
  <c r="Z76"/>
  <c r="AA76" s="1"/>
  <c r="Z78"/>
  <c r="AA78" s="1"/>
  <c r="Z80"/>
  <c r="AA80" s="1"/>
  <c r="Z82"/>
  <c r="AA82" s="1"/>
  <c r="Z84"/>
  <c r="Z86"/>
  <c r="AA86" s="1"/>
  <c r="Z88"/>
  <c r="AA88" s="1"/>
  <c r="Z90"/>
  <c r="AA90" s="1"/>
  <c r="Z92"/>
  <c r="AA92" s="1"/>
  <c r="Z94"/>
  <c r="AA94" s="1"/>
  <c r="Z96"/>
  <c r="AA96" s="1"/>
  <c r="Z98"/>
  <c r="AA98" s="1"/>
  <c r="Z100"/>
  <c r="Z69"/>
  <c r="AA69" s="1"/>
  <c r="Z71"/>
  <c r="AA71" s="1"/>
  <c r="Z73"/>
  <c r="Z75"/>
  <c r="AA75" s="1"/>
  <c r="Z77"/>
  <c r="AA77" s="1"/>
  <c r="Z79"/>
  <c r="AA79" s="1"/>
  <c r="Z81"/>
  <c r="AA81" s="1"/>
  <c r="Z83"/>
  <c r="AA83" s="1"/>
  <c r="Z85"/>
  <c r="AA85" s="1"/>
  <c r="Z87"/>
  <c r="AA87" s="1"/>
  <c r="Z89"/>
  <c r="AA89" s="1"/>
  <c r="Z91"/>
  <c r="AA91" s="1"/>
  <c r="Z93"/>
  <c r="AA93" s="1"/>
  <c r="Z95"/>
  <c r="AA95" s="1"/>
  <c r="Z97"/>
  <c r="AA97" s="1"/>
  <c r="Z99"/>
  <c r="AA99" s="1"/>
  <c r="Z101"/>
  <c r="AA101" s="1"/>
  <c r="AK29" i="14"/>
  <c r="AK71"/>
  <c r="AK75"/>
  <c r="AK79"/>
  <c r="AK83"/>
  <c r="AK87"/>
  <c r="AK91"/>
  <c r="AK95"/>
  <c r="AK99"/>
  <c r="L29" i="19"/>
  <c r="W29" s="1"/>
  <c r="Q29" i="6" s="1"/>
  <c r="M29" i="18"/>
  <c r="M29" i="16"/>
  <c r="E29" i="19"/>
  <c r="P29" s="1"/>
  <c r="J29" i="6" s="1"/>
  <c r="F29" i="18"/>
  <c r="F29" i="16"/>
  <c r="I29" i="19"/>
  <c r="T29" s="1"/>
  <c r="N29" i="6" s="1"/>
  <c r="J29" i="18"/>
  <c r="J29" i="16"/>
  <c r="M29" i="19"/>
  <c r="X29" s="1"/>
  <c r="R29" i="6" s="1"/>
  <c r="N29" i="18"/>
  <c r="N29" i="16"/>
  <c r="D29" i="19"/>
  <c r="O29" s="1"/>
  <c r="I29" i="6" s="1"/>
  <c r="E29" i="18"/>
  <c r="E29" i="16"/>
  <c r="H29" i="19"/>
  <c r="S29" s="1"/>
  <c r="M29" i="6" s="1"/>
  <c r="I29" i="18"/>
  <c r="I29" i="16"/>
  <c r="C29" i="18"/>
  <c r="C29" i="16"/>
  <c r="F29" i="19"/>
  <c r="Q29" s="1"/>
  <c r="K29" i="6" s="1"/>
  <c r="G29" i="18"/>
  <c r="G29" i="16"/>
  <c r="J29" i="19"/>
  <c r="U29" s="1"/>
  <c r="O29" i="6" s="1"/>
  <c r="K29" i="18"/>
  <c r="K29" i="16"/>
  <c r="O29" i="18"/>
  <c r="O29" i="16"/>
  <c r="D29" i="18"/>
  <c r="D29" i="16"/>
  <c r="G29" i="19"/>
  <c r="R29" s="1"/>
  <c r="L29" i="6" s="1"/>
  <c r="H29" i="18"/>
  <c r="H29" i="16"/>
  <c r="K29" i="19"/>
  <c r="V29" s="1"/>
  <c r="P29" i="6" s="1"/>
  <c r="L29" i="18"/>
  <c r="L29" i="16"/>
  <c r="Z29" i="10"/>
  <c r="BF13" i="1" s="1"/>
  <c r="AA84" i="10"/>
  <c r="AM56" i="15"/>
  <c r="AM70"/>
  <c r="AM71"/>
  <c r="AM72"/>
  <c r="AM73"/>
  <c r="AM76"/>
  <c r="AM77"/>
  <c r="AM78"/>
  <c r="AM79"/>
  <c r="AM83"/>
  <c r="AM85"/>
  <c r="AM86"/>
  <c r="AM87"/>
  <c r="AM89"/>
  <c r="AM93"/>
  <c r="AM95"/>
  <c r="AM96"/>
  <c r="AM97"/>
  <c r="AM100"/>
  <c r="AM101"/>
  <c r="AM29"/>
  <c r="AM69"/>
  <c r="AM74"/>
  <c r="AM75"/>
  <c r="AM80"/>
  <c r="AM81"/>
  <c r="AM82"/>
  <c r="AM84"/>
  <c r="AM88"/>
  <c r="AM90"/>
  <c r="AM91"/>
  <c r="AM92"/>
  <c r="AM94"/>
  <c r="AM98"/>
  <c r="AM99"/>
  <c r="AK29" i="3"/>
  <c r="AK71"/>
  <c r="AK75"/>
  <c r="AK79"/>
  <c r="AK83"/>
  <c r="AK87"/>
  <c r="AK91"/>
  <c r="AK95"/>
  <c r="AK99"/>
  <c r="AK70"/>
  <c r="AK74"/>
  <c r="AK78"/>
  <c r="AK82"/>
  <c r="AK86"/>
  <c r="AK90"/>
  <c r="AK94"/>
  <c r="AK98"/>
  <c r="AK69"/>
  <c r="AK73"/>
  <c r="AK77"/>
  <c r="AK81"/>
  <c r="AK85"/>
  <c r="AK89"/>
  <c r="AK93"/>
  <c r="AK97"/>
  <c r="AK101"/>
  <c r="AK78" i="14"/>
  <c r="AK82"/>
  <c r="AK94"/>
  <c r="AK69"/>
  <c r="AK73"/>
  <c r="AK77"/>
  <c r="AK81"/>
  <c r="AK85"/>
  <c r="AK89"/>
  <c r="AK93"/>
  <c r="AK97"/>
  <c r="AK101"/>
  <c r="AK70"/>
  <c r="AK74"/>
  <c r="AK86"/>
  <c r="AK90"/>
  <c r="AK98"/>
  <c r="AK56"/>
  <c r="AK72"/>
  <c r="AK76"/>
  <c r="AK80"/>
  <c r="AK84"/>
  <c r="AK88"/>
  <c r="AK92"/>
  <c r="AK96"/>
  <c r="AK100"/>
  <c r="AA100" i="10"/>
  <c r="AA73"/>
  <c r="X99" i="15"/>
  <c r="X101"/>
  <c r="X100"/>
  <c r="X98"/>
  <c r="X97"/>
  <c r="X96"/>
  <c r="X94"/>
  <c r="X95"/>
  <c r="X93"/>
  <c r="X92"/>
  <c r="X91"/>
  <c r="X90"/>
  <c r="X88"/>
  <c r="X89"/>
  <c r="X87"/>
  <c r="X86"/>
  <c r="X84"/>
  <c r="X85"/>
  <c r="X82"/>
  <c r="X83"/>
  <c r="X81"/>
  <c r="X80"/>
  <c r="X79"/>
  <c r="X75"/>
  <c r="X76"/>
  <c r="X78"/>
  <c r="X77"/>
  <c r="X74"/>
  <c r="X73"/>
  <c r="X71"/>
  <c r="X72"/>
  <c r="X69"/>
  <c r="X70"/>
  <c r="X29"/>
  <c r="Y29" s="1"/>
  <c r="X56"/>
  <c r="Y56" s="1"/>
  <c r="W95" i="3"/>
  <c r="X95" s="1"/>
  <c r="W101"/>
  <c r="X101" s="1"/>
  <c r="W97"/>
  <c r="X97" s="1"/>
  <c r="W98"/>
  <c r="X98" s="1"/>
  <c r="W99"/>
  <c r="X99" s="1"/>
  <c r="W100"/>
  <c r="X100" s="1"/>
  <c r="W96"/>
  <c r="X96" s="1"/>
  <c r="W94"/>
  <c r="X94" s="1"/>
  <c r="W93"/>
  <c r="X93" s="1"/>
  <c r="W92"/>
  <c r="X92" s="1"/>
  <c r="W87"/>
  <c r="X87" s="1"/>
  <c r="W91"/>
  <c r="X91" s="1"/>
  <c r="W90"/>
  <c r="X90" s="1"/>
  <c r="W86"/>
  <c r="X86" s="1"/>
  <c r="W89"/>
  <c r="X89" s="1"/>
  <c r="W88"/>
  <c r="X88" s="1"/>
  <c r="W83"/>
  <c r="X83" s="1"/>
  <c r="W85"/>
  <c r="X85" s="1"/>
  <c r="W84"/>
  <c r="X84" s="1"/>
  <c r="W74"/>
  <c r="X74" s="1"/>
  <c r="W82"/>
  <c r="X82" s="1"/>
  <c r="W81"/>
  <c r="X81" s="1"/>
  <c r="W76"/>
  <c r="X76" s="1"/>
  <c r="W77"/>
  <c r="X77" s="1"/>
  <c r="W78"/>
  <c r="X78" s="1"/>
  <c r="W79"/>
  <c r="X79" s="1"/>
  <c r="W80"/>
  <c r="X80" s="1"/>
  <c r="W75"/>
  <c r="X75" s="1"/>
  <c r="W70"/>
  <c r="X70" s="1"/>
  <c r="W71"/>
  <c r="X71" s="1"/>
  <c r="W73"/>
  <c r="X73" s="1"/>
  <c r="W69"/>
  <c r="X69" s="1"/>
  <c r="W72"/>
  <c r="X72" s="1"/>
  <c r="W56"/>
  <c r="X56" s="1"/>
  <c r="W29"/>
  <c r="X29" s="1"/>
  <c r="W101" i="14"/>
  <c r="X101" s="1"/>
  <c r="W99"/>
  <c r="X99" s="1"/>
  <c r="W100"/>
  <c r="X100" s="1"/>
  <c r="W95"/>
  <c r="X95" s="1"/>
  <c r="W98"/>
  <c r="X98" s="1"/>
  <c r="W97"/>
  <c r="X97" s="1"/>
  <c r="W93"/>
  <c r="X93" s="1"/>
  <c r="W96"/>
  <c r="X96" s="1"/>
  <c r="W87"/>
  <c r="X87" s="1"/>
  <c r="W91"/>
  <c r="X91" s="1"/>
  <c r="W94"/>
  <c r="X94" s="1"/>
  <c r="W90"/>
  <c r="X90" s="1"/>
  <c r="W92"/>
  <c r="X92" s="1"/>
  <c r="W85"/>
  <c r="X85" s="1"/>
  <c r="W89"/>
  <c r="X89" s="1"/>
  <c r="W88"/>
  <c r="X88" s="1"/>
  <c r="W82"/>
  <c r="X82" s="1"/>
  <c r="W86"/>
  <c r="X86" s="1"/>
  <c r="W81"/>
  <c r="X81" s="1"/>
  <c r="W84"/>
  <c r="X84" s="1"/>
  <c r="W83"/>
  <c r="X83" s="1"/>
  <c r="W77"/>
  <c r="X77" s="1"/>
  <c r="W78"/>
  <c r="X78" s="1"/>
  <c r="W80"/>
  <c r="X80" s="1"/>
  <c r="W75"/>
  <c r="X75" s="1"/>
  <c r="W79"/>
  <c r="X79" s="1"/>
  <c r="W74"/>
  <c r="X74" s="1"/>
  <c r="W72"/>
  <c r="X72" s="1"/>
  <c r="W76"/>
  <c r="X76" s="1"/>
  <c r="W70"/>
  <c r="X70" s="1"/>
  <c r="W73"/>
  <c r="X73" s="1"/>
  <c r="W56"/>
  <c r="W69"/>
  <c r="X69" s="1"/>
  <c r="W71"/>
  <c r="X71" s="1"/>
  <c r="W29"/>
  <c r="AJ29" i="6"/>
  <c r="AI29" s="1"/>
  <c r="AH29" s="1"/>
  <c r="AJ56"/>
  <c r="AI56" s="1"/>
  <c r="AH56" s="1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I69"/>
  <c r="AH69" s="1"/>
  <c r="AI70"/>
  <c r="AH70" s="1"/>
  <c r="AI71"/>
  <c r="AH71" s="1"/>
  <c r="AI72"/>
  <c r="AH72" s="1"/>
  <c r="AI73"/>
  <c r="AH73" s="1"/>
  <c r="AI74"/>
  <c r="AH74" s="1"/>
  <c r="AI75"/>
  <c r="AH75" s="1"/>
  <c r="AI76"/>
  <c r="AH76" s="1"/>
  <c r="AI77"/>
  <c r="AH77" s="1"/>
  <c r="AI78"/>
  <c r="AH78" s="1"/>
  <c r="AI79"/>
  <c r="AH79" s="1"/>
  <c r="AI80"/>
  <c r="AH80" s="1"/>
  <c r="AI81"/>
  <c r="AH81" s="1"/>
  <c r="AI82"/>
  <c r="AH82" s="1"/>
  <c r="AI83"/>
  <c r="AH83" s="1"/>
  <c r="AI84"/>
  <c r="AH84" s="1"/>
  <c r="AI85"/>
  <c r="AH85" s="1"/>
  <c r="AI86"/>
  <c r="AH86" s="1"/>
  <c r="AI87"/>
  <c r="AH87" s="1"/>
  <c r="AI88"/>
  <c r="AH88" s="1"/>
  <c r="AI89"/>
  <c r="AH89" s="1"/>
  <c r="AI90"/>
  <c r="AH90" s="1"/>
  <c r="AI91"/>
  <c r="AH91" s="1"/>
  <c r="AI92"/>
  <c r="AH92" s="1"/>
  <c r="AI93"/>
  <c r="AH93" s="1"/>
  <c r="AI94"/>
  <c r="AH94" s="1"/>
  <c r="AI95"/>
  <c r="AH95" s="1"/>
  <c r="AI96"/>
  <c r="AH96" s="1"/>
  <c r="AI97"/>
  <c r="AH97" s="1"/>
  <c r="AI98"/>
  <c r="AH98" s="1"/>
  <c r="AI99"/>
  <c r="AH99" s="1"/>
  <c r="AI100"/>
  <c r="AH100" s="1"/>
  <c r="AI101"/>
  <c r="AH101" s="1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Q69" i="16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P69"/>
  <c r="R69" s="1"/>
  <c r="P70"/>
  <c r="R70" s="1"/>
  <c r="P71"/>
  <c r="R71" s="1"/>
  <c r="P72"/>
  <c r="R72" s="1"/>
  <c r="P73"/>
  <c r="R73" s="1"/>
  <c r="P74"/>
  <c r="R74" s="1"/>
  <c r="P75"/>
  <c r="R75" s="1"/>
  <c r="P76"/>
  <c r="R76" s="1"/>
  <c r="P77"/>
  <c r="R77" s="1"/>
  <c r="P78"/>
  <c r="R78" s="1"/>
  <c r="P79"/>
  <c r="R79" s="1"/>
  <c r="P80"/>
  <c r="R80" s="1"/>
  <c r="P81"/>
  <c r="R81" s="1"/>
  <c r="P82"/>
  <c r="R82" s="1"/>
  <c r="P83"/>
  <c r="R83" s="1"/>
  <c r="P84"/>
  <c r="R84" s="1"/>
  <c r="P85"/>
  <c r="R85" s="1"/>
  <c r="P86"/>
  <c r="R86" s="1"/>
  <c r="P87"/>
  <c r="R87" s="1"/>
  <c r="P88"/>
  <c r="R88" s="1"/>
  <c r="P89"/>
  <c r="R89" s="1"/>
  <c r="P90"/>
  <c r="R90" s="1"/>
  <c r="P91"/>
  <c r="R91" s="1"/>
  <c r="P92"/>
  <c r="R92" s="1"/>
  <c r="P93"/>
  <c r="R93" s="1"/>
  <c r="P94"/>
  <c r="R94" s="1"/>
  <c r="P95"/>
  <c r="R95" s="1"/>
  <c r="P96"/>
  <c r="R96" s="1"/>
  <c r="P97"/>
  <c r="R97" s="1"/>
  <c r="P98"/>
  <c r="R98" s="1"/>
  <c r="P99"/>
  <c r="R99" s="1"/>
  <c r="P100"/>
  <c r="R100" s="1"/>
  <c r="P101"/>
  <c r="R101" s="1"/>
  <c r="Q69" i="2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O29"/>
  <c r="O56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N29"/>
  <c r="N56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M29"/>
  <c r="M56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L29"/>
  <c r="L56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K29"/>
  <c r="K56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J29"/>
  <c r="J56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I29"/>
  <c r="I56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H29"/>
  <c r="H56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G29"/>
  <c r="G56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F29"/>
  <c r="F56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E29"/>
  <c r="E56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D29"/>
  <c r="D56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C29"/>
  <c r="C56"/>
  <c r="C69"/>
  <c r="P69" s="1"/>
  <c r="C70"/>
  <c r="P70" s="1"/>
  <c r="C71"/>
  <c r="P71" s="1"/>
  <c r="C72"/>
  <c r="P72" s="1"/>
  <c r="C73"/>
  <c r="P73" s="1"/>
  <c r="C74"/>
  <c r="P74" s="1"/>
  <c r="C75"/>
  <c r="P75" s="1"/>
  <c r="C76"/>
  <c r="P76" s="1"/>
  <c r="C77"/>
  <c r="P77" s="1"/>
  <c r="C78"/>
  <c r="P78" s="1"/>
  <c r="C79"/>
  <c r="P79" s="1"/>
  <c r="C80"/>
  <c r="P80" s="1"/>
  <c r="C81"/>
  <c r="P81" s="1"/>
  <c r="C82"/>
  <c r="P82" s="1"/>
  <c r="C83"/>
  <c r="P83" s="1"/>
  <c r="C84"/>
  <c r="P84" s="1"/>
  <c r="C85"/>
  <c r="P85" s="1"/>
  <c r="C86"/>
  <c r="P86" s="1"/>
  <c r="C87"/>
  <c r="P87" s="1"/>
  <c r="C88"/>
  <c r="P88" s="1"/>
  <c r="C89"/>
  <c r="P89" s="1"/>
  <c r="C90"/>
  <c r="P90" s="1"/>
  <c r="C91"/>
  <c r="P91" s="1"/>
  <c r="C92"/>
  <c r="P92" s="1"/>
  <c r="C93"/>
  <c r="P93" s="1"/>
  <c r="C94"/>
  <c r="P94" s="1"/>
  <c r="C95"/>
  <c r="P95" s="1"/>
  <c r="C96"/>
  <c r="P96" s="1"/>
  <c r="C97"/>
  <c r="P97" s="1"/>
  <c r="C98"/>
  <c r="P98" s="1"/>
  <c r="C99"/>
  <c r="P99" s="1"/>
  <c r="C100"/>
  <c r="P100" s="1"/>
  <c r="C101"/>
  <c r="P101" s="1"/>
  <c r="P56" i="16" l="1"/>
  <c r="S56" i="6"/>
  <c r="P56" i="18"/>
  <c r="M27" i="1" s="1"/>
  <c r="Q56" i="2"/>
  <c r="Q56" i="16"/>
  <c r="R56" s="1"/>
  <c r="X56" i="14"/>
  <c r="Q56" i="18"/>
  <c r="P56" i="2"/>
  <c r="AA56" i="10"/>
  <c r="BG27" i="1" s="1"/>
  <c r="P29" i="16"/>
  <c r="S29" i="6"/>
  <c r="P29" i="18"/>
  <c r="M13" i="1" s="1"/>
  <c r="Q29" i="16"/>
  <c r="X29" i="14"/>
  <c r="Q29" i="18"/>
  <c r="Q29" i="2"/>
  <c r="P29"/>
  <c r="AA29" i="10"/>
  <c r="BG13" i="1" s="1"/>
  <c r="AK98" i="6"/>
  <c r="AK94"/>
  <c r="AK90"/>
  <c r="AK86"/>
  <c r="AK82"/>
  <c r="AK78"/>
  <c r="AK74"/>
  <c r="AK70"/>
  <c r="AK99"/>
  <c r="AK95"/>
  <c r="AK91"/>
  <c r="AK87"/>
  <c r="AK83"/>
  <c r="AK79"/>
  <c r="AK75"/>
  <c r="AK71"/>
  <c r="AK29"/>
  <c r="AL29" s="1"/>
  <c r="AK100"/>
  <c r="AK96"/>
  <c r="AK92"/>
  <c r="AK88"/>
  <c r="AK84"/>
  <c r="AK80"/>
  <c r="AK76"/>
  <c r="AK72"/>
  <c r="AK56"/>
  <c r="AK101"/>
  <c r="AK97"/>
  <c r="AK93"/>
  <c r="AK89"/>
  <c r="AK85"/>
  <c r="AK81"/>
  <c r="AK77"/>
  <c r="AK73"/>
  <c r="AK69"/>
  <c r="R98" i="2"/>
  <c r="R94"/>
  <c r="R90"/>
  <c r="R86"/>
  <c r="R82"/>
  <c r="R78"/>
  <c r="R74"/>
  <c r="R70"/>
  <c r="R101"/>
  <c r="R97"/>
  <c r="R93"/>
  <c r="R89"/>
  <c r="R85"/>
  <c r="R81"/>
  <c r="R77"/>
  <c r="R73"/>
  <c r="R69"/>
  <c r="R99"/>
  <c r="R95"/>
  <c r="R91"/>
  <c r="R87"/>
  <c r="R83"/>
  <c r="R79"/>
  <c r="R75"/>
  <c r="R71"/>
  <c r="R100"/>
  <c r="R96"/>
  <c r="R92"/>
  <c r="R88"/>
  <c r="R84"/>
  <c r="R80"/>
  <c r="R76"/>
  <c r="R72"/>
  <c r="Q103" i="16"/>
  <c r="Q102"/>
  <c r="Q103" i="2"/>
  <c r="Q102"/>
  <c r="O103"/>
  <c r="N103"/>
  <c r="M103"/>
  <c r="L103"/>
  <c r="K103"/>
  <c r="J103"/>
  <c r="I103"/>
  <c r="H103"/>
  <c r="G103"/>
  <c r="F103"/>
  <c r="E103"/>
  <c r="D103"/>
  <c r="C103"/>
  <c r="O102"/>
  <c r="N102"/>
  <c r="M102"/>
  <c r="L102"/>
  <c r="K102"/>
  <c r="J102"/>
  <c r="I102"/>
  <c r="H102"/>
  <c r="G102"/>
  <c r="F102"/>
  <c r="E102"/>
  <c r="D102"/>
  <c r="C102"/>
  <c r="O50"/>
  <c r="N50"/>
  <c r="O58"/>
  <c r="O42"/>
  <c r="N42"/>
  <c r="O38"/>
  <c r="N38"/>
  <c r="M38"/>
  <c r="O25"/>
  <c r="N25"/>
  <c r="O24"/>
  <c r="R29" i="16" l="1"/>
  <c r="AZ13" i="1" s="1"/>
  <c r="R56" i="2"/>
  <c r="I27" i="1" s="1"/>
  <c r="Q27" s="1"/>
  <c r="BL27"/>
  <c r="AL56" i="6"/>
  <c r="BN27" i="1" s="1"/>
  <c r="R56" i="18"/>
  <c r="N27" i="1" s="1"/>
  <c r="L27"/>
  <c r="BN13"/>
  <c r="BL13"/>
  <c r="R29" i="18"/>
  <c r="N13" i="1" s="1"/>
  <c r="L13"/>
  <c r="R29" i="2"/>
  <c r="I13" i="1" s="1"/>
  <c r="Q13" s="1"/>
  <c r="BM13"/>
  <c r="BM27"/>
  <c r="AZ27"/>
  <c r="AY13"/>
  <c r="AY27"/>
  <c r="AX13"/>
  <c r="AX27"/>
  <c r="AQ13"/>
  <c r="AQ27"/>
  <c r="AP13"/>
  <c r="AP27"/>
  <c r="AO13"/>
  <c r="AO27"/>
  <c r="AN13"/>
  <c r="AN27"/>
  <c r="AG13"/>
  <c r="AG27"/>
  <c r="AF13"/>
  <c r="AF27"/>
  <c r="AE13"/>
  <c r="AE27"/>
  <c r="AD13"/>
  <c r="AD27"/>
  <c r="W13"/>
  <c r="W27"/>
  <c r="V13"/>
  <c r="V27"/>
  <c r="U13"/>
  <c r="U27"/>
  <c r="T13"/>
  <c r="T27"/>
  <c r="H27"/>
  <c r="G27"/>
  <c r="H13"/>
  <c r="G13"/>
  <c r="O27" l="1"/>
  <c r="P27" s="1"/>
  <c r="O13"/>
  <c r="P13" s="1"/>
  <c r="J13"/>
  <c r="K13" s="1"/>
  <c r="R13" s="1"/>
  <c r="BQ13"/>
  <c r="BQ27"/>
  <c r="BP13"/>
  <c r="BP27"/>
  <c r="BO13"/>
  <c r="BO27"/>
  <c r="BJ13"/>
  <c r="BJ27"/>
  <c r="BI13"/>
  <c r="BI27"/>
  <c r="BH13"/>
  <c r="BH27"/>
  <c r="BC13"/>
  <c r="BC27"/>
  <c r="BB13"/>
  <c r="BB27"/>
  <c r="BA13"/>
  <c r="BA27"/>
  <c r="AU13"/>
  <c r="AU27"/>
  <c r="AT13"/>
  <c r="AT27"/>
  <c r="AR13"/>
  <c r="AS13" s="1"/>
  <c r="AV13" s="1"/>
  <c r="AR27"/>
  <c r="AS27" s="1"/>
  <c r="AV27" s="1"/>
  <c r="AK13"/>
  <c r="AK27"/>
  <c r="AJ13"/>
  <c r="AJ27"/>
  <c r="AH13"/>
  <c r="AI13" s="1"/>
  <c r="AL13" s="1"/>
  <c r="AH27"/>
  <c r="AI27" s="1"/>
  <c r="AL27" s="1"/>
  <c r="AA13"/>
  <c r="AA27"/>
  <c r="Z13"/>
  <c r="Z27"/>
  <c r="X13"/>
  <c r="Y13" s="1"/>
  <c r="AB13" s="1"/>
  <c r="X27"/>
  <c r="Y27" s="1"/>
  <c r="AB27" s="1"/>
  <c r="J27"/>
  <c r="K27" s="1"/>
  <c r="R27" s="1"/>
  <c r="D27" l="1"/>
  <c r="D13"/>
  <c r="C102" i="12"/>
  <c r="C59"/>
  <c r="C63"/>
  <c r="C65"/>
  <c r="C66"/>
  <c r="C49"/>
  <c r="C62"/>
  <c r="C54"/>
  <c r="C30"/>
  <c r="C17"/>
  <c r="C67"/>
  <c r="C25"/>
  <c r="C31"/>
  <c r="C10"/>
  <c r="C101"/>
  <c r="X65" i="10" l="1"/>
  <c r="X62"/>
  <c r="X30"/>
  <c r="X103"/>
  <c r="X61"/>
  <c r="X59"/>
  <c r="X102"/>
  <c r="X58"/>
  <c r="X57"/>
  <c r="X21"/>
  <c r="X20"/>
  <c r="X54"/>
  <c r="X53"/>
  <c r="X52"/>
  <c r="X51"/>
  <c r="X49"/>
  <c r="X48"/>
  <c r="X47"/>
  <c r="X46"/>
  <c r="X45"/>
  <c r="X44"/>
  <c r="X43"/>
  <c r="X42"/>
  <c r="X41"/>
  <c r="X40"/>
  <c r="X39"/>
  <c r="X38"/>
  <c r="X37"/>
  <c r="X11"/>
  <c r="X36"/>
  <c r="X32"/>
  <c r="X35"/>
  <c r="X26"/>
  <c r="X68"/>
  <c r="X34"/>
  <c r="X33"/>
  <c r="X18"/>
  <c r="X28"/>
  <c r="X27"/>
  <c r="X25"/>
  <c r="X31"/>
  <c r="X55"/>
  <c r="X63"/>
  <c r="X50"/>
  <c r="X24"/>
  <c r="X23"/>
  <c r="X67"/>
  <c r="X22"/>
  <c r="X66"/>
  <c r="X19"/>
  <c r="X64"/>
  <c r="X17"/>
  <c r="X16"/>
  <c r="X15"/>
  <c r="X14"/>
  <c r="X13"/>
  <c r="X12"/>
  <c r="X10"/>
  <c r="X9"/>
  <c r="X8"/>
  <c r="X60"/>
  <c r="X7"/>
  <c r="X6"/>
  <c r="X5"/>
  <c r="X4"/>
  <c r="W65"/>
  <c r="W62"/>
  <c r="W30"/>
  <c r="W103"/>
  <c r="W61"/>
  <c r="W59"/>
  <c r="W102"/>
  <c r="W58"/>
  <c r="W57"/>
  <c r="W21"/>
  <c r="W20"/>
  <c r="W54"/>
  <c r="W53"/>
  <c r="W52"/>
  <c r="W51"/>
  <c r="W49"/>
  <c r="W48"/>
  <c r="W47"/>
  <c r="W46"/>
  <c r="W45"/>
  <c r="W44"/>
  <c r="W43"/>
  <c r="W42"/>
  <c r="W41"/>
  <c r="W40"/>
  <c r="W39"/>
  <c r="W38"/>
  <c r="W37"/>
  <c r="W11"/>
  <c r="W36"/>
  <c r="W32"/>
  <c r="W35"/>
  <c r="W26"/>
  <c r="W68"/>
  <c r="W34"/>
  <c r="W33"/>
  <c r="W18"/>
  <c r="W28"/>
  <c r="W27"/>
  <c r="W25"/>
  <c r="W31"/>
  <c r="W55"/>
  <c r="W63"/>
  <c r="W50"/>
  <c r="W24"/>
  <c r="W23"/>
  <c r="W67"/>
  <c r="W22"/>
  <c r="W66"/>
  <c r="W19"/>
  <c r="W64"/>
  <c r="W17"/>
  <c r="W16"/>
  <c r="W15"/>
  <c r="W14"/>
  <c r="W13"/>
  <c r="W12"/>
  <c r="W10"/>
  <c r="W9"/>
  <c r="W8"/>
  <c r="W60"/>
  <c r="W7"/>
  <c r="W6"/>
  <c r="W5"/>
  <c r="W4"/>
  <c r="V65"/>
  <c r="V62"/>
  <c r="V30"/>
  <c r="V103"/>
  <c r="V61"/>
  <c r="V59"/>
  <c r="V102"/>
  <c r="V58"/>
  <c r="V57"/>
  <c r="V21"/>
  <c r="V20"/>
  <c r="V54"/>
  <c r="V53"/>
  <c r="V52"/>
  <c r="V51"/>
  <c r="V49"/>
  <c r="V48"/>
  <c r="V47"/>
  <c r="V46"/>
  <c r="V45"/>
  <c r="V44"/>
  <c r="V43"/>
  <c r="V42"/>
  <c r="V41"/>
  <c r="V40"/>
  <c r="V39"/>
  <c r="V38"/>
  <c r="V37"/>
  <c r="V11"/>
  <c r="V36"/>
  <c r="V32"/>
  <c r="V35"/>
  <c r="V26"/>
  <c r="V68"/>
  <c r="V34"/>
  <c r="V33"/>
  <c r="V18"/>
  <c r="V28"/>
  <c r="V27"/>
  <c r="V25"/>
  <c r="V31"/>
  <c r="V55"/>
  <c r="V63"/>
  <c r="V50"/>
  <c r="V24"/>
  <c r="V23"/>
  <c r="V67"/>
  <c r="V22"/>
  <c r="V66"/>
  <c r="V19"/>
  <c r="V64"/>
  <c r="V17"/>
  <c r="V16"/>
  <c r="V15"/>
  <c r="V14"/>
  <c r="V13"/>
  <c r="V12"/>
  <c r="V10"/>
  <c r="V9"/>
  <c r="V8"/>
  <c r="V60"/>
  <c r="V7"/>
  <c r="V6"/>
  <c r="V5"/>
  <c r="V4"/>
  <c r="U65"/>
  <c r="U62"/>
  <c r="U30"/>
  <c r="U103"/>
  <c r="U61"/>
  <c r="U59"/>
  <c r="U102"/>
  <c r="U58"/>
  <c r="U57"/>
  <c r="U21"/>
  <c r="U20"/>
  <c r="U54"/>
  <c r="U53"/>
  <c r="U52"/>
  <c r="U51"/>
  <c r="U49"/>
  <c r="U48"/>
  <c r="U47"/>
  <c r="U46"/>
  <c r="U45"/>
  <c r="U44"/>
  <c r="U43"/>
  <c r="U42"/>
  <c r="U41"/>
  <c r="U40"/>
  <c r="U39"/>
  <c r="U38"/>
  <c r="U37"/>
  <c r="U11"/>
  <c r="U36"/>
  <c r="U32"/>
  <c r="U35"/>
  <c r="U26"/>
  <c r="U68"/>
  <c r="U34"/>
  <c r="U33"/>
  <c r="U18"/>
  <c r="U28"/>
  <c r="U27"/>
  <c r="U25"/>
  <c r="U31"/>
  <c r="U55"/>
  <c r="U63"/>
  <c r="U50"/>
  <c r="U24"/>
  <c r="U23"/>
  <c r="U67"/>
  <c r="U22"/>
  <c r="U66"/>
  <c r="U19"/>
  <c r="U64"/>
  <c r="U17"/>
  <c r="U16"/>
  <c r="U15"/>
  <c r="U14"/>
  <c r="U13"/>
  <c r="U12"/>
  <c r="U10"/>
  <c r="U9"/>
  <c r="U8"/>
  <c r="U60"/>
  <c r="U7"/>
  <c r="U6"/>
  <c r="U5"/>
  <c r="U4"/>
  <c r="T65"/>
  <c r="T62"/>
  <c r="T30"/>
  <c r="T103"/>
  <c r="T61"/>
  <c r="T59"/>
  <c r="T102"/>
  <c r="T58"/>
  <c r="T57"/>
  <c r="T21"/>
  <c r="T20"/>
  <c r="T54"/>
  <c r="T53"/>
  <c r="T52"/>
  <c r="T51"/>
  <c r="T49"/>
  <c r="T48"/>
  <c r="T47"/>
  <c r="T46"/>
  <c r="T45"/>
  <c r="T44"/>
  <c r="T43"/>
  <c r="T42"/>
  <c r="T41"/>
  <c r="T40"/>
  <c r="T39"/>
  <c r="T38"/>
  <c r="T37"/>
  <c r="T11"/>
  <c r="T36"/>
  <c r="T32"/>
  <c r="T35"/>
  <c r="T26"/>
  <c r="T68"/>
  <c r="T34"/>
  <c r="T33"/>
  <c r="T18"/>
  <c r="T28"/>
  <c r="T27"/>
  <c r="T25"/>
  <c r="T31"/>
  <c r="T55"/>
  <c r="T63"/>
  <c r="T50"/>
  <c r="T24"/>
  <c r="T23"/>
  <c r="T67"/>
  <c r="T22"/>
  <c r="T66"/>
  <c r="T19"/>
  <c r="T64"/>
  <c r="T17"/>
  <c r="T16"/>
  <c r="T15"/>
  <c r="T14"/>
  <c r="T13"/>
  <c r="T12"/>
  <c r="T10"/>
  <c r="T9"/>
  <c r="T8"/>
  <c r="T60"/>
  <c r="T7"/>
  <c r="T6"/>
  <c r="T5"/>
  <c r="T4"/>
  <c r="S65"/>
  <c r="S62"/>
  <c r="S30"/>
  <c r="S103"/>
  <c r="S61"/>
  <c r="S59"/>
  <c r="S102"/>
  <c r="S58"/>
  <c r="S57"/>
  <c r="S21"/>
  <c r="S20"/>
  <c r="S54"/>
  <c r="S53"/>
  <c r="S52"/>
  <c r="S51"/>
  <c r="S49"/>
  <c r="S48"/>
  <c r="S47"/>
  <c r="S46"/>
  <c r="S45"/>
  <c r="S44"/>
  <c r="S43"/>
  <c r="S42"/>
  <c r="S41"/>
  <c r="S40"/>
  <c r="S39"/>
  <c r="S38"/>
  <c r="S37"/>
  <c r="S11"/>
  <c r="S36"/>
  <c r="S32"/>
  <c r="S35"/>
  <c r="S26"/>
  <c r="S68"/>
  <c r="S34"/>
  <c r="S33"/>
  <c r="S18"/>
  <c r="S28"/>
  <c r="S27"/>
  <c r="S25"/>
  <c r="S31"/>
  <c r="S55"/>
  <c r="S63"/>
  <c r="S50"/>
  <c r="S24"/>
  <c r="S23"/>
  <c r="S67"/>
  <c r="S22"/>
  <c r="S66"/>
  <c r="S19"/>
  <c r="S64"/>
  <c r="S17"/>
  <c r="S16"/>
  <c r="S15"/>
  <c r="S14"/>
  <c r="S13"/>
  <c r="S12"/>
  <c r="S10"/>
  <c r="S9"/>
  <c r="S8"/>
  <c r="S60"/>
  <c r="S7"/>
  <c r="S6"/>
  <c r="S5"/>
  <c r="S4"/>
  <c r="R65"/>
  <c r="R62"/>
  <c r="R30"/>
  <c r="R103"/>
  <c r="R61"/>
  <c r="R59"/>
  <c r="R102"/>
  <c r="R58"/>
  <c r="R57"/>
  <c r="R21"/>
  <c r="R20"/>
  <c r="R54"/>
  <c r="R53"/>
  <c r="R52"/>
  <c r="R51"/>
  <c r="R49"/>
  <c r="R48"/>
  <c r="R47"/>
  <c r="R46"/>
  <c r="R45"/>
  <c r="R44"/>
  <c r="R43"/>
  <c r="R42"/>
  <c r="R41"/>
  <c r="R40"/>
  <c r="R39"/>
  <c r="R38"/>
  <c r="R37"/>
  <c r="R11"/>
  <c r="R36"/>
  <c r="R32"/>
  <c r="R35"/>
  <c r="R26"/>
  <c r="R68"/>
  <c r="R34"/>
  <c r="R33"/>
  <c r="R18"/>
  <c r="R28"/>
  <c r="R27"/>
  <c r="R25"/>
  <c r="R31"/>
  <c r="R55"/>
  <c r="R63"/>
  <c r="R50"/>
  <c r="R24"/>
  <c r="R23"/>
  <c r="R67"/>
  <c r="R22"/>
  <c r="R66"/>
  <c r="R19"/>
  <c r="R64"/>
  <c r="R17"/>
  <c r="R16"/>
  <c r="R15"/>
  <c r="R14"/>
  <c r="R13"/>
  <c r="R12"/>
  <c r="R10"/>
  <c r="R9"/>
  <c r="R8"/>
  <c r="R60"/>
  <c r="R7"/>
  <c r="R6"/>
  <c r="R5"/>
  <c r="R4"/>
  <c r="Q65"/>
  <c r="Q62"/>
  <c r="Q30"/>
  <c r="Q103"/>
  <c r="Q61"/>
  <c r="Q59"/>
  <c r="Q102"/>
  <c r="Q58"/>
  <c r="Q57"/>
  <c r="Q21"/>
  <c r="Q20"/>
  <c r="Q54"/>
  <c r="Q53"/>
  <c r="Q52"/>
  <c r="Q51"/>
  <c r="Q49"/>
  <c r="Q48"/>
  <c r="Q47"/>
  <c r="Q46"/>
  <c r="Q45"/>
  <c r="Q44"/>
  <c r="Q43"/>
  <c r="Q42"/>
  <c r="Q41"/>
  <c r="Q40"/>
  <c r="Q39"/>
  <c r="Q38"/>
  <c r="Q37"/>
  <c r="Q11"/>
  <c r="Q36"/>
  <c r="Q32"/>
  <c r="Q35"/>
  <c r="Q26"/>
  <c r="Q68"/>
  <c r="Q34"/>
  <c r="Q33"/>
  <c r="Q18"/>
  <c r="Q28"/>
  <c r="Q27"/>
  <c r="Q25"/>
  <c r="Q31"/>
  <c r="Q55"/>
  <c r="Q63"/>
  <c r="Q50"/>
  <c r="Q24"/>
  <c r="Q23"/>
  <c r="Q67"/>
  <c r="Q22"/>
  <c r="Q66"/>
  <c r="Q19"/>
  <c r="Q64"/>
  <c r="Q17"/>
  <c r="Q16"/>
  <c r="Q15"/>
  <c r="Q14"/>
  <c r="Q13"/>
  <c r="Q12"/>
  <c r="Q10"/>
  <c r="Q9"/>
  <c r="Q8"/>
  <c r="Q60"/>
  <c r="Q7"/>
  <c r="Q6"/>
  <c r="Q5"/>
  <c r="Q4"/>
  <c r="P65"/>
  <c r="P62"/>
  <c r="P30"/>
  <c r="P103"/>
  <c r="P61"/>
  <c r="P59"/>
  <c r="P102"/>
  <c r="P58"/>
  <c r="P57"/>
  <c r="P21"/>
  <c r="P20"/>
  <c r="P54"/>
  <c r="P53"/>
  <c r="P52"/>
  <c r="P51"/>
  <c r="P49"/>
  <c r="P48"/>
  <c r="P47"/>
  <c r="P46"/>
  <c r="P45"/>
  <c r="P44"/>
  <c r="P43"/>
  <c r="P42"/>
  <c r="P41"/>
  <c r="P40"/>
  <c r="P39"/>
  <c r="P38"/>
  <c r="P37"/>
  <c r="P11"/>
  <c r="P36"/>
  <c r="P32"/>
  <c r="P35"/>
  <c r="P26"/>
  <c r="P68"/>
  <c r="P34"/>
  <c r="P33"/>
  <c r="P18"/>
  <c r="P28"/>
  <c r="P27"/>
  <c r="P25"/>
  <c r="P31"/>
  <c r="P55"/>
  <c r="P63"/>
  <c r="P50"/>
  <c r="P24"/>
  <c r="P23"/>
  <c r="P67"/>
  <c r="P22"/>
  <c r="P66"/>
  <c r="P19"/>
  <c r="P64"/>
  <c r="P17"/>
  <c r="P16"/>
  <c r="P15"/>
  <c r="P14"/>
  <c r="P13"/>
  <c r="P12"/>
  <c r="P10"/>
  <c r="P9"/>
  <c r="P8"/>
  <c r="P60"/>
  <c r="P7"/>
  <c r="P6"/>
  <c r="P5"/>
  <c r="P4"/>
  <c r="O5"/>
  <c r="O6"/>
  <c r="O7"/>
  <c r="O60"/>
  <c r="O8"/>
  <c r="O9"/>
  <c r="O10"/>
  <c r="O12"/>
  <c r="O13"/>
  <c r="O14"/>
  <c r="O15"/>
  <c r="O16"/>
  <c r="O17"/>
  <c r="O64"/>
  <c r="O19"/>
  <c r="O66"/>
  <c r="O22"/>
  <c r="O67"/>
  <c r="O23"/>
  <c r="O24"/>
  <c r="O50"/>
  <c r="O63"/>
  <c r="O55"/>
  <c r="O31"/>
  <c r="O25"/>
  <c r="O27"/>
  <c r="O28"/>
  <c r="O18"/>
  <c r="O33"/>
  <c r="O34"/>
  <c r="O68"/>
  <c r="O26"/>
  <c r="O35"/>
  <c r="O32"/>
  <c r="O36"/>
  <c r="O11"/>
  <c r="O37"/>
  <c r="O38"/>
  <c r="O39"/>
  <c r="O40"/>
  <c r="O41"/>
  <c r="O42"/>
  <c r="O43"/>
  <c r="O44"/>
  <c r="O45"/>
  <c r="O46"/>
  <c r="O47"/>
  <c r="O48"/>
  <c r="O49"/>
  <c r="O51"/>
  <c r="O52"/>
  <c r="O53"/>
  <c r="O54"/>
  <c r="O20"/>
  <c r="O21"/>
  <c r="O57"/>
  <c r="O58"/>
  <c r="O102"/>
  <c r="O59"/>
  <c r="O61"/>
  <c r="O103"/>
  <c r="O30"/>
  <c r="O62"/>
  <c r="O65"/>
  <c r="O4"/>
  <c r="Z62" l="1"/>
  <c r="BF37" i="1" s="1"/>
  <c r="Z59" i="10"/>
  <c r="BF45" i="1" s="1"/>
  <c r="Z21" i="10"/>
  <c r="BF22" i="1" s="1"/>
  <c r="Z52" i="10"/>
  <c r="BF59" i="1" s="1"/>
  <c r="Z47" i="10"/>
  <c r="BF64" i="1" s="1"/>
  <c r="Z43" i="10"/>
  <c r="BF14" i="1" s="1"/>
  <c r="Z39" i="10"/>
  <c r="BF49" i="1" s="1"/>
  <c r="Z36" i="10"/>
  <c r="BF23" i="1" s="1"/>
  <c r="Z68" i="10"/>
  <c r="BF34" i="1" s="1"/>
  <c r="Z28" i="10"/>
  <c r="BF25" i="1" s="1"/>
  <c r="Z55" i="10"/>
  <c r="BF39" i="1" s="1"/>
  <c r="Z23" i="10"/>
  <c r="BF56" i="1" s="1"/>
  <c r="Z19" i="10"/>
  <c r="BF65" i="1" s="1"/>
  <c r="Z15" i="10"/>
  <c r="BF30" i="1" s="1"/>
  <c r="Z10" i="10"/>
  <c r="BF62" i="1" s="1"/>
  <c r="Z7" i="10"/>
  <c r="BF42" i="1" s="1"/>
  <c r="Z103" i="10"/>
  <c r="AA103" s="1"/>
  <c r="Z54"/>
  <c r="BF21" i="1" s="1"/>
  <c r="Z45" i="10"/>
  <c r="BF44" i="1" s="1"/>
  <c r="Z37" i="10"/>
  <c r="BF26" i="1" s="1"/>
  <c r="Z33" i="10"/>
  <c r="BF57" i="1" s="1"/>
  <c r="Z50" i="10"/>
  <c r="BF10" i="1" s="1"/>
  <c r="Z17" i="10"/>
  <c r="BF19" i="1" s="1"/>
  <c r="Z5" i="10"/>
  <c r="BF55" i="1" s="1"/>
  <c r="Z4" i="10"/>
  <c r="BF60" i="1" s="1"/>
  <c r="Z58" i="10"/>
  <c r="BF51" i="1" s="1"/>
  <c r="Z49" i="10"/>
  <c r="BF5" i="1" s="1"/>
  <c r="Z41" i="10"/>
  <c r="BF31" i="1" s="1"/>
  <c r="Z35" i="10"/>
  <c r="BF66" i="1" s="1"/>
  <c r="Z25" i="10"/>
  <c r="BF67" i="1" s="1"/>
  <c r="Z22" i="10"/>
  <c r="BF43" i="1" s="1"/>
  <c r="Z13" i="10"/>
  <c r="BF16" i="1" s="1"/>
  <c r="Z8" i="10"/>
  <c r="BF29" i="1" s="1"/>
  <c r="Z65" i="10"/>
  <c r="BF53" i="1" s="1"/>
  <c r="Z61" i="10"/>
  <c r="BF47" i="1" s="1"/>
  <c r="Z57" i="10"/>
  <c r="BF35" i="1" s="1"/>
  <c r="Z53" i="10"/>
  <c r="BF61" i="1" s="1"/>
  <c r="Z48" i="10"/>
  <c r="BF38" i="1" s="1"/>
  <c r="Z44" i="10"/>
  <c r="BF6" i="1" s="1"/>
  <c r="Z40" i="10"/>
  <c r="BF46" i="1" s="1"/>
  <c r="Z26" i="10"/>
  <c r="BF11" i="1" s="1"/>
  <c r="Z18" i="10"/>
  <c r="BF9" i="1" s="1"/>
  <c r="Z31" i="10"/>
  <c r="BF8" i="1" s="1"/>
  <c r="Z24" i="10"/>
  <c r="BF41" i="1" s="1"/>
  <c r="Z66" i="10"/>
  <c r="BF24" i="1" s="1"/>
  <c r="Z16" i="10"/>
  <c r="BF54" i="1" s="1"/>
  <c r="Z12" i="10"/>
  <c r="BF3" i="1" s="1"/>
  <c r="Z60" i="10"/>
  <c r="BF32" i="1" s="1"/>
  <c r="Z30" i="10"/>
  <c r="BF7" i="1" s="1"/>
  <c r="Z102" i="10"/>
  <c r="AA102" s="1"/>
  <c r="Z20"/>
  <c r="BF20" i="1" s="1"/>
  <c r="Z51" i="10"/>
  <c r="BF12" i="1" s="1"/>
  <c r="Z46" i="10"/>
  <c r="BF48" i="1" s="1"/>
  <c r="Z42" i="10"/>
  <c r="BF40" i="1" s="1"/>
  <c r="Z38" i="10"/>
  <c r="BF63" i="1" s="1"/>
  <c r="Z32" i="10"/>
  <c r="BF4" i="1" s="1"/>
  <c r="Z34" i="10"/>
  <c r="BF58" i="1" s="1"/>
  <c r="Z27" i="10"/>
  <c r="BF36" i="1" s="1"/>
  <c r="Z63" i="10"/>
  <c r="BF18" i="1" s="1"/>
  <c r="Z67" i="10"/>
  <c r="BF28" i="1" s="1"/>
  <c r="Z64" i="10"/>
  <c r="BF50" i="1" s="1"/>
  <c r="Z14" i="10"/>
  <c r="BF52" i="1" s="1"/>
  <c r="Z9" i="10"/>
  <c r="BF33" i="1" s="1"/>
  <c r="Z6" i="10"/>
  <c r="BF15" i="1" s="1"/>
  <c r="Z11" i="10"/>
  <c r="BF17" i="1" s="1"/>
  <c r="AA11" i="10" l="1"/>
  <c r="BG17" i="1" s="1"/>
  <c r="AA36" i="10"/>
  <c r="BG23" i="1" s="1"/>
  <c r="AA6" i="10"/>
  <c r="BG15" i="1" s="1"/>
  <c r="AA48" i="10"/>
  <c r="BG38" i="1" s="1"/>
  <c r="AA25" i="10"/>
  <c r="BG67" i="1" s="1"/>
  <c r="AA64" i="10"/>
  <c r="BG50" i="1" s="1"/>
  <c r="AA31" i="10"/>
  <c r="BG8" i="1" s="1"/>
  <c r="AA32" i="10"/>
  <c r="BG4" i="1" s="1"/>
  <c r="AA54" i="10"/>
  <c r="BG21" i="1" s="1"/>
  <c r="AA14" i="10"/>
  <c r="BG52" i="1" s="1"/>
  <c r="AA4" i="10"/>
  <c r="BG60" i="1" s="1"/>
  <c r="AA40" i="10"/>
  <c r="BG46" i="1" s="1"/>
  <c r="AA57" i="10"/>
  <c r="BG35" i="1" s="1"/>
  <c r="AA42" i="10"/>
  <c r="BG40" i="1" s="1"/>
  <c r="AA43" i="10"/>
  <c r="BG14" i="1" s="1"/>
  <c r="AA50" i="10"/>
  <c r="BG10" i="1" s="1"/>
  <c r="AA8" i="10"/>
  <c r="BG29" i="1" s="1"/>
  <c r="AA15" i="10"/>
  <c r="BG30" i="1" s="1"/>
  <c r="AA39" i="10"/>
  <c r="BG49" i="1" s="1"/>
  <c r="AA35" i="10"/>
  <c r="BG66" i="1" s="1"/>
  <c r="AA21" i="10"/>
  <c r="BG22" i="1" s="1"/>
  <c r="AA66" i="10"/>
  <c r="BG24" i="1" s="1"/>
  <c r="AA18" i="10"/>
  <c r="BG9" i="1" s="1"/>
  <c r="AA30" i="10"/>
  <c r="BG7" i="1" s="1"/>
  <c r="AA9" i="10"/>
  <c r="BG33" i="1" s="1"/>
  <c r="AA12" i="10"/>
  <c r="BG3" i="1" s="1"/>
  <c r="AA44" i="10"/>
  <c r="BG6" i="1" s="1"/>
  <c r="AA61" i="10"/>
  <c r="BG47" i="1" s="1"/>
  <c r="AA46" i="10"/>
  <c r="BG48" i="1" s="1"/>
  <c r="AA52" i="10"/>
  <c r="BG59" i="1" s="1"/>
  <c r="AA22" i="10"/>
  <c r="BG43" i="1" s="1"/>
  <c r="AA5" i="10"/>
  <c r="BG55" i="1" s="1"/>
  <c r="AA19" i="10"/>
  <c r="BG65" i="1" s="1"/>
  <c r="AA47" i="10"/>
  <c r="BG64" i="1" s="1"/>
  <c r="AA37" i="10"/>
  <c r="BG26" i="1" s="1"/>
  <c r="AA67" i="10"/>
  <c r="BG28" i="1" s="1"/>
  <c r="AA68" i="10"/>
  <c r="BG34" i="1" s="1"/>
  <c r="AA34" i="10"/>
  <c r="BG58" i="1" s="1"/>
  <c r="AA16" i="10"/>
  <c r="BG54" i="1" s="1"/>
  <c r="AA65" i="10"/>
  <c r="BG53" i="1" s="1"/>
  <c r="AA51" i="10"/>
  <c r="BG12" i="1" s="1"/>
  <c r="AA59" i="10"/>
  <c r="BG45" i="1" s="1"/>
  <c r="AA17" i="10"/>
  <c r="BG19" i="1" s="1"/>
  <c r="AA7" i="10"/>
  <c r="BG42" i="1" s="1"/>
  <c r="AA23" i="10"/>
  <c r="BG56" i="1" s="1"/>
  <c r="AA62" i="10"/>
  <c r="BG37" i="1" s="1"/>
  <c r="AA41" i="10"/>
  <c r="BG31" i="1" s="1"/>
  <c r="AA49" i="10"/>
  <c r="BG5" i="1" s="1"/>
  <c r="AA60" i="10"/>
  <c r="BG32" i="1" s="1"/>
  <c r="AA63" i="10"/>
  <c r="BG18" i="1" s="1"/>
  <c r="AA26" i="10"/>
  <c r="BG11" i="1" s="1"/>
  <c r="AA27" i="10"/>
  <c r="BG36" i="1" s="1"/>
  <c r="AA28" i="10"/>
  <c r="BG25" i="1" s="1"/>
  <c r="AA24" i="10"/>
  <c r="BG41" i="1" s="1"/>
  <c r="AA53" i="10"/>
  <c r="BG61" i="1" s="1"/>
  <c r="AA38" i="10"/>
  <c r="BG63" i="1" s="1"/>
  <c r="AA20" i="10"/>
  <c r="BG20" i="1" s="1"/>
  <c r="AA58" i="10"/>
  <c r="BG51" i="1" s="1"/>
  <c r="AA13" i="10"/>
  <c r="BG16" i="1" s="1"/>
  <c r="AA10" i="10"/>
  <c r="BG62" i="1" s="1"/>
  <c r="AA55" i="10"/>
  <c r="BG39" i="1" s="1"/>
  <c r="AA33" i="10"/>
  <c r="BG57" i="1" s="1"/>
  <c r="AA45" i="10"/>
  <c r="BG44" i="1" s="1"/>
  <c r="S103" i="6"/>
  <c r="S102"/>
  <c r="AU70" i="13" l="1"/>
  <c r="O51" i="18" s="1"/>
  <c r="AT70" i="13"/>
  <c r="AS70"/>
  <c r="AR70"/>
  <c r="AQ70"/>
  <c r="AP70"/>
  <c r="AO70"/>
  <c r="AN70"/>
  <c r="AM70"/>
  <c r="AL70"/>
  <c r="AK70"/>
  <c r="AJ70"/>
  <c r="AI70"/>
  <c r="C51" i="18" s="1"/>
  <c r="AU68" i="13"/>
  <c r="AT68"/>
  <c r="AS68"/>
  <c r="AR68"/>
  <c r="AQ68"/>
  <c r="AP68"/>
  <c r="AO68"/>
  <c r="AN68"/>
  <c r="AM68"/>
  <c r="G49" i="18" s="1"/>
  <c r="AL68" i="13"/>
  <c r="F49" i="18" s="1"/>
  <c r="AK68" i="13"/>
  <c r="AJ68"/>
  <c r="AI68"/>
  <c r="C49" i="18" s="1"/>
  <c r="AU66" i="13"/>
  <c r="O48" i="18" s="1"/>
  <c r="AT66" i="13"/>
  <c r="N48" i="18" s="1"/>
  <c r="AS66" i="13"/>
  <c r="AR66"/>
  <c r="AQ66"/>
  <c r="AP66"/>
  <c r="AO66"/>
  <c r="AN66"/>
  <c r="AM66"/>
  <c r="AL66"/>
  <c r="AK66"/>
  <c r="AJ66"/>
  <c r="AI66"/>
  <c r="C48" i="18" s="1"/>
  <c r="AU65" i="13"/>
  <c r="AT65"/>
  <c r="AS65"/>
  <c r="AR65"/>
  <c r="L47" i="18" s="1"/>
  <c r="AQ65" i="13"/>
  <c r="AP65"/>
  <c r="AO65"/>
  <c r="AN65"/>
  <c r="AM65"/>
  <c r="AL65"/>
  <c r="AK65"/>
  <c r="AJ65"/>
  <c r="D47" i="18" s="1"/>
  <c r="AI65" i="13"/>
  <c r="C47" i="18" s="1"/>
  <c r="AU64" i="13"/>
  <c r="AT64"/>
  <c r="AS64"/>
  <c r="AR64"/>
  <c r="L46" i="18" s="1"/>
  <c r="AQ64" i="13"/>
  <c r="K46" i="18" s="1"/>
  <c r="AP64" i="13"/>
  <c r="AO64"/>
  <c r="AN64"/>
  <c r="AM64"/>
  <c r="AL64"/>
  <c r="AK64"/>
  <c r="AJ64"/>
  <c r="D46" i="18" s="1"/>
  <c r="AI64" i="13"/>
  <c r="C46" i="18" s="1"/>
  <c r="AU63" i="13"/>
  <c r="O45" i="18" s="1"/>
  <c r="AT63" i="13"/>
  <c r="AS63"/>
  <c r="AR63"/>
  <c r="AQ63"/>
  <c r="AP63"/>
  <c r="AO63"/>
  <c r="AN63"/>
  <c r="AM63"/>
  <c r="AL63"/>
  <c r="AK63"/>
  <c r="AJ63"/>
  <c r="D45" i="18" s="1"/>
  <c r="AI63" i="13"/>
  <c r="C45" i="18" s="1"/>
  <c r="AU62" i="13"/>
  <c r="O44" i="18" s="1"/>
  <c r="AT62" i="13"/>
  <c r="AS62"/>
  <c r="AR62"/>
  <c r="AQ62"/>
  <c r="AP62"/>
  <c r="AO62"/>
  <c r="AN62"/>
  <c r="AM62"/>
  <c r="AL62"/>
  <c r="AK62"/>
  <c r="AJ62"/>
  <c r="AI62"/>
  <c r="C44" i="18" s="1"/>
  <c r="AU60" i="13"/>
  <c r="O43" i="18" s="1"/>
  <c r="AT60" i="13"/>
  <c r="AS60"/>
  <c r="AR60"/>
  <c r="AQ60"/>
  <c r="AP60"/>
  <c r="AO60"/>
  <c r="AN60"/>
  <c r="AM60"/>
  <c r="AL60"/>
  <c r="AK60"/>
  <c r="AJ60"/>
  <c r="AI60"/>
  <c r="C43" i="18" s="1"/>
  <c r="AU59" i="13"/>
  <c r="O42" i="16" s="1"/>
  <c r="AT59" i="13"/>
  <c r="AS59"/>
  <c r="AR59"/>
  <c r="AQ59"/>
  <c r="AP59"/>
  <c r="AO59"/>
  <c r="AN59"/>
  <c r="AM59"/>
  <c r="AL59"/>
  <c r="AK59"/>
  <c r="AJ59"/>
  <c r="D42" i="18" s="1"/>
  <c r="AI59" i="13"/>
  <c r="C42" i="18" s="1"/>
  <c r="AU58" i="13"/>
  <c r="O41" i="18" s="1"/>
  <c r="AT58" i="13"/>
  <c r="AS58"/>
  <c r="AR58"/>
  <c r="AQ58"/>
  <c r="AP58"/>
  <c r="AO58"/>
  <c r="AN58"/>
  <c r="AM58"/>
  <c r="AL58"/>
  <c r="AK58"/>
  <c r="AJ58"/>
  <c r="AI58"/>
  <c r="C41" i="18" s="1"/>
  <c r="AU57" i="13"/>
  <c r="AT57"/>
  <c r="AS57"/>
  <c r="AR57"/>
  <c r="L40" i="18" s="1"/>
  <c r="AQ57" i="13"/>
  <c r="K40" i="18" s="1"/>
  <c r="AP57" i="13"/>
  <c r="AO57"/>
  <c r="AN57"/>
  <c r="AM57"/>
  <c r="AL57"/>
  <c r="AK57"/>
  <c r="AJ57"/>
  <c r="D40" i="18" s="1"/>
  <c r="AI57" i="13"/>
  <c r="C40" i="18" s="1"/>
  <c r="AU56" i="13"/>
  <c r="O39" i="18" s="1"/>
  <c r="AT56" i="13"/>
  <c r="AS56"/>
  <c r="AR56"/>
  <c r="AQ56"/>
  <c r="AP56"/>
  <c r="AO56"/>
  <c r="AN56"/>
  <c r="AM56"/>
  <c r="AL56"/>
  <c r="AK56"/>
  <c r="AJ56"/>
  <c r="D39" i="18" s="1"/>
  <c r="AI56" i="13"/>
  <c r="C39" i="18" s="1"/>
  <c r="AU54" i="13"/>
  <c r="O38" i="16" s="1"/>
  <c r="AT54" i="13"/>
  <c r="N38" i="16" s="1"/>
  <c r="AS54" i="13"/>
  <c r="M38" i="16" s="1"/>
  <c r="AR54" i="13"/>
  <c r="L38" i="18" s="1"/>
  <c r="AQ54" i="13"/>
  <c r="K38" i="18" s="1"/>
  <c r="AP54" i="13"/>
  <c r="J38" i="18" s="1"/>
  <c r="AO54" i="13"/>
  <c r="I38" i="18" s="1"/>
  <c r="AN54" i="13"/>
  <c r="H38" i="18" s="1"/>
  <c r="AM54" i="13"/>
  <c r="G38" i="18" s="1"/>
  <c r="AL54" i="13"/>
  <c r="AK54"/>
  <c r="AJ54"/>
  <c r="AI54"/>
  <c r="C38" i="18" s="1"/>
  <c r="AU53" i="13"/>
  <c r="O65" i="18" s="1"/>
  <c r="AT53" i="13"/>
  <c r="AS53"/>
  <c r="AR53"/>
  <c r="AQ53"/>
  <c r="AP53"/>
  <c r="AO53"/>
  <c r="AN53"/>
  <c r="AM53"/>
  <c r="AL53"/>
  <c r="AK53"/>
  <c r="AJ53"/>
  <c r="D65" i="18" s="1"/>
  <c r="AI53" i="13"/>
  <c r="C65" i="18" s="1"/>
  <c r="AU51" i="13"/>
  <c r="O37" i="18" s="1"/>
  <c r="AT51" i="13"/>
  <c r="AS51"/>
  <c r="AR51"/>
  <c r="AQ51"/>
  <c r="AP51"/>
  <c r="AO51"/>
  <c r="AN51"/>
  <c r="AM51"/>
  <c r="AL51"/>
  <c r="AK51"/>
  <c r="AJ51"/>
  <c r="D37" i="18" s="1"/>
  <c r="AI51" i="13"/>
  <c r="C37" i="18" s="1"/>
  <c r="AU105" i="13"/>
  <c r="AT105"/>
  <c r="AS105"/>
  <c r="AR105"/>
  <c r="AQ105"/>
  <c r="AP105"/>
  <c r="AO105"/>
  <c r="AN105"/>
  <c r="AM105"/>
  <c r="AL105"/>
  <c r="AK105"/>
  <c r="AJ105"/>
  <c r="AI105"/>
  <c r="AU50"/>
  <c r="O36" i="18" s="1"/>
  <c r="AT50" i="13"/>
  <c r="AS50"/>
  <c r="AR50"/>
  <c r="AQ50"/>
  <c r="AP50"/>
  <c r="AO50"/>
  <c r="AN50"/>
  <c r="AM50"/>
  <c r="AL50"/>
  <c r="AK50"/>
  <c r="AJ50"/>
  <c r="D36" i="18" s="1"/>
  <c r="AI50" i="13"/>
  <c r="C36" i="18" s="1"/>
  <c r="AU104" i="13"/>
  <c r="AT104"/>
  <c r="AS104"/>
  <c r="AR104"/>
  <c r="AQ104"/>
  <c r="AP104"/>
  <c r="AO104"/>
  <c r="AN104"/>
  <c r="AM104"/>
  <c r="AL104"/>
  <c r="AK104"/>
  <c r="AJ104"/>
  <c r="AI104"/>
  <c r="AU48"/>
  <c r="O62" i="18" s="1"/>
  <c r="AT48" i="13"/>
  <c r="AS48"/>
  <c r="AR48"/>
  <c r="AQ48"/>
  <c r="AP48"/>
  <c r="AO48"/>
  <c r="AN48"/>
  <c r="AM48"/>
  <c r="AL48"/>
  <c r="AK48"/>
  <c r="AJ48"/>
  <c r="AI48"/>
  <c r="C62" i="18" s="1"/>
  <c r="AU47" i="13"/>
  <c r="O35" i="18" s="1"/>
  <c r="AT47" i="13"/>
  <c r="AS47"/>
  <c r="AR47"/>
  <c r="AQ47"/>
  <c r="AP47"/>
  <c r="AO47"/>
  <c r="AN47"/>
  <c r="AM47"/>
  <c r="AL47"/>
  <c r="AK47"/>
  <c r="AJ47"/>
  <c r="D35" i="18" s="1"/>
  <c r="AI47" i="13"/>
  <c r="C35" i="18" s="1"/>
  <c r="AU15" i="13"/>
  <c r="AT15"/>
  <c r="AS15"/>
  <c r="AR15"/>
  <c r="AQ15"/>
  <c r="AP15"/>
  <c r="AO15"/>
  <c r="AN15"/>
  <c r="AM15"/>
  <c r="AL15"/>
  <c r="AK15"/>
  <c r="AJ15"/>
  <c r="AI15"/>
  <c r="AU44"/>
  <c r="O32" i="18" s="1"/>
  <c r="AT44" i="13"/>
  <c r="AS44"/>
  <c r="AR44"/>
  <c r="AQ44"/>
  <c r="AP44"/>
  <c r="AO44"/>
  <c r="AN44"/>
  <c r="AM44"/>
  <c r="AL44"/>
  <c r="AK44"/>
  <c r="AJ44"/>
  <c r="AI44"/>
  <c r="C32" i="18" s="1"/>
  <c r="AU46" i="13"/>
  <c r="O34" i="18" s="1"/>
  <c r="AT46" i="13"/>
  <c r="AS46"/>
  <c r="AR46"/>
  <c r="AQ46"/>
  <c r="AP46"/>
  <c r="AO46"/>
  <c r="AN46"/>
  <c r="AM46"/>
  <c r="AL46"/>
  <c r="AK46"/>
  <c r="AJ46"/>
  <c r="D34" i="18" s="1"/>
  <c r="AI46" i="13"/>
  <c r="C34" i="18" s="1"/>
  <c r="AU45" i="13"/>
  <c r="O33" i="18" s="1"/>
  <c r="AT45" i="13"/>
  <c r="AS45"/>
  <c r="AR45"/>
  <c r="AQ45"/>
  <c r="AP45"/>
  <c r="AO45"/>
  <c r="AN45"/>
  <c r="AM45"/>
  <c r="AL45"/>
  <c r="AK45"/>
  <c r="AJ45"/>
  <c r="D33" i="18" s="1"/>
  <c r="AI45" i="13"/>
  <c r="C33" i="18" s="1"/>
  <c r="AU36" i="13"/>
  <c r="O26" i="18" s="1"/>
  <c r="AT36" i="13"/>
  <c r="N26" i="18" s="1"/>
  <c r="AS36" i="13"/>
  <c r="M26" i="18" s="1"/>
  <c r="AR36" i="13"/>
  <c r="L26" i="18" s="1"/>
  <c r="AQ36" i="13"/>
  <c r="K26" i="18" s="1"/>
  <c r="AP36" i="13"/>
  <c r="J26" i="18" s="1"/>
  <c r="AO36" i="13"/>
  <c r="AN36"/>
  <c r="AM36"/>
  <c r="AL36"/>
  <c r="AK36"/>
  <c r="AJ36"/>
  <c r="AI36"/>
  <c r="C26" i="18" s="1"/>
  <c r="AU42" i="13"/>
  <c r="O30" i="18" s="1"/>
  <c r="AT42" i="13"/>
  <c r="N30" i="18" s="1"/>
  <c r="AS42" i="13"/>
  <c r="M30" i="18" s="1"/>
  <c r="AR42" i="13"/>
  <c r="L30" i="18" s="1"/>
  <c r="AQ42" i="13"/>
  <c r="K30" i="18" s="1"/>
  <c r="AP42" i="13"/>
  <c r="J30" i="18" s="1"/>
  <c r="AO42" i="13"/>
  <c r="AN42"/>
  <c r="AM42"/>
  <c r="AL42"/>
  <c r="AK42"/>
  <c r="AJ42"/>
  <c r="D30" i="18" s="1"/>
  <c r="AI42" i="13"/>
  <c r="C30" i="18" s="1"/>
  <c r="AU67" i="13"/>
  <c r="O68" i="18" s="1"/>
  <c r="AT67" i="13"/>
  <c r="AS67"/>
  <c r="AR67"/>
  <c r="AQ67"/>
  <c r="AP67"/>
  <c r="AO67"/>
  <c r="AN67"/>
  <c r="AM67"/>
  <c r="AL67"/>
  <c r="AK67"/>
  <c r="AJ67"/>
  <c r="D68" i="18" s="1"/>
  <c r="AI67" i="13"/>
  <c r="C68" i="18" s="1"/>
  <c r="AU41" i="13"/>
  <c r="AT41"/>
  <c r="M61" i="19" s="1"/>
  <c r="X61" s="1"/>
  <c r="R61" i="6" s="1"/>
  <c r="AS41" i="13"/>
  <c r="L61" i="19" s="1"/>
  <c r="W61" s="1"/>
  <c r="Q61" i="6" s="1"/>
  <c r="AR41" i="13"/>
  <c r="AQ41"/>
  <c r="AP41"/>
  <c r="AO41"/>
  <c r="AN41"/>
  <c r="AM41"/>
  <c r="AL41"/>
  <c r="AK41"/>
  <c r="AJ41"/>
  <c r="D61" i="18" s="1"/>
  <c r="AI41" i="13"/>
  <c r="C61" i="18" s="1"/>
  <c r="AU39" i="13"/>
  <c r="O28" i="18" s="1"/>
  <c r="AT39" i="13"/>
  <c r="N28" i="18" s="1"/>
  <c r="AS39" i="13"/>
  <c r="AR39"/>
  <c r="AQ39"/>
  <c r="AP39"/>
  <c r="AO39"/>
  <c r="AN39"/>
  <c r="AM39"/>
  <c r="AL39"/>
  <c r="AK39"/>
  <c r="AJ39"/>
  <c r="D28" i="18" s="1"/>
  <c r="AI39" i="13"/>
  <c r="C28" i="18" s="1"/>
  <c r="AU38" i="13"/>
  <c r="O27" i="18" s="1"/>
  <c r="AT38" i="13"/>
  <c r="AS38"/>
  <c r="AR38"/>
  <c r="AQ38"/>
  <c r="AP38"/>
  <c r="AO38"/>
  <c r="AN38"/>
  <c r="AM38"/>
  <c r="AL38"/>
  <c r="AK38"/>
  <c r="AJ38"/>
  <c r="D27" i="18" s="1"/>
  <c r="AI38" i="13"/>
  <c r="C27" i="18" s="1"/>
  <c r="AU35" i="13"/>
  <c r="O25" i="16" s="1"/>
  <c r="AT35" i="13"/>
  <c r="N25" i="16" s="1"/>
  <c r="AS35" i="13"/>
  <c r="AR35"/>
  <c r="AQ35"/>
  <c r="AP35"/>
  <c r="AO35"/>
  <c r="AN35"/>
  <c r="AM35"/>
  <c r="G25" i="18" s="1"/>
  <c r="AL35" i="13"/>
  <c r="F25" i="18" s="1"/>
  <c r="AK35" i="13"/>
  <c r="AJ35"/>
  <c r="AI35"/>
  <c r="C25" i="18" s="1"/>
  <c r="AU34" i="13"/>
  <c r="AT34"/>
  <c r="AS34"/>
  <c r="M59" i="18" s="1"/>
  <c r="AR34" i="13"/>
  <c r="AQ34"/>
  <c r="AP34"/>
  <c r="AO34"/>
  <c r="AN34"/>
  <c r="AM34"/>
  <c r="AL34"/>
  <c r="AK34"/>
  <c r="AJ34"/>
  <c r="D59" i="18" s="1"/>
  <c r="AI34" i="13"/>
  <c r="C59" i="18" s="1"/>
  <c r="AU24" i="13"/>
  <c r="O18" i="18" s="1"/>
  <c r="AT24" i="13"/>
  <c r="N18" i="18" s="1"/>
  <c r="AS24" i="13"/>
  <c r="M18" i="18" s="1"/>
  <c r="AR24" i="13"/>
  <c r="L18" i="18" s="1"/>
  <c r="AQ24" i="13"/>
  <c r="AP24"/>
  <c r="AO24"/>
  <c r="AN24"/>
  <c r="AM24"/>
  <c r="AL24"/>
  <c r="AK24"/>
  <c r="AJ24"/>
  <c r="D18" i="18" s="1"/>
  <c r="AI24" i="13"/>
  <c r="C18" i="18" s="1"/>
  <c r="AU43" i="13"/>
  <c r="AT43"/>
  <c r="N31" i="18" s="1"/>
  <c r="AS43" i="13"/>
  <c r="M31" i="18" s="1"/>
  <c r="AR43" i="13"/>
  <c r="AQ43"/>
  <c r="AP43"/>
  <c r="AO43"/>
  <c r="AN43"/>
  <c r="AM43"/>
  <c r="AL43"/>
  <c r="AK43"/>
  <c r="AJ43"/>
  <c r="D31" i="18" s="1"/>
  <c r="AI43" i="13"/>
  <c r="C31" i="18" s="1"/>
  <c r="AU17" i="13"/>
  <c r="O55" i="18" s="1"/>
  <c r="AT17" i="13"/>
  <c r="N55" i="18" s="1"/>
  <c r="AS17" i="13"/>
  <c r="M55" i="18" s="1"/>
  <c r="AR17" i="13"/>
  <c r="L55" i="18" s="1"/>
  <c r="AQ17" i="13"/>
  <c r="K55" i="18" s="1"/>
  <c r="AP17" i="13"/>
  <c r="J55" i="18" s="1"/>
  <c r="AO17" i="13"/>
  <c r="I55" i="18" s="1"/>
  <c r="AN17" i="13"/>
  <c r="H55" i="18" s="1"/>
  <c r="AM17" i="13"/>
  <c r="AL17"/>
  <c r="AK17"/>
  <c r="AJ17"/>
  <c r="D55" i="18" s="1"/>
  <c r="AI17" i="13"/>
  <c r="C55" i="18" s="1"/>
  <c r="AU49" i="13"/>
  <c r="O63" i="18" s="1"/>
  <c r="AT49" i="13"/>
  <c r="AS49"/>
  <c r="AR49"/>
  <c r="AQ49"/>
  <c r="AP49"/>
  <c r="AO49"/>
  <c r="AN49"/>
  <c r="AM49"/>
  <c r="AL49"/>
  <c r="AK49"/>
  <c r="AJ49"/>
  <c r="D63" i="18" s="1"/>
  <c r="AI49" i="13"/>
  <c r="C63" i="18" s="1"/>
  <c r="AU69" i="13"/>
  <c r="O50" i="16" s="1"/>
  <c r="AT69" i="13"/>
  <c r="N50" i="16" s="1"/>
  <c r="AS69" i="13"/>
  <c r="AR69"/>
  <c r="AQ69"/>
  <c r="K50" i="18" s="1"/>
  <c r="AP69" i="13"/>
  <c r="J50" i="18" s="1"/>
  <c r="AO69" i="13"/>
  <c r="AN69"/>
  <c r="AM69"/>
  <c r="AL69"/>
  <c r="AK69"/>
  <c r="AJ69"/>
  <c r="AI69"/>
  <c r="C50" i="18" s="1"/>
  <c r="AU33" i="13"/>
  <c r="O58" i="16" s="1"/>
  <c r="AT33" i="13"/>
  <c r="AS33"/>
  <c r="M58" i="18" s="1"/>
  <c r="AR33" i="13"/>
  <c r="AQ33"/>
  <c r="AP33"/>
  <c r="AO33"/>
  <c r="AN33"/>
  <c r="AM33"/>
  <c r="AL33"/>
  <c r="AK33"/>
  <c r="AJ33"/>
  <c r="AI33"/>
  <c r="C58" i="18" s="1"/>
  <c r="AU32" i="13"/>
  <c r="O24" i="16" s="1"/>
  <c r="AT32" i="13"/>
  <c r="AS32"/>
  <c r="M24" i="18" s="1"/>
  <c r="AR32" i="13"/>
  <c r="L24" i="18" s="1"/>
  <c r="AQ32" i="13"/>
  <c r="AP32"/>
  <c r="AO32"/>
  <c r="AN32"/>
  <c r="AM32"/>
  <c r="AL32"/>
  <c r="AK32"/>
  <c r="AJ32"/>
  <c r="AI32"/>
  <c r="C24" i="18" s="1"/>
  <c r="AU31" i="13"/>
  <c r="AT31"/>
  <c r="N23" i="18" s="1"/>
  <c r="AS31" i="13"/>
  <c r="M23" i="18" s="1"/>
  <c r="AR31" i="13"/>
  <c r="AQ31"/>
  <c r="AP31"/>
  <c r="AO31"/>
  <c r="AN31"/>
  <c r="AM31"/>
  <c r="AL31"/>
  <c r="AK31"/>
  <c r="AJ31"/>
  <c r="D23" i="18" s="1"/>
  <c r="AI31" i="13"/>
  <c r="C23" i="18" s="1"/>
  <c r="AU30" i="13"/>
  <c r="O57" i="18" s="1"/>
  <c r="AT30" i="13"/>
  <c r="AS30"/>
  <c r="AR30"/>
  <c r="AQ30"/>
  <c r="AP30"/>
  <c r="AO30"/>
  <c r="AN30"/>
  <c r="AM30"/>
  <c r="AL30"/>
  <c r="AK30"/>
  <c r="AJ30"/>
  <c r="AI30"/>
  <c r="C57" i="18" s="1"/>
  <c r="AU61" i="13"/>
  <c r="O67" i="18" s="1"/>
  <c r="AT61" i="13"/>
  <c r="AS61"/>
  <c r="AR61"/>
  <c r="AQ61"/>
  <c r="AP61"/>
  <c r="AO61"/>
  <c r="AN61"/>
  <c r="AM61"/>
  <c r="AL61"/>
  <c r="AK61"/>
  <c r="AJ61"/>
  <c r="D67" i="18" s="1"/>
  <c r="AI61" i="13"/>
  <c r="C67" i="18" s="1"/>
  <c r="AU28" i="13"/>
  <c r="AT28"/>
  <c r="AS28"/>
  <c r="AR28"/>
  <c r="AQ28"/>
  <c r="AP28"/>
  <c r="AO28"/>
  <c r="AN28"/>
  <c r="AM28"/>
  <c r="AL28"/>
  <c r="AK28"/>
  <c r="AJ28"/>
  <c r="D22" i="18" s="1"/>
  <c r="AI28" i="13"/>
  <c r="C22" i="18" s="1"/>
  <c r="AU27" i="13"/>
  <c r="O21" i="18" s="1"/>
  <c r="AT27" i="13"/>
  <c r="AS27"/>
  <c r="AR27"/>
  <c r="AQ27"/>
  <c r="AP27"/>
  <c r="AO27"/>
  <c r="AN27"/>
  <c r="AM27"/>
  <c r="AL27"/>
  <c r="AK27"/>
  <c r="AJ27"/>
  <c r="D21" i="18" s="1"/>
  <c r="AI27" i="13"/>
  <c r="C21" i="18" s="1"/>
  <c r="AU26" i="13"/>
  <c r="O20" i="18" s="1"/>
  <c r="AT26" i="13"/>
  <c r="AS26"/>
  <c r="AR26"/>
  <c r="AQ26"/>
  <c r="AP26"/>
  <c r="AO26"/>
  <c r="AN26"/>
  <c r="AM26"/>
  <c r="AL26"/>
  <c r="AK26"/>
  <c r="AJ26"/>
  <c r="D20" i="18" s="1"/>
  <c r="AI26" i="13"/>
  <c r="C20" i="18" s="1"/>
  <c r="AU55" i="13"/>
  <c r="AT55"/>
  <c r="AS55"/>
  <c r="AR55"/>
  <c r="L66" i="18" s="1"/>
  <c r="AQ55" i="13"/>
  <c r="K66" i="18" s="1"/>
  <c r="AP55" i="13"/>
  <c r="AO55"/>
  <c r="AN55"/>
  <c r="AM55"/>
  <c r="AL55"/>
  <c r="AK55"/>
  <c r="AJ55"/>
  <c r="D66" i="18" s="1"/>
  <c r="AI55" i="13"/>
  <c r="C66" i="18" s="1"/>
  <c r="AU25" i="13"/>
  <c r="O19" i="18" s="1"/>
  <c r="AT25" i="13"/>
  <c r="AS25"/>
  <c r="AR25"/>
  <c r="AQ25"/>
  <c r="AP25"/>
  <c r="AO25"/>
  <c r="AN25"/>
  <c r="AM25"/>
  <c r="AL25"/>
  <c r="AK25"/>
  <c r="AJ25"/>
  <c r="D19" i="18" s="1"/>
  <c r="AI25" i="13"/>
  <c r="C19" i="18" s="1"/>
  <c r="AU52" i="13"/>
  <c r="O64" i="18" s="1"/>
  <c r="AT52" i="13"/>
  <c r="AS52"/>
  <c r="AR52"/>
  <c r="AQ52"/>
  <c r="AP52"/>
  <c r="AO52"/>
  <c r="AN52"/>
  <c r="AM52"/>
  <c r="AL52"/>
  <c r="AK52"/>
  <c r="AJ52"/>
  <c r="D64" i="18" s="1"/>
  <c r="AI52" i="13"/>
  <c r="C64" i="18" s="1"/>
  <c r="AU23" i="13"/>
  <c r="AT23"/>
  <c r="AS23"/>
  <c r="AR23"/>
  <c r="AQ23"/>
  <c r="AP23"/>
  <c r="AO23"/>
  <c r="AN23"/>
  <c r="AM23"/>
  <c r="AL23"/>
  <c r="AK23"/>
  <c r="AJ23"/>
  <c r="D17" i="18" s="1"/>
  <c r="AI23" i="13"/>
  <c r="C17" i="18" s="1"/>
  <c r="AU22" i="13"/>
  <c r="O16" i="18" s="1"/>
  <c r="AT22" i="13"/>
  <c r="AS22"/>
  <c r="AR22"/>
  <c r="AQ22"/>
  <c r="AP22"/>
  <c r="AO22"/>
  <c r="AN22"/>
  <c r="AM22"/>
  <c r="AL22"/>
  <c r="AK22"/>
  <c r="AJ22"/>
  <c r="D16" i="18" s="1"/>
  <c r="AI22" i="13"/>
  <c r="C16" i="18" s="1"/>
  <c r="AU21" i="13"/>
  <c r="O15" i="18" s="1"/>
  <c r="AT21" i="13"/>
  <c r="AS21"/>
  <c r="AR21"/>
  <c r="AQ21"/>
  <c r="AP21"/>
  <c r="AO21"/>
  <c r="AN21"/>
  <c r="AM21"/>
  <c r="AL21"/>
  <c r="AK21"/>
  <c r="AJ21"/>
  <c r="D15" i="18" s="1"/>
  <c r="AI21" i="13"/>
  <c r="C15" i="18" s="1"/>
  <c r="AU20" i="13"/>
  <c r="O14" i="18" s="1"/>
  <c r="AT20" i="13"/>
  <c r="AS20"/>
  <c r="AR20"/>
  <c r="AQ20"/>
  <c r="AP20"/>
  <c r="AO20"/>
  <c r="AN20"/>
  <c r="AM20"/>
  <c r="AL20"/>
  <c r="AK20"/>
  <c r="AJ20"/>
  <c r="D14" i="18" s="1"/>
  <c r="AI20" i="13"/>
  <c r="C14" i="18" s="1"/>
  <c r="AU19" i="13"/>
  <c r="O13" i="18" s="1"/>
  <c r="AT19" i="13"/>
  <c r="AS19"/>
  <c r="AR19"/>
  <c r="AQ19"/>
  <c r="AP19"/>
  <c r="AO19"/>
  <c r="AN19"/>
  <c r="AM19"/>
  <c r="AL19"/>
  <c r="AK19"/>
  <c r="AJ19"/>
  <c r="AI19"/>
  <c r="C13" i="18" s="1"/>
  <c r="AU18" i="13"/>
  <c r="O12" i="18" s="1"/>
  <c r="AT18" i="13"/>
  <c r="AS18"/>
  <c r="AR18"/>
  <c r="AQ18"/>
  <c r="AP18"/>
  <c r="AO18"/>
  <c r="AN18"/>
  <c r="AM18"/>
  <c r="AL18"/>
  <c r="AK18"/>
  <c r="AJ18"/>
  <c r="D12" i="18" s="1"/>
  <c r="AI18" i="13"/>
  <c r="C12" i="18" s="1"/>
  <c r="AU16" i="13"/>
  <c r="O54" i="18" s="1"/>
  <c r="AT16" i="13"/>
  <c r="AS16"/>
  <c r="AR16"/>
  <c r="AQ16"/>
  <c r="AP16"/>
  <c r="AO16"/>
  <c r="AN16"/>
  <c r="AM16"/>
  <c r="AL16"/>
  <c r="AK16"/>
  <c r="AJ16"/>
  <c r="D54" i="18" s="1"/>
  <c r="AI16" i="13"/>
  <c r="C54" i="18" s="1"/>
  <c r="AU14" i="13"/>
  <c r="O10" i="18" s="1"/>
  <c r="AT14" i="13"/>
  <c r="AS14"/>
  <c r="AR14"/>
  <c r="AQ14"/>
  <c r="AP14"/>
  <c r="AO14"/>
  <c r="AN14"/>
  <c r="AM14"/>
  <c r="AL14"/>
  <c r="AK14"/>
  <c r="AJ14"/>
  <c r="D10" i="18" s="1"/>
  <c r="AI14" i="13"/>
  <c r="C10" i="18" s="1"/>
  <c r="AU13" i="13"/>
  <c r="O9" i="18" s="1"/>
  <c r="AT13" i="13"/>
  <c r="AS13"/>
  <c r="AR13"/>
  <c r="AQ13"/>
  <c r="AP13"/>
  <c r="AO13"/>
  <c r="AN13"/>
  <c r="AM13"/>
  <c r="AL13"/>
  <c r="AK13"/>
  <c r="AJ13"/>
  <c r="D9" i="18" s="1"/>
  <c r="AI13" i="13"/>
  <c r="C9" i="18" s="1"/>
  <c r="AU12" i="13"/>
  <c r="O8" i="18" s="1"/>
  <c r="AT12" i="13"/>
  <c r="AS12"/>
  <c r="AR12"/>
  <c r="AQ12"/>
  <c r="AP12"/>
  <c r="AO12"/>
  <c r="AN12"/>
  <c r="AM12"/>
  <c r="AL12"/>
  <c r="AK12"/>
  <c r="AJ12"/>
  <c r="D8" i="18" s="1"/>
  <c r="AI12" i="13"/>
  <c r="AU37"/>
  <c r="O60" i="18" s="1"/>
  <c r="AT37" i="13"/>
  <c r="AS37"/>
  <c r="AR37"/>
  <c r="AQ37"/>
  <c r="AP37"/>
  <c r="AO37"/>
  <c r="AN37"/>
  <c r="AM37"/>
  <c r="AL37"/>
  <c r="AK37"/>
  <c r="AJ37"/>
  <c r="AI37"/>
  <c r="AU11"/>
  <c r="AT11"/>
  <c r="M7" i="19" s="1"/>
  <c r="X7" s="1"/>
  <c r="R7" i="6" s="1"/>
  <c r="AS11" i="13"/>
  <c r="L7" i="19" s="1"/>
  <c r="W7" s="1"/>
  <c r="Q7" i="6" s="1"/>
  <c r="AR11" i="13"/>
  <c r="K7" i="19" s="1"/>
  <c r="V7" s="1"/>
  <c r="P7" i="6" s="1"/>
  <c r="AQ11" i="13"/>
  <c r="AP11"/>
  <c r="AO11"/>
  <c r="AN11"/>
  <c r="AM11"/>
  <c r="AL11"/>
  <c r="AK11"/>
  <c r="AJ11"/>
  <c r="D7" i="18" s="1"/>
  <c r="AI11" i="13"/>
  <c r="AU10"/>
  <c r="AT10"/>
  <c r="M6" i="19" s="1"/>
  <c r="X6" s="1"/>
  <c r="R6" i="6" s="1"/>
  <c r="AS10" i="13"/>
  <c r="L6" i="19" s="1"/>
  <c r="W6" s="1"/>
  <c r="Q6" i="6" s="1"/>
  <c r="AR10" i="13"/>
  <c r="AQ10"/>
  <c r="AP10"/>
  <c r="AO10"/>
  <c r="AN10"/>
  <c r="AM10"/>
  <c r="AL10"/>
  <c r="AK10"/>
  <c r="AJ10"/>
  <c r="D6" i="18" s="1"/>
  <c r="AI10" i="13"/>
  <c r="AU9"/>
  <c r="O5" i="18" s="1"/>
  <c r="AT9" i="13"/>
  <c r="AS9"/>
  <c r="AR9"/>
  <c r="AQ9"/>
  <c r="AP9"/>
  <c r="AO9"/>
  <c r="AN9"/>
  <c r="AM9"/>
  <c r="AL9"/>
  <c r="AK9"/>
  <c r="AJ9"/>
  <c r="D5" i="18" s="1"/>
  <c r="AI9" i="13"/>
  <c r="AU8"/>
  <c r="O4" i="18" s="1"/>
  <c r="AT8" i="13"/>
  <c r="AS8"/>
  <c r="AR8"/>
  <c r="AQ8"/>
  <c r="AP8"/>
  <c r="AO8"/>
  <c r="AN8"/>
  <c r="AM8"/>
  <c r="AL8"/>
  <c r="AK8"/>
  <c r="AJ8"/>
  <c r="D4" i="18" s="1"/>
  <c r="AI8" i="13"/>
  <c r="AU7"/>
  <c r="O53" i="18" s="1"/>
  <c r="AT7" i="13"/>
  <c r="AS7"/>
  <c r="AR7"/>
  <c r="AQ7"/>
  <c r="AP7"/>
  <c r="AO7"/>
  <c r="AN7"/>
  <c r="AM7"/>
  <c r="AL7"/>
  <c r="AK7"/>
  <c r="AJ7"/>
  <c r="D53" i="18" s="1"/>
  <c r="AI7" i="13"/>
  <c r="C53" i="18" s="1"/>
  <c r="AU6" i="13"/>
  <c r="AT6"/>
  <c r="M52" i="19" s="1"/>
  <c r="X52" s="1"/>
  <c r="R52" i="6" s="1"/>
  <c r="AS6" i="13"/>
  <c r="AR6"/>
  <c r="AQ6"/>
  <c r="AP6"/>
  <c r="AO6"/>
  <c r="AN6"/>
  <c r="AM6"/>
  <c r="AL6"/>
  <c r="AK6"/>
  <c r="AJ6"/>
  <c r="D52" i="18" s="1"/>
  <c r="AI6" i="13"/>
  <c r="C52" i="18" s="1"/>
  <c r="O47" i="16" l="1"/>
  <c r="O47" i="2"/>
  <c r="N47" i="16"/>
  <c r="N47" i="2"/>
  <c r="L23" i="18"/>
  <c r="K23" i="19"/>
  <c r="V23" s="1"/>
  <c r="P23" i="6" s="1"/>
  <c r="I26" i="18"/>
  <c r="H26" i="19"/>
  <c r="S26" s="1"/>
  <c r="M26" i="6" s="1"/>
  <c r="M42" i="18"/>
  <c r="M42" i="2"/>
  <c r="K52" i="19"/>
  <c r="V52" s="1"/>
  <c r="P52" i="6" s="1"/>
  <c r="L52" i="18"/>
  <c r="K6" i="19"/>
  <c r="V6" s="1"/>
  <c r="P6" i="6" s="1"/>
  <c r="L6" i="18"/>
  <c r="J7" i="19"/>
  <c r="U7" s="1"/>
  <c r="O7" i="6" s="1"/>
  <c r="K7" i="18"/>
  <c r="K9" i="19"/>
  <c r="V9" s="1"/>
  <c r="P9" i="6" s="1"/>
  <c r="L9" i="2"/>
  <c r="M22" i="19"/>
  <c r="X22" s="1"/>
  <c r="R22" i="6" s="1"/>
  <c r="N22" i="18"/>
  <c r="N24" i="16"/>
  <c r="N24" i="2"/>
  <c r="I30" i="18"/>
  <c r="H30" i="19"/>
  <c r="S30" s="1"/>
  <c r="M30" i="6" s="1"/>
  <c r="J40" i="18"/>
  <c r="I40" i="19"/>
  <c r="T40" s="1"/>
  <c r="N40" i="6" s="1"/>
  <c r="K47" i="18"/>
  <c r="J47" i="19"/>
  <c r="U47" s="1"/>
  <c r="O47" i="6" s="1"/>
  <c r="E49" i="18"/>
  <c r="D49" i="19"/>
  <c r="O49" s="1"/>
  <c r="I49" i="6" s="1"/>
  <c r="K14" i="19"/>
  <c r="V14" s="1"/>
  <c r="P14" i="6" s="1"/>
  <c r="L14" i="2"/>
  <c r="J66" i="18"/>
  <c r="I66" i="19"/>
  <c r="T66" s="1"/>
  <c r="N66" i="6" s="1"/>
  <c r="K24" i="18"/>
  <c r="J24" i="19"/>
  <c r="U24" s="1"/>
  <c r="O24" i="6" s="1"/>
  <c r="N58" i="16"/>
  <c r="N58" i="18"/>
  <c r="N58" i="2"/>
  <c r="I50" i="18"/>
  <c r="H50" i="19"/>
  <c r="S50" s="1"/>
  <c r="M50" i="6" s="1"/>
  <c r="M50" i="16"/>
  <c r="M50" i="2"/>
  <c r="G55" i="18"/>
  <c r="F55" i="19"/>
  <c r="Q55" s="1"/>
  <c r="K55" i="6" s="1"/>
  <c r="M28" i="18"/>
  <c r="L28" i="19"/>
  <c r="W28" s="1"/>
  <c r="Q28" i="6" s="1"/>
  <c r="O66" i="16"/>
  <c r="O66" i="2"/>
  <c r="N42" i="16"/>
  <c r="M42" i="19"/>
  <c r="X42" s="1"/>
  <c r="R42" i="6" s="1"/>
  <c r="J46" i="18"/>
  <c r="I46" i="19"/>
  <c r="T46" s="1"/>
  <c r="N46" i="6" s="1"/>
  <c r="M47" i="16"/>
  <c r="M47" i="2"/>
  <c r="L59" i="18"/>
  <c r="K59" i="19"/>
  <c r="V59" s="1"/>
  <c r="P59" i="6" s="1"/>
  <c r="K61" i="19"/>
  <c r="V61" s="1"/>
  <c r="P61" i="6" s="1"/>
  <c r="L61" i="18"/>
  <c r="M17" i="19"/>
  <c r="X17" s="1"/>
  <c r="R17" i="6" s="1"/>
  <c r="N17" i="18"/>
  <c r="L58"/>
  <c r="K58" i="19"/>
  <c r="V58" s="1"/>
  <c r="P58" i="6" s="1"/>
  <c r="L31" i="18"/>
  <c r="K31" i="19"/>
  <c r="V31" s="1"/>
  <c r="P31" i="6" s="1"/>
  <c r="K18" i="18"/>
  <c r="J18" i="19"/>
  <c r="U18" s="1"/>
  <c r="O18" i="6" s="1"/>
  <c r="E25" i="18"/>
  <c r="D25" i="19"/>
  <c r="O25" s="1"/>
  <c r="I25" i="6" s="1"/>
  <c r="M25" i="16"/>
  <c r="M25" i="2"/>
  <c r="M48" i="18"/>
  <c r="L48" i="19"/>
  <c r="W48" s="1"/>
  <c r="Q48" i="6" s="1"/>
  <c r="D13" i="18"/>
  <c r="C13" i="19"/>
  <c r="N13" s="1"/>
  <c r="H13" i="6" s="1"/>
  <c r="D50" i="18"/>
  <c r="C50" i="19"/>
  <c r="N50" s="1"/>
  <c r="H50" i="6" s="1"/>
  <c r="D43" i="18"/>
  <c r="C43" i="19"/>
  <c r="N43" s="1"/>
  <c r="H43" i="6" s="1"/>
  <c r="D26" i="18"/>
  <c r="C26" i="19"/>
  <c r="N26" s="1"/>
  <c r="H26" i="6" s="1"/>
  <c r="D58" i="18"/>
  <c r="C58" i="19"/>
  <c r="N58" s="1"/>
  <c r="H58" i="6" s="1"/>
  <c r="D24" i="18"/>
  <c r="C24" i="19"/>
  <c r="N24" s="1"/>
  <c r="H24" i="6" s="1"/>
  <c r="D32" i="18"/>
  <c r="C32" i="19"/>
  <c r="N32" s="1"/>
  <c r="H32" i="6" s="1"/>
  <c r="D48" i="18"/>
  <c r="C48" i="19"/>
  <c r="N48" s="1"/>
  <c r="H48" i="6" s="1"/>
  <c r="D57" i="18"/>
  <c r="C57" i="19"/>
  <c r="N57" s="1"/>
  <c r="H57" i="6" s="1"/>
  <c r="D38" i="18"/>
  <c r="C38" i="19"/>
  <c r="N38" s="1"/>
  <c r="H38" i="6" s="1"/>
  <c r="D41" i="18"/>
  <c r="C41" i="19"/>
  <c r="N41" s="1"/>
  <c r="H41" i="6" s="1"/>
  <c r="M52" i="16"/>
  <c r="L52" i="19"/>
  <c r="W52" s="1"/>
  <c r="Q52" i="6" s="1"/>
  <c r="M52" i="2"/>
  <c r="O23" i="16"/>
  <c r="O23" i="2"/>
  <c r="J52" i="18"/>
  <c r="I52" i="19"/>
  <c r="T52" s="1"/>
  <c r="N52" i="6" s="1"/>
  <c r="N52" i="16"/>
  <c r="N52" i="2"/>
  <c r="D60" i="18"/>
  <c r="C60" i="19"/>
  <c r="N60" s="1"/>
  <c r="H60" i="6" s="1"/>
  <c r="D62" i="18"/>
  <c r="C62" i="19"/>
  <c r="N62" s="1"/>
  <c r="H62" i="6" s="1"/>
  <c r="D44" i="18"/>
  <c r="C44" i="19"/>
  <c r="N44" s="1"/>
  <c r="H44" i="6" s="1"/>
  <c r="K52" i="18"/>
  <c r="J52" i="19"/>
  <c r="U52" s="1"/>
  <c r="O52" i="6" s="1"/>
  <c r="O52" i="16"/>
  <c r="O52" i="2"/>
  <c r="N23" i="16"/>
  <c r="N23" i="2"/>
  <c r="D11" i="19"/>
  <c r="O11" s="1"/>
  <c r="I11" i="6" s="1"/>
  <c r="E11" i="18"/>
  <c r="E11" i="16"/>
  <c r="E11" i="2"/>
  <c r="H11" i="19"/>
  <c r="S11" s="1"/>
  <c r="M11" i="6" s="1"/>
  <c r="I11" i="18"/>
  <c r="I11" i="16"/>
  <c r="I11" i="2"/>
  <c r="L11" i="19"/>
  <c r="W11" s="1"/>
  <c r="Q11" i="6" s="1"/>
  <c r="M11" i="18"/>
  <c r="M11" i="16"/>
  <c r="M11" i="2"/>
  <c r="E11" i="19"/>
  <c r="P11" s="1"/>
  <c r="J11" i="6" s="1"/>
  <c r="F11" i="18"/>
  <c r="F11" i="16"/>
  <c r="F11" i="2"/>
  <c r="I11" i="19"/>
  <c r="T11" s="1"/>
  <c r="N11" i="6" s="1"/>
  <c r="J11" i="18"/>
  <c r="J11" i="16"/>
  <c r="J11" i="2"/>
  <c r="M11" i="19"/>
  <c r="X11" s="1"/>
  <c r="R11" i="6" s="1"/>
  <c r="N11" i="18"/>
  <c r="N11" i="16"/>
  <c r="N11" i="2"/>
  <c r="C11" i="19"/>
  <c r="N11" s="1"/>
  <c r="H11" i="6" s="1"/>
  <c r="D11" i="18"/>
  <c r="D11" i="16"/>
  <c r="D11" i="2"/>
  <c r="G11" i="19"/>
  <c r="R11" s="1"/>
  <c r="L11" i="6" s="1"/>
  <c r="H11" i="18"/>
  <c r="H11" i="16"/>
  <c r="H11" i="2"/>
  <c r="K11" i="19"/>
  <c r="V11" s="1"/>
  <c r="P11" i="6" s="1"/>
  <c r="L11" i="18"/>
  <c r="L11" i="16"/>
  <c r="L11" i="2"/>
  <c r="C11" i="18"/>
  <c r="C11" i="16"/>
  <c r="C11" i="2"/>
  <c r="F11" i="19"/>
  <c r="Q11" s="1"/>
  <c r="K11" i="6" s="1"/>
  <c r="G11" i="18"/>
  <c r="G11" i="16"/>
  <c r="G11" i="2"/>
  <c r="J11" i="19"/>
  <c r="U11" s="1"/>
  <c r="O11" i="6" s="1"/>
  <c r="K11" i="18"/>
  <c r="K11" i="16"/>
  <c r="K11" i="2"/>
  <c r="O11" i="18"/>
  <c r="O11" i="16"/>
  <c r="O11" i="2"/>
  <c r="L13" i="18"/>
  <c r="K13" i="19"/>
  <c r="V13" s="1"/>
  <c r="P13" i="6" s="1"/>
  <c r="G7" i="18"/>
  <c r="F7" i="19"/>
  <c r="Q7" s="1"/>
  <c r="K7" i="6" s="1"/>
  <c r="G10" i="18"/>
  <c r="F10" i="19"/>
  <c r="Q10" s="1"/>
  <c r="K10" i="6" s="1"/>
  <c r="K10" i="18"/>
  <c r="J10" i="19"/>
  <c r="U10" s="1"/>
  <c r="O10" i="6" s="1"/>
  <c r="F15" i="18"/>
  <c r="E15" i="19"/>
  <c r="P15" s="1"/>
  <c r="J15" i="6" s="1"/>
  <c r="J15" i="18"/>
  <c r="I15" i="19"/>
  <c r="T15" s="1"/>
  <c r="N15" i="6" s="1"/>
  <c r="N15" i="18"/>
  <c r="M15" i="19"/>
  <c r="X15" s="1"/>
  <c r="R15" i="6" s="1"/>
  <c r="E16" i="18"/>
  <c r="D16" i="19"/>
  <c r="O16" s="1"/>
  <c r="I16" i="6" s="1"/>
  <c r="I16" i="18"/>
  <c r="H16" i="19"/>
  <c r="S16" s="1"/>
  <c r="M16" i="6" s="1"/>
  <c r="M16" i="18"/>
  <c r="L16" i="19"/>
  <c r="W16" s="1"/>
  <c r="Q16" i="6" s="1"/>
  <c r="F19" i="18"/>
  <c r="E19" i="19"/>
  <c r="P19" s="1"/>
  <c r="J19" i="6" s="1"/>
  <c r="J19" i="18"/>
  <c r="I19" i="19"/>
  <c r="T19" s="1"/>
  <c r="N19" i="6" s="1"/>
  <c r="N19" i="18"/>
  <c r="M19" i="19"/>
  <c r="X19" s="1"/>
  <c r="R19" i="6" s="1"/>
  <c r="E66" i="18"/>
  <c r="D66" i="19"/>
  <c r="O66" s="1"/>
  <c r="I66" i="6" s="1"/>
  <c r="I66" i="18"/>
  <c r="H66" i="19"/>
  <c r="S66" s="1"/>
  <c r="M66" i="6" s="1"/>
  <c r="F22" i="18"/>
  <c r="E22" i="19"/>
  <c r="P22" s="1"/>
  <c r="J22" i="6" s="1"/>
  <c r="J22" i="18"/>
  <c r="I22" i="19"/>
  <c r="T22" s="1"/>
  <c r="N22" i="6" s="1"/>
  <c r="H57" i="18"/>
  <c r="G57" i="19"/>
  <c r="R57" s="1"/>
  <c r="L57" i="6" s="1"/>
  <c r="L57" i="18"/>
  <c r="K57" i="19"/>
  <c r="V57" s="1"/>
  <c r="P57" i="6" s="1"/>
  <c r="F24" i="18"/>
  <c r="E24" i="19"/>
  <c r="P24" s="1"/>
  <c r="J24" i="6" s="1"/>
  <c r="J24" i="18"/>
  <c r="I24" i="19"/>
  <c r="T24" s="1"/>
  <c r="N24" i="6" s="1"/>
  <c r="E58" i="18"/>
  <c r="D58" i="19"/>
  <c r="O58" s="1"/>
  <c r="I58" i="6" s="1"/>
  <c r="F55" i="18"/>
  <c r="E55" i="19"/>
  <c r="P55" s="1"/>
  <c r="J55" i="6" s="1"/>
  <c r="G61" i="18"/>
  <c r="F61" i="19"/>
  <c r="Q61" s="1"/>
  <c r="K61" i="6" s="1"/>
  <c r="K61" i="18"/>
  <c r="J61" i="19"/>
  <c r="U61" s="1"/>
  <c r="O61" i="6" s="1"/>
  <c r="F68" i="18"/>
  <c r="E68" i="19"/>
  <c r="P68" s="1"/>
  <c r="J68" i="6" s="1"/>
  <c r="J68" i="18"/>
  <c r="I68" i="19"/>
  <c r="T68" s="1"/>
  <c r="N68" i="6" s="1"/>
  <c r="N68" i="18"/>
  <c r="M68" i="19"/>
  <c r="X68" s="1"/>
  <c r="R68" i="6" s="1"/>
  <c r="E30" i="18"/>
  <c r="D30" i="19"/>
  <c r="O30" s="1"/>
  <c r="I30" i="6" s="1"/>
  <c r="H36" i="18"/>
  <c r="G36" i="19"/>
  <c r="R36" s="1"/>
  <c r="L36" i="6" s="1"/>
  <c r="L36" i="18"/>
  <c r="K36" i="19"/>
  <c r="V36" s="1"/>
  <c r="P36" i="6" s="1"/>
  <c r="F37" i="18"/>
  <c r="E37" i="19"/>
  <c r="P37" s="1"/>
  <c r="J37" i="6" s="1"/>
  <c r="J37" i="18"/>
  <c r="I37" i="19"/>
  <c r="T37" s="1"/>
  <c r="N37" i="6" s="1"/>
  <c r="N37" i="18"/>
  <c r="M37" i="19"/>
  <c r="X37" s="1"/>
  <c r="R37" i="6" s="1"/>
  <c r="E65" i="18"/>
  <c r="D65" i="19"/>
  <c r="O65" s="1"/>
  <c r="I65" i="6" s="1"/>
  <c r="I65" i="18"/>
  <c r="H65" i="19"/>
  <c r="S65" s="1"/>
  <c r="M65" i="6" s="1"/>
  <c r="M65" i="18"/>
  <c r="L65" i="19"/>
  <c r="W65" s="1"/>
  <c r="Q65" i="6" s="1"/>
  <c r="G39" i="18"/>
  <c r="F39" i="19"/>
  <c r="Q39" s="1"/>
  <c r="K39" i="6" s="1"/>
  <c r="K39" i="18"/>
  <c r="J39" i="19"/>
  <c r="U39" s="1"/>
  <c r="O39" i="6" s="1"/>
  <c r="E41" i="18"/>
  <c r="D41" i="19"/>
  <c r="O41" s="1"/>
  <c r="I41" i="6" s="1"/>
  <c r="I41" i="18"/>
  <c r="H41" i="19"/>
  <c r="S41" s="1"/>
  <c r="M41" i="6" s="1"/>
  <c r="M41" i="18"/>
  <c r="L41" i="19"/>
  <c r="W41" s="1"/>
  <c r="Q41" i="6" s="1"/>
  <c r="F44" i="18"/>
  <c r="E44" i="19"/>
  <c r="P44" s="1"/>
  <c r="J44" i="6" s="1"/>
  <c r="J44" i="18"/>
  <c r="I44" i="19"/>
  <c r="T44" s="1"/>
  <c r="N44" i="6" s="1"/>
  <c r="N44" i="18"/>
  <c r="M44" i="19"/>
  <c r="X44" s="1"/>
  <c r="R44" i="6" s="1"/>
  <c r="E45" i="18"/>
  <c r="D45" i="19"/>
  <c r="O45" s="1"/>
  <c r="I45" i="6" s="1"/>
  <c r="I45" i="18"/>
  <c r="H45" i="19"/>
  <c r="S45" s="1"/>
  <c r="M45" i="6" s="1"/>
  <c r="M45" i="18"/>
  <c r="L45" i="19"/>
  <c r="W45" s="1"/>
  <c r="Q45" i="6" s="1"/>
  <c r="G47" i="18"/>
  <c r="F47" i="19"/>
  <c r="Q47" s="1"/>
  <c r="K47" i="6" s="1"/>
  <c r="F48" i="18"/>
  <c r="E48" i="19"/>
  <c r="P48" s="1"/>
  <c r="J48" i="6" s="1"/>
  <c r="J48" i="18"/>
  <c r="I48" i="19"/>
  <c r="T48" s="1"/>
  <c r="N48" i="6" s="1"/>
  <c r="D51" i="18"/>
  <c r="C51" i="19"/>
  <c r="N51" s="1"/>
  <c r="H51" i="6" s="1"/>
  <c r="H51" i="18"/>
  <c r="G51" i="19"/>
  <c r="R51" s="1"/>
  <c r="L51" i="6" s="1"/>
  <c r="L51" i="18"/>
  <c r="K51" i="19"/>
  <c r="V51" s="1"/>
  <c r="P51" i="6" s="1"/>
  <c r="E52" i="18"/>
  <c r="D52" i="19"/>
  <c r="O52" s="1"/>
  <c r="I52" i="6" s="1"/>
  <c r="I52" i="18"/>
  <c r="H52" i="19"/>
  <c r="S52" s="1"/>
  <c r="M52" i="6" s="1"/>
  <c r="H53" i="18"/>
  <c r="G53" i="19"/>
  <c r="R53" s="1"/>
  <c r="L53" i="6" s="1"/>
  <c r="L53" i="18"/>
  <c r="K53" i="19"/>
  <c r="V53" s="1"/>
  <c r="P53" i="6" s="1"/>
  <c r="G4" i="18"/>
  <c r="F4" i="19"/>
  <c r="Q4" s="1"/>
  <c r="K4" i="6" s="1"/>
  <c r="K4" i="18"/>
  <c r="J4" i="19"/>
  <c r="U4" s="1"/>
  <c r="O4" i="6" s="1"/>
  <c r="F5" i="18"/>
  <c r="E5" i="19"/>
  <c r="P5" s="1"/>
  <c r="J5" i="6" s="1"/>
  <c r="J5" i="18"/>
  <c r="I5" i="19"/>
  <c r="T5" s="1"/>
  <c r="N5" i="6" s="1"/>
  <c r="N5" i="18"/>
  <c r="M5" i="19"/>
  <c r="X5" s="1"/>
  <c r="R5" i="6" s="1"/>
  <c r="E6" i="18"/>
  <c r="D6" i="19"/>
  <c r="O6" s="1"/>
  <c r="I6" i="6" s="1"/>
  <c r="I6" i="18"/>
  <c r="H6" i="19"/>
  <c r="S6" s="1"/>
  <c r="M6" i="6" s="1"/>
  <c r="H7" i="18"/>
  <c r="G7" i="19"/>
  <c r="R7" s="1"/>
  <c r="L7" i="6" s="1"/>
  <c r="G60" i="18"/>
  <c r="F60" i="19"/>
  <c r="Q60" s="1"/>
  <c r="K60" i="6" s="1"/>
  <c r="K60" i="18"/>
  <c r="J60" i="19"/>
  <c r="U60" s="1"/>
  <c r="O60" i="6" s="1"/>
  <c r="F8" i="18"/>
  <c r="E8" i="19"/>
  <c r="P8" s="1"/>
  <c r="J8" i="6" s="1"/>
  <c r="J8" i="18"/>
  <c r="I8" i="19"/>
  <c r="T8" s="1"/>
  <c r="N8" i="6" s="1"/>
  <c r="N8" i="18"/>
  <c r="M8" i="19"/>
  <c r="X8" s="1"/>
  <c r="R8" i="6" s="1"/>
  <c r="E9" i="18"/>
  <c r="D9" i="19"/>
  <c r="O9" s="1"/>
  <c r="I9" i="6" s="1"/>
  <c r="I9" i="18"/>
  <c r="H9" i="19"/>
  <c r="S9" s="1"/>
  <c r="M9" i="6" s="1"/>
  <c r="M9" i="18"/>
  <c r="L9" i="19"/>
  <c r="W9" s="1"/>
  <c r="Q9" i="6" s="1"/>
  <c r="H10" i="18"/>
  <c r="G10" i="19"/>
  <c r="R10" s="1"/>
  <c r="L10" i="6" s="1"/>
  <c r="L10" i="18"/>
  <c r="K10" i="19"/>
  <c r="V10" s="1"/>
  <c r="P10" i="6" s="1"/>
  <c r="G54" i="18"/>
  <c r="F54" i="19"/>
  <c r="Q54" s="1"/>
  <c r="K54" i="6" s="1"/>
  <c r="K54" i="18"/>
  <c r="J54" i="19"/>
  <c r="U54" s="1"/>
  <c r="O54" i="6" s="1"/>
  <c r="F12" i="18"/>
  <c r="E12" i="19"/>
  <c r="P12" s="1"/>
  <c r="J12" i="6" s="1"/>
  <c r="J12" i="18"/>
  <c r="I12" i="19"/>
  <c r="T12" s="1"/>
  <c r="N12" i="6" s="1"/>
  <c r="N12" i="18"/>
  <c r="M12" i="19"/>
  <c r="X12" s="1"/>
  <c r="R12" i="6" s="1"/>
  <c r="E13" i="18"/>
  <c r="D13" i="19"/>
  <c r="O13" s="1"/>
  <c r="I13" i="6" s="1"/>
  <c r="I13" i="18"/>
  <c r="H13" i="19"/>
  <c r="S13" s="1"/>
  <c r="M13" i="6" s="1"/>
  <c r="M13" i="18"/>
  <c r="L13" i="19"/>
  <c r="W13" s="1"/>
  <c r="Q13" i="6" s="1"/>
  <c r="H14" i="18"/>
  <c r="G14" i="19"/>
  <c r="R14" s="1"/>
  <c r="L14" i="6" s="1"/>
  <c r="G15" i="18"/>
  <c r="F15" i="19"/>
  <c r="Q15" s="1"/>
  <c r="K15" i="6" s="1"/>
  <c r="K15" i="18"/>
  <c r="J15" i="19"/>
  <c r="U15" s="1"/>
  <c r="O15" i="6" s="1"/>
  <c r="F16" i="18"/>
  <c r="E16" i="19"/>
  <c r="P16" s="1"/>
  <c r="J16" i="6" s="1"/>
  <c r="J16" i="18"/>
  <c r="I16" i="19"/>
  <c r="T16" s="1"/>
  <c r="N16" i="6" s="1"/>
  <c r="N16" i="18"/>
  <c r="M16" i="19"/>
  <c r="X16" s="1"/>
  <c r="R16" i="6" s="1"/>
  <c r="E17" i="18"/>
  <c r="D17" i="19"/>
  <c r="O17" s="1"/>
  <c r="I17" i="6" s="1"/>
  <c r="I17" i="18"/>
  <c r="H17" i="19"/>
  <c r="S17" s="1"/>
  <c r="M17" i="6" s="1"/>
  <c r="M17" i="18"/>
  <c r="L17" i="19"/>
  <c r="W17" s="1"/>
  <c r="Q17" i="6" s="1"/>
  <c r="H64" i="18"/>
  <c r="G64" i="19"/>
  <c r="R64" s="1"/>
  <c r="L64" i="6" s="1"/>
  <c r="L64" i="18"/>
  <c r="K64" i="19"/>
  <c r="V64" s="1"/>
  <c r="P64" i="6" s="1"/>
  <c r="G19" i="18"/>
  <c r="F19" i="19"/>
  <c r="Q19" s="1"/>
  <c r="K19" i="6" s="1"/>
  <c r="K19" i="18"/>
  <c r="J19" i="19"/>
  <c r="U19" s="1"/>
  <c r="O19" i="6" s="1"/>
  <c r="F66" i="18"/>
  <c r="E66" i="19"/>
  <c r="P66" s="1"/>
  <c r="J66" i="6" s="1"/>
  <c r="E20" i="18"/>
  <c r="D20" i="19"/>
  <c r="O20" s="1"/>
  <c r="I20" i="6" s="1"/>
  <c r="I20" i="18"/>
  <c r="H20" i="19"/>
  <c r="S20" s="1"/>
  <c r="M20" i="6" s="1"/>
  <c r="M20" i="18"/>
  <c r="L20" i="19"/>
  <c r="W20" s="1"/>
  <c r="Q20" i="6" s="1"/>
  <c r="H21" i="18"/>
  <c r="G21" i="19"/>
  <c r="R21" s="1"/>
  <c r="L21" i="6" s="1"/>
  <c r="L21" i="18"/>
  <c r="K21" i="19"/>
  <c r="V21" s="1"/>
  <c r="P21" i="6" s="1"/>
  <c r="G22" i="18"/>
  <c r="F22" i="19"/>
  <c r="Q22" s="1"/>
  <c r="K22" i="6" s="1"/>
  <c r="K22" i="18"/>
  <c r="J22" i="19"/>
  <c r="U22" s="1"/>
  <c r="O22" i="6" s="1"/>
  <c r="F67" i="18"/>
  <c r="E67" i="19"/>
  <c r="P67" s="1"/>
  <c r="J67" i="6" s="1"/>
  <c r="J67" i="18"/>
  <c r="I67" i="19"/>
  <c r="T67" s="1"/>
  <c r="N67" i="6" s="1"/>
  <c r="N67" i="18"/>
  <c r="M67" i="19"/>
  <c r="X67" s="1"/>
  <c r="R67" i="6" s="1"/>
  <c r="E57" i="18"/>
  <c r="D57" i="19"/>
  <c r="O57" s="1"/>
  <c r="I57" i="6" s="1"/>
  <c r="I57" i="18"/>
  <c r="H57" i="19"/>
  <c r="S57" s="1"/>
  <c r="M57" i="6" s="1"/>
  <c r="M57" i="18"/>
  <c r="L57" i="19"/>
  <c r="W57" s="1"/>
  <c r="Q57" i="6" s="1"/>
  <c r="H23" i="18"/>
  <c r="G23" i="19"/>
  <c r="R23" s="1"/>
  <c r="L23" i="6" s="1"/>
  <c r="G24" i="18"/>
  <c r="F24" i="19"/>
  <c r="Q24" s="1"/>
  <c r="K24" i="6" s="1"/>
  <c r="F58" i="18"/>
  <c r="E58" i="19"/>
  <c r="P58" s="1"/>
  <c r="J58" i="6" s="1"/>
  <c r="J58" i="18"/>
  <c r="I58" i="19"/>
  <c r="T58" s="1"/>
  <c r="N58" i="6" s="1"/>
  <c r="E50" i="18"/>
  <c r="D50" i="19"/>
  <c r="O50" s="1"/>
  <c r="I50" i="6" s="1"/>
  <c r="H63" i="18"/>
  <c r="G63" i="19"/>
  <c r="R63" s="1"/>
  <c r="L63" i="6" s="1"/>
  <c r="L63" i="18"/>
  <c r="K63" i="19"/>
  <c r="V63" s="1"/>
  <c r="P63" i="6" s="1"/>
  <c r="F31" i="18"/>
  <c r="E31" i="19"/>
  <c r="P31" s="1"/>
  <c r="J31" i="6" s="1"/>
  <c r="J31" i="18"/>
  <c r="I31" i="19"/>
  <c r="T31" s="1"/>
  <c r="N31" i="6" s="1"/>
  <c r="E18" i="18"/>
  <c r="D18" i="19"/>
  <c r="O18" s="1"/>
  <c r="I18" i="6" s="1"/>
  <c r="I18" i="18"/>
  <c r="H18" i="19"/>
  <c r="S18" s="1"/>
  <c r="M18" i="6" s="1"/>
  <c r="H59" i="18"/>
  <c r="G59" i="19"/>
  <c r="R59" s="1"/>
  <c r="L59" i="6" s="1"/>
  <c r="F27" i="18"/>
  <c r="E27" i="19"/>
  <c r="P27" s="1"/>
  <c r="J27" i="6" s="1"/>
  <c r="J27" i="18"/>
  <c r="I27" i="19"/>
  <c r="T27" s="1"/>
  <c r="N27" i="6" s="1"/>
  <c r="N27" i="18"/>
  <c r="M27" i="19"/>
  <c r="X27" s="1"/>
  <c r="R27" i="6" s="1"/>
  <c r="E28" i="18"/>
  <c r="D28" i="19"/>
  <c r="O28" s="1"/>
  <c r="I28" i="6" s="1"/>
  <c r="I28" i="18"/>
  <c r="H28" i="19"/>
  <c r="S28" s="1"/>
  <c r="M28" i="6" s="1"/>
  <c r="H61" i="18"/>
  <c r="G61" i="19"/>
  <c r="R61" s="1"/>
  <c r="L61" i="6" s="1"/>
  <c r="G68" i="18"/>
  <c r="F68" i="19"/>
  <c r="Q68" s="1"/>
  <c r="K68" i="6" s="1"/>
  <c r="K68" i="18"/>
  <c r="J68" i="19"/>
  <c r="U68" s="1"/>
  <c r="O68" i="6" s="1"/>
  <c r="F30" i="18"/>
  <c r="E30" i="19"/>
  <c r="P30" s="1"/>
  <c r="J30" i="6" s="1"/>
  <c r="E26" i="18"/>
  <c r="D26" i="19"/>
  <c r="O26" s="1"/>
  <c r="I26" i="6" s="1"/>
  <c r="H33" i="18"/>
  <c r="G33" i="19"/>
  <c r="R33" s="1"/>
  <c r="L33" i="6" s="1"/>
  <c r="L33" i="18"/>
  <c r="K33" i="19"/>
  <c r="V33" s="1"/>
  <c r="P33" i="6" s="1"/>
  <c r="G34" i="18"/>
  <c r="F34" i="19"/>
  <c r="Q34" s="1"/>
  <c r="K34" i="6" s="1"/>
  <c r="K34" i="18"/>
  <c r="J34" i="19"/>
  <c r="U34" s="1"/>
  <c r="O34" i="6" s="1"/>
  <c r="F32" i="18"/>
  <c r="E32" i="19"/>
  <c r="P32" s="1"/>
  <c r="J32" i="6" s="1"/>
  <c r="J32" i="18"/>
  <c r="I32" i="19"/>
  <c r="T32" s="1"/>
  <c r="N32" i="6" s="1"/>
  <c r="N32" i="18"/>
  <c r="M32" i="19"/>
  <c r="X32" s="1"/>
  <c r="R32" i="6" s="1"/>
  <c r="H35" i="18"/>
  <c r="G35" i="19"/>
  <c r="R35" s="1"/>
  <c r="L35" i="6" s="1"/>
  <c r="L35" i="18"/>
  <c r="K35" i="19"/>
  <c r="V35" s="1"/>
  <c r="P35" i="6" s="1"/>
  <c r="G62" i="18"/>
  <c r="F62" i="19"/>
  <c r="Q62" s="1"/>
  <c r="K62" i="6" s="1"/>
  <c r="K62" i="18"/>
  <c r="J62" i="19"/>
  <c r="U62" s="1"/>
  <c r="O62" i="6" s="1"/>
  <c r="E36" i="18"/>
  <c r="D36" i="19"/>
  <c r="O36" s="1"/>
  <c r="I36" i="6" s="1"/>
  <c r="I36" i="18"/>
  <c r="H36" i="19"/>
  <c r="S36" s="1"/>
  <c r="M36" i="6" s="1"/>
  <c r="M36" i="18"/>
  <c r="L36" i="19"/>
  <c r="W36" s="1"/>
  <c r="Q36" i="6" s="1"/>
  <c r="G37" i="18"/>
  <c r="F37" i="19"/>
  <c r="Q37" s="1"/>
  <c r="K37" i="6" s="1"/>
  <c r="K37" i="18"/>
  <c r="J37" i="19"/>
  <c r="U37" s="1"/>
  <c r="O37" i="6" s="1"/>
  <c r="F65" i="18"/>
  <c r="E65" i="19"/>
  <c r="P65" s="1"/>
  <c r="J65" i="6" s="1"/>
  <c r="J65" i="18"/>
  <c r="I65" i="19"/>
  <c r="T65" s="1"/>
  <c r="N65" i="6" s="1"/>
  <c r="N65" i="18"/>
  <c r="M65" i="19"/>
  <c r="X65" s="1"/>
  <c r="R65" i="6" s="1"/>
  <c r="E38" i="18"/>
  <c r="D38" i="19"/>
  <c r="O38" s="1"/>
  <c r="I38" i="6" s="1"/>
  <c r="H39" i="18"/>
  <c r="G39" i="19"/>
  <c r="R39" s="1"/>
  <c r="L39" i="6" s="1"/>
  <c r="L39" i="18"/>
  <c r="K39" i="19"/>
  <c r="V39" s="1"/>
  <c r="P39" i="6" s="1"/>
  <c r="G40" i="18"/>
  <c r="F40" i="19"/>
  <c r="Q40" s="1"/>
  <c r="K40" i="6" s="1"/>
  <c r="F41" i="18"/>
  <c r="E41" i="19"/>
  <c r="P41" s="1"/>
  <c r="J41" i="6" s="1"/>
  <c r="J41" i="18"/>
  <c r="I41" i="19"/>
  <c r="T41" s="1"/>
  <c r="N41" i="6" s="1"/>
  <c r="N41" i="18"/>
  <c r="M41" i="19"/>
  <c r="X41" s="1"/>
  <c r="R41" i="6" s="1"/>
  <c r="E42" i="18"/>
  <c r="D42" i="19"/>
  <c r="O42" s="1"/>
  <c r="I42" i="6" s="1"/>
  <c r="I42" i="18"/>
  <c r="H42" i="19"/>
  <c r="S42" s="1"/>
  <c r="M42" i="6" s="1"/>
  <c r="M42" i="16"/>
  <c r="L42" i="19"/>
  <c r="W42" s="1"/>
  <c r="Q42" i="6" s="1"/>
  <c r="H43" i="18"/>
  <c r="G43" i="19"/>
  <c r="R43" s="1"/>
  <c r="L43" i="6" s="1"/>
  <c r="L43" i="18"/>
  <c r="K43" i="19"/>
  <c r="V43" s="1"/>
  <c r="P43" i="6" s="1"/>
  <c r="G44" i="18"/>
  <c r="F44" i="19"/>
  <c r="Q44" s="1"/>
  <c r="K44" i="6" s="1"/>
  <c r="K44" i="18"/>
  <c r="J44" i="19"/>
  <c r="U44" s="1"/>
  <c r="O44" i="6" s="1"/>
  <c r="F45" i="18"/>
  <c r="E45" i="19"/>
  <c r="P45" s="1"/>
  <c r="J45" i="6" s="1"/>
  <c r="J45" i="18"/>
  <c r="I45" i="19"/>
  <c r="T45" s="1"/>
  <c r="N45" i="6" s="1"/>
  <c r="N45" i="18"/>
  <c r="M45" i="19"/>
  <c r="X45" s="1"/>
  <c r="R45" i="6" s="1"/>
  <c r="E46" i="18"/>
  <c r="D46" i="19"/>
  <c r="O46" s="1"/>
  <c r="I46" i="6" s="1"/>
  <c r="I46" i="18"/>
  <c r="H46" i="19"/>
  <c r="S46" s="1"/>
  <c r="M46" i="6" s="1"/>
  <c r="H47" i="18"/>
  <c r="G47" i="19"/>
  <c r="R47" s="1"/>
  <c r="L47" i="6" s="1"/>
  <c r="G48" i="18"/>
  <c r="F48" i="19"/>
  <c r="Q48" s="1"/>
  <c r="K48" i="6" s="1"/>
  <c r="K48" i="18"/>
  <c r="J48" i="19"/>
  <c r="U48" s="1"/>
  <c r="O48" i="6" s="1"/>
  <c r="E51" i="18"/>
  <c r="D51" i="19"/>
  <c r="O51" s="1"/>
  <c r="I51" i="6" s="1"/>
  <c r="I51" i="18"/>
  <c r="H51" i="19"/>
  <c r="S51" s="1"/>
  <c r="M51" i="6" s="1"/>
  <c r="M51" i="18"/>
  <c r="L51" i="19"/>
  <c r="W51" s="1"/>
  <c r="Q51" i="6" s="1"/>
  <c r="H13" i="18"/>
  <c r="G13" i="19"/>
  <c r="R13" s="1"/>
  <c r="L13" i="6" s="1"/>
  <c r="H52" i="18"/>
  <c r="G52" i="19"/>
  <c r="R52" s="1"/>
  <c r="L52" i="6" s="1"/>
  <c r="G53" i="18"/>
  <c r="F53" i="19"/>
  <c r="Q53" s="1"/>
  <c r="K53" i="6" s="1"/>
  <c r="K53" i="18"/>
  <c r="J53" i="19"/>
  <c r="U53" s="1"/>
  <c r="O53" i="6" s="1"/>
  <c r="F4" i="18"/>
  <c r="E4" i="19"/>
  <c r="P4" s="1"/>
  <c r="J4" i="6" s="1"/>
  <c r="J4" i="18"/>
  <c r="I4" i="19"/>
  <c r="T4" s="1"/>
  <c r="N4" i="6" s="1"/>
  <c r="N4" i="18"/>
  <c r="M4" i="19"/>
  <c r="X4" s="1"/>
  <c r="R4" i="6" s="1"/>
  <c r="E5" i="18"/>
  <c r="D5" i="19"/>
  <c r="O5" s="1"/>
  <c r="I5" i="6" s="1"/>
  <c r="I5" i="18"/>
  <c r="H5" i="19"/>
  <c r="S5" s="1"/>
  <c r="M5" i="6" s="1"/>
  <c r="M5" i="18"/>
  <c r="L5" i="19"/>
  <c r="W5" s="1"/>
  <c r="Q5" i="6" s="1"/>
  <c r="H6" i="18"/>
  <c r="G6" i="19"/>
  <c r="R6" s="1"/>
  <c r="L6" i="6" s="1"/>
  <c r="F60" i="18"/>
  <c r="E60" i="19"/>
  <c r="P60" s="1"/>
  <c r="J60" i="6" s="1"/>
  <c r="J60" i="18"/>
  <c r="I60" i="19"/>
  <c r="T60" s="1"/>
  <c r="N60" i="6" s="1"/>
  <c r="N60" i="18"/>
  <c r="M60" i="19"/>
  <c r="X60" s="1"/>
  <c r="R60" i="6" s="1"/>
  <c r="E8" i="18"/>
  <c r="D8" i="19"/>
  <c r="O8" s="1"/>
  <c r="I8" i="6" s="1"/>
  <c r="I8" i="18"/>
  <c r="H8" i="19"/>
  <c r="S8" s="1"/>
  <c r="M8" i="6" s="1"/>
  <c r="M8" i="18"/>
  <c r="L8" i="19"/>
  <c r="W8" s="1"/>
  <c r="Q8" i="6" s="1"/>
  <c r="H9" i="18"/>
  <c r="G9" i="19"/>
  <c r="R9" s="1"/>
  <c r="L9" i="6" s="1"/>
  <c r="F54" i="18"/>
  <c r="E54" i="19"/>
  <c r="P54" s="1"/>
  <c r="J54" i="6" s="1"/>
  <c r="J54" i="18"/>
  <c r="I54" i="19"/>
  <c r="T54" s="1"/>
  <c r="N54" i="6" s="1"/>
  <c r="N54" i="18"/>
  <c r="M54" i="19"/>
  <c r="X54" s="1"/>
  <c r="R54" i="6" s="1"/>
  <c r="E12" i="18"/>
  <c r="D12" i="19"/>
  <c r="O12" s="1"/>
  <c r="I12" i="6" s="1"/>
  <c r="I12" i="18"/>
  <c r="H12" i="19"/>
  <c r="S12" s="1"/>
  <c r="M12" i="6" s="1"/>
  <c r="M12" i="18"/>
  <c r="L12" i="19"/>
  <c r="W12" s="1"/>
  <c r="Q12" i="6" s="1"/>
  <c r="G14" i="18"/>
  <c r="F14" i="19"/>
  <c r="Q14" s="1"/>
  <c r="K14" i="6" s="1"/>
  <c r="K14" i="18"/>
  <c r="J14" i="19"/>
  <c r="U14" s="1"/>
  <c r="O14" i="6" s="1"/>
  <c r="H17" i="18"/>
  <c r="G17" i="19"/>
  <c r="R17" s="1"/>
  <c r="L17" i="6" s="1"/>
  <c r="L17" i="18"/>
  <c r="K17" i="19"/>
  <c r="V17" s="1"/>
  <c r="P17" i="6" s="1"/>
  <c r="G64" i="18"/>
  <c r="F64" i="19"/>
  <c r="Q64" s="1"/>
  <c r="K64" i="6" s="1"/>
  <c r="K64" i="18"/>
  <c r="J64" i="19"/>
  <c r="U64" s="1"/>
  <c r="O64" i="6" s="1"/>
  <c r="H20" i="18"/>
  <c r="G20" i="19"/>
  <c r="R20" s="1"/>
  <c r="L20" i="6" s="1"/>
  <c r="L20" i="18"/>
  <c r="K20" i="19"/>
  <c r="V20" s="1"/>
  <c r="P20" i="6" s="1"/>
  <c r="G21" i="18"/>
  <c r="F21" i="19"/>
  <c r="Q21" s="1"/>
  <c r="K21" i="6" s="1"/>
  <c r="K21" i="18"/>
  <c r="J21" i="19"/>
  <c r="U21" s="1"/>
  <c r="O21" i="6" s="1"/>
  <c r="E67" i="18"/>
  <c r="D67" i="19"/>
  <c r="O67" s="1"/>
  <c r="I67" i="6" s="1"/>
  <c r="I67" i="18"/>
  <c r="H67" i="19"/>
  <c r="S67" s="1"/>
  <c r="M67" i="6" s="1"/>
  <c r="M67" i="18"/>
  <c r="L67" i="19"/>
  <c r="W67" s="1"/>
  <c r="Q67" i="6" s="1"/>
  <c r="G23" i="18"/>
  <c r="F23" i="19"/>
  <c r="Q23" s="1"/>
  <c r="K23" i="6" s="1"/>
  <c r="K23" i="18"/>
  <c r="J23" i="19"/>
  <c r="U23" s="1"/>
  <c r="O23" i="6" s="1"/>
  <c r="I58" i="18"/>
  <c r="H58" i="19"/>
  <c r="S58" s="1"/>
  <c r="M58" i="6" s="1"/>
  <c r="H50" i="18"/>
  <c r="G50" i="19"/>
  <c r="R50" s="1"/>
  <c r="L50" i="6" s="1"/>
  <c r="G63" i="18"/>
  <c r="F63" i="19"/>
  <c r="Q63" s="1"/>
  <c r="K63" i="6" s="1"/>
  <c r="K63" i="18"/>
  <c r="J63" i="19"/>
  <c r="U63" s="1"/>
  <c r="O63" i="6" s="1"/>
  <c r="E31" i="18"/>
  <c r="D31" i="19"/>
  <c r="O31" s="1"/>
  <c r="I31" i="6" s="1"/>
  <c r="I31" i="18"/>
  <c r="H31" i="19"/>
  <c r="S31" s="1"/>
  <c r="M31" i="6" s="1"/>
  <c r="H18" i="18"/>
  <c r="G18" i="19"/>
  <c r="R18" s="1"/>
  <c r="L18" i="6" s="1"/>
  <c r="G59" i="18"/>
  <c r="F59" i="19"/>
  <c r="Q59" s="1"/>
  <c r="K59" i="6" s="1"/>
  <c r="K59" i="18"/>
  <c r="J59" i="19"/>
  <c r="U59" s="1"/>
  <c r="O59" i="6" s="1"/>
  <c r="E27" i="18"/>
  <c r="D27" i="19"/>
  <c r="O27" s="1"/>
  <c r="I27" i="6" s="1"/>
  <c r="I27" i="18"/>
  <c r="H27" i="19"/>
  <c r="S27" s="1"/>
  <c r="M27" i="6" s="1"/>
  <c r="M27" i="18"/>
  <c r="L27" i="19"/>
  <c r="W27" s="1"/>
  <c r="Q27" i="6" s="1"/>
  <c r="H28" i="18"/>
  <c r="G28" i="19"/>
  <c r="R28" s="1"/>
  <c r="L28" i="6" s="1"/>
  <c r="L28" i="18"/>
  <c r="K28" i="19"/>
  <c r="V28" s="1"/>
  <c r="P28" i="6" s="1"/>
  <c r="H26" i="18"/>
  <c r="G26" i="19"/>
  <c r="R26" s="1"/>
  <c r="L26" i="6" s="1"/>
  <c r="G33" i="18"/>
  <c r="F33" i="19"/>
  <c r="Q33" s="1"/>
  <c r="K33" i="6" s="1"/>
  <c r="K33" i="18"/>
  <c r="J33" i="19"/>
  <c r="U33" s="1"/>
  <c r="O33" i="6" s="1"/>
  <c r="F34" i="18"/>
  <c r="E34" i="19"/>
  <c r="P34" s="1"/>
  <c r="J34" i="6" s="1"/>
  <c r="J34" i="18"/>
  <c r="I34" i="19"/>
  <c r="T34" s="1"/>
  <c r="N34" i="6" s="1"/>
  <c r="N34" i="18"/>
  <c r="M34" i="19"/>
  <c r="X34" s="1"/>
  <c r="R34" i="6" s="1"/>
  <c r="E32" i="18"/>
  <c r="D32" i="19"/>
  <c r="O32" s="1"/>
  <c r="I32" i="6" s="1"/>
  <c r="I32" i="18"/>
  <c r="H32" i="19"/>
  <c r="S32" s="1"/>
  <c r="M32" i="6" s="1"/>
  <c r="M32" i="18"/>
  <c r="L32" i="19"/>
  <c r="W32" s="1"/>
  <c r="Q32" i="6" s="1"/>
  <c r="G35" i="18"/>
  <c r="F35" i="19"/>
  <c r="Q35" s="1"/>
  <c r="K35" i="6" s="1"/>
  <c r="K35" i="18"/>
  <c r="J35" i="19"/>
  <c r="U35" s="1"/>
  <c r="O35" i="6" s="1"/>
  <c r="F62" i="18"/>
  <c r="E62" i="19"/>
  <c r="P62" s="1"/>
  <c r="J62" i="6" s="1"/>
  <c r="J62" i="18"/>
  <c r="I62" i="19"/>
  <c r="T62" s="1"/>
  <c r="N62" i="6" s="1"/>
  <c r="N62" i="18"/>
  <c r="M62" i="19"/>
  <c r="X62" s="1"/>
  <c r="R62" i="6" s="1"/>
  <c r="F40" i="18"/>
  <c r="E40" i="19"/>
  <c r="P40" s="1"/>
  <c r="J40" i="6" s="1"/>
  <c r="H42" i="18"/>
  <c r="G42" i="19"/>
  <c r="R42" s="1"/>
  <c r="L42" i="6" s="1"/>
  <c r="L42" i="18"/>
  <c r="K42" i="19"/>
  <c r="V42" s="1"/>
  <c r="P42" i="6" s="1"/>
  <c r="G43" i="18"/>
  <c r="F43" i="19"/>
  <c r="Q43" s="1"/>
  <c r="K43" i="6" s="1"/>
  <c r="K43" i="18"/>
  <c r="J43" i="19"/>
  <c r="U43" s="1"/>
  <c r="O43" i="6" s="1"/>
  <c r="H46" i="18"/>
  <c r="G46" i="19"/>
  <c r="R46" s="1"/>
  <c r="L46" i="6" s="1"/>
  <c r="F52" i="18"/>
  <c r="E52" i="19"/>
  <c r="P52" s="1"/>
  <c r="J52" i="6" s="1"/>
  <c r="E53" i="18"/>
  <c r="D53" i="19"/>
  <c r="O53" s="1"/>
  <c r="I53" i="6" s="1"/>
  <c r="I53" i="18"/>
  <c r="H53" i="19"/>
  <c r="S53" s="1"/>
  <c r="M53" i="6" s="1"/>
  <c r="M53" i="18"/>
  <c r="L53" i="19"/>
  <c r="W53" s="1"/>
  <c r="Q53" i="6" s="1"/>
  <c r="H4" i="18"/>
  <c r="G4" i="19"/>
  <c r="R4" s="1"/>
  <c r="L4" i="6" s="1"/>
  <c r="L4" i="18"/>
  <c r="K4" i="19"/>
  <c r="V4" s="1"/>
  <c r="P4" i="6" s="1"/>
  <c r="G5" i="18"/>
  <c r="F5" i="19"/>
  <c r="Q5" s="1"/>
  <c r="K5" i="6" s="1"/>
  <c r="K5" i="18"/>
  <c r="J5" i="19"/>
  <c r="U5" s="1"/>
  <c r="O5" i="6" s="1"/>
  <c r="F6" i="18"/>
  <c r="E6" i="19"/>
  <c r="P6" s="1"/>
  <c r="J6" i="6" s="1"/>
  <c r="J6" i="18"/>
  <c r="I6" i="19"/>
  <c r="T6" s="1"/>
  <c r="N6" i="6" s="1"/>
  <c r="E7" i="18"/>
  <c r="D7" i="19"/>
  <c r="O7" s="1"/>
  <c r="I7" i="6" s="1"/>
  <c r="I7" i="18"/>
  <c r="H7" i="19"/>
  <c r="S7" s="1"/>
  <c r="M7" i="6" s="1"/>
  <c r="H60" i="18"/>
  <c r="G60" i="19"/>
  <c r="R60" s="1"/>
  <c r="L60" i="6" s="1"/>
  <c r="L60" i="18"/>
  <c r="K60" i="19"/>
  <c r="V60" s="1"/>
  <c r="P60" i="6" s="1"/>
  <c r="G8" i="18"/>
  <c r="F8" i="19"/>
  <c r="Q8" s="1"/>
  <c r="K8" i="6" s="1"/>
  <c r="K8" i="18"/>
  <c r="J8" i="19"/>
  <c r="U8" s="1"/>
  <c r="O8" i="6" s="1"/>
  <c r="F9" i="18"/>
  <c r="E9" i="19"/>
  <c r="P9" s="1"/>
  <c r="J9" i="6" s="1"/>
  <c r="J9" i="18"/>
  <c r="I9" i="19"/>
  <c r="T9" s="1"/>
  <c r="N9" i="6" s="1"/>
  <c r="N9" i="18"/>
  <c r="M9" i="19"/>
  <c r="X9" s="1"/>
  <c r="R9" i="6" s="1"/>
  <c r="E10" i="18"/>
  <c r="D10" i="19"/>
  <c r="O10" s="1"/>
  <c r="I10" i="6" s="1"/>
  <c r="I10" i="18"/>
  <c r="H10" i="19"/>
  <c r="S10" s="1"/>
  <c r="M10" i="6" s="1"/>
  <c r="M10" i="18"/>
  <c r="L10" i="19"/>
  <c r="W10" s="1"/>
  <c r="Q10" i="6" s="1"/>
  <c r="H54" i="18"/>
  <c r="G54" i="19"/>
  <c r="R54" s="1"/>
  <c r="L54" i="6" s="1"/>
  <c r="L54" i="18"/>
  <c r="K54" i="19"/>
  <c r="V54" s="1"/>
  <c r="P54" i="6" s="1"/>
  <c r="G12" i="18"/>
  <c r="F12" i="19"/>
  <c r="Q12" s="1"/>
  <c r="K12" i="6" s="1"/>
  <c r="K12" i="18"/>
  <c r="J12" i="19"/>
  <c r="U12" s="1"/>
  <c r="O12" i="6" s="1"/>
  <c r="F13" i="18"/>
  <c r="E13" i="19"/>
  <c r="P13" s="1"/>
  <c r="J13" i="6" s="1"/>
  <c r="J13" i="18"/>
  <c r="I13" i="19"/>
  <c r="T13" s="1"/>
  <c r="N13" i="6" s="1"/>
  <c r="N13" i="18"/>
  <c r="M13" i="19"/>
  <c r="X13" s="1"/>
  <c r="R13" i="6" s="1"/>
  <c r="E14" i="18"/>
  <c r="D14" i="19"/>
  <c r="O14" s="1"/>
  <c r="I14" i="6" s="1"/>
  <c r="I14" i="18"/>
  <c r="H14" i="19"/>
  <c r="S14" s="1"/>
  <c r="M14" i="6" s="1"/>
  <c r="M14" i="18"/>
  <c r="L14" i="19"/>
  <c r="W14" s="1"/>
  <c r="Q14" i="6" s="1"/>
  <c r="H15" i="18"/>
  <c r="G15" i="19"/>
  <c r="R15" s="1"/>
  <c r="L15" i="6" s="1"/>
  <c r="L15" i="18"/>
  <c r="K15" i="19"/>
  <c r="V15" s="1"/>
  <c r="P15" i="6" s="1"/>
  <c r="G16" i="18"/>
  <c r="F16" i="19"/>
  <c r="Q16" s="1"/>
  <c r="K16" i="6" s="1"/>
  <c r="K16" i="18"/>
  <c r="J16" i="19"/>
  <c r="U16" s="1"/>
  <c r="O16" i="6" s="1"/>
  <c r="F17" i="18"/>
  <c r="E17" i="19"/>
  <c r="P17" s="1"/>
  <c r="J17" i="6" s="1"/>
  <c r="J17" i="18"/>
  <c r="I17" i="19"/>
  <c r="T17" s="1"/>
  <c r="N17" i="6" s="1"/>
  <c r="E64" i="18"/>
  <c r="D64" i="19"/>
  <c r="O64" s="1"/>
  <c r="I64" i="6" s="1"/>
  <c r="I64" i="18"/>
  <c r="H64" i="19"/>
  <c r="S64" s="1"/>
  <c r="M64" i="6" s="1"/>
  <c r="M64" i="18"/>
  <c r="L64" i="19"/>
  <c r="W64" s="1"/>
  <c r="Q64" i="6" s="1"/>
  <c r="H19" i="18"/>
  <c r="G19" i="19"/>
  <c r="R19" s="1"/>
  <c r="L19" i="6" s="1"/>
  <c r="L19" i="18"/>
  <c r="K19" i="19"/>
  <c r="V19" s="1"/>
  <c r="P19" i="6" s="1"/>
  <c r="G66" i="18"/>
  <c r="F66" i="19"/>
  <c r="Q66" s="1"/>
  <c r="K66" i="6" s="1"/>
  <c r="F20" i="18"/>
  <c r="E20" i="19"/>
  <c r="P20" s="1"/>
  <c r="J20" i="6" s="1"/>
  <c r="J20" i="18"/>
  <c r="I20" i="19"/>
  <c r="T20" s="1"/>
  <c r="N20" i="6" s="1"/>
  <c r="N20" i="18"/>
  <c r="M20" i="19"/>
  <c r="X20" s="1"/>
  <c r="R20" i="6" s="1"/>
  <c r="E21" i="18"/>
  <c r="D21" i="19"/>
  <c r="O21" s="1"/>
  <c r="I21" i="6" s="1"/>
  <c r="I21" i="18"/>
  <c r="H21" i="19"/>
  <c r="S21" s="1"/>
  <c r="M21" i="6" s="1"/>
  <c r="M21" i="18"/>
  <c r="L21" i="19"/>
  <c r="W21" s="1"/>
  <c r="Q21" i="6" s="1"/>
  <c r="H22" i="18"/>
  <c r="G22" i="19"/>
  <c r="R22" s="1"/>
  <c r="L22" i="6" s="1"/>
  <c r="L22" i="18"/>
  <c r="K22" i="19"/>
  <c r="V22" s="1"/>
  <c r="P22" i="6" s="1"/>
  <c r="G67" i="18"/>
  <c r="F67" i="19"/>
  <c r="Q67" s="1"/>
  <c r="K67" i="6" s="1"/>
  <c r="K67" i="18"/>
  <c r="J67" i="19"/>
  <c r="U67" s="1"/>
  <c r="O67" i="6" s="1"/>
  <c r="F57" i="18"/>
  <c r="E57" i="19"/>
  <c r="P57" s="1"/>
  <c r="J57" i="6" s="1"/>
  <c r="J57" i="18"/>
  <c r="I57" i="19"/>
  <c r="T57" s="1"/>
  <c r="N57" i="6" s="1"/>
  <c r="N57" i="18"/>
  <c r="M57" i="19"/>
  <c r="X57" s="1"/>
  <c r="R57" i="6" s="1"/>
  <c r="E23" i="18"/>
  <c r="D23" i="19"/>
  <c r="O23" s="1"/>
  <c r="I23" i="6" s="1"/>
  <c r="I23" i="18"/>
  <c r="H23" i="19"/>
  <c r="S23" s="1"/>
  <c r="M23" i="6" s="1"/>
  <c r="H24" i="18"/>
  <c r="G24" i="19"/>
  <c r="R24" s="1"/>
  <c r="L24" i="6" s="1"/>
  <c r="G58" i="18"/>
  <c r="F58" i="19"/>
  <c r="Q58" s="1"/>
  <c r="K58" i="6" s="1"/>
  <c r="K58" i="18"/>
  <c r="J58" i="19"/>
  <c r="U58" s="1"/>
  <c r="O58" i="6" s="1"/>
  <c r="F50" i="18"/>
  <c r="E50" i="19"/>
  <c r="P50" s="1"/>
  <c r="J50" i="6" s="1"/>
  <c r="E63" i="18"/>
  <c r="D63" i="19"/>
  <c r="O63" s="1"/>
  <c r="I63" i="6" s="1"/>
  <c r="I63" i="18"/>
  <c r="H63" i="19"/>
  <c r="S63" s="1"/>
  <c r="M63" i="6" s="1"/>
  <c r="M63" i="18"/>
  <c r="L63" i="19"/>
  <c r="W63" s="1"/>
  <c r="Q63" i="6" s="1"/>
  <c r="G31" i="18"/>
  <c r="F31" i="19"/>
  <c r="Q31" s="1"/>
  <c r="K31" i="6" s="1"/>
  <c r="K31" i="18"/>
  <c r="J31" i="19"/>
  <c r="U31" s="1"/>
  <c r="O31" i="6" s="1"/>
  <c r="F18" i="18"/>
  <c r="E18" i="19"/>
  <c r="P18" s="1"/>
  <c r="J18" i="6" s="1"/>
  <c r="J18" i="18"/>
  <c r="I18" i="19"/>
  <c r="T18" s="1"/>
  <c r="N18" i="6" s="1"/>
  <c r="E59" i="18"/>
  <c r="D59" i="19"/>
  <c r="O59" s="1"/>
  <c r="I59" i="6" s="1"/>
  <c r="I59" i="18"/>
  <c r="H59" i="19"/>
  <c r="S59" s="1"/>
  <c r="M59" i="6" s="1"/>
  <c r="D25" i="18"/>
  <c r="C25" i="19"/>
  <c r="N25" s="1"/>
  <c r="H25" i="6" s="1"/>
  <c r="G27" i="18"/>
  <c r="F27" i="19"/>
  <c r="Q27" s="1"/>
  <c r="K27" i="6" s="1"/>
  <c r="K27" i="18"/>
  <c r="J27" i="19"/>
  <c r="U27" s="1"/>
  <c r="O27" i="6" s="1"/>
  <c r="F28" i="18"/>
  <c r="E28" i="19"/>
  <c r="P28" s="1"/>
  <c r="J28" i="6" s="1"/>
  <c r="J28" i="18"/>
  <c r="I28" i="19"/>
  <c r="T28" s="1"/>
  <c r="N28" i="6" s="1"/>
  <c r="E61" i="18"/>
  <c r="D61" i="19"/>
  <c r="O61" s="1"/>
  <c r="I61" i="6" s="1"/>
  <c r="I61" i="18"/>
  <c r="H61" i="19"/>
  <c r="S61" s="1"/>
  <c r="M61" i="6" s="1"/>
  <c r="H68" i="18"/>
  <c r="G68" i="19"/>
  <c r="R68" s="1"/>
  <c r="L68" i="6" s="1"/>
  <c r="L68" i="18"/>
  <c r="K68" i="19"/>
  <c r="V68" s="1"/>
  <c r="P68" i="6" s="1"/>
  <c r="G30" i="18"/>
  <c r="F30" i="19"/>
  <c r="Q30" s="1"/>
  <c r="K30" i="6" s="1"/>
  <c r="F26" i="18"/>
  <c r="E26" i="19"/>
  <c r="P26" s="1"/>
  <c r="J26" i="6" s="1"/>
  <c r="E33" i="18"/>
  <c r="D33" i="19"/>
  <c r="O33" s="1"/>
  <c r="I33" i="6" s="1"/>
  <c r="I33" i="18"/>
  <c r="H33" i="19"/>
  <c r="S33" s="1"/>
  <c r="M33" i="6" s="1"/>
  <c r="M33" i="18"/>
  <c r="L33" i="19"/>
  <c r="W33" s="1"/>
  <c r="Q33" i="6" s="1"/>
  <c r="H34" i="18"/>
  <c r="G34" i="19"/>
  <c r="R34" s="1"/>
  <c r="L34" i="6" s="1"/>
  <c r="L34" i="18"/>
  <c r="K34" i="19"/>
  <c r="V34" s="1"/>
  <c r="P34" i="6" s="1"/>
  <c r="G32" i="18"/>
  <c r="F32" i="19"/>
  <c r="Q32" s="1"/>
  <c r="K32" i="6" s="1"/>
  <c r="K32" i="18"/>
  <c r="J32" i="19"/>
  <c r="U32" s="1"/>
  <c r="O32" i="6" s="1"/>
  <c r="E35" i="18"/>
  <c r="D35" i="19"/>
  <c r="O35" s="1"/>
  <c r="I35" i="6" s="1"/>
  <c r="I35" i="18"/>
  <c r="H35" i="19"/>
  <c r="S35" s="1"/>
  <c r="M35" i="6" s="1"/>
  <c r="M35" i="18"/>
  <c r="L35" i="19"/>
  <c r="W35" s="1"/>
  <c r="Q35" i="6" s="1"/>
  <c r="H62" i="18"/>
  <c r="G62" i="19"/>
  <c r="R62" s="1"/>
  <c r="L62" i="6" s="1"/>
  <c r="L62" i="18"/>
  <c r="K62" i="19"/>
  <c r="V62" s="1"/>
  <c r="P62" i="6" s="1"/>
  <c r="F36" i="18"/>
  <c r="E36" i="19"/>
  <c r="P36" s="1"/>
  <c r="J36" i="6" s="1"/>
  <c r="J36" i="18"/>
  <c r="I36" i="19"/>
  <c r="T36" s="1"/>
  <c r="N36" i="6" s="1"/>
  <c r="N36" i="18"/>
  <c r="M36" i="19"/>
  <c r="X36" s="1"/>
  <c r="R36" i="6" s="1"/>
  <c r="H37" i="18"/>
  <c r="G37" i="19"/>
  <c r="R37" s="1"/>
  <c r="L37" i="6" s="1"/>
  <c r="L37" i="18"/>
  <c r="K37" i="19"/>
  <c r="V37" s="1"/>
  <c r="P37" i="6" s="1"/>
  <c r="G65" i="18"/>
  <c r="F65" i="19"/>
  <c r="Q65" s="1"/>
  <c r="K65" i="6" s="1"/>
  <c r="K65" i="18"/>
  <c r="J65" i="19"/>
  <c r="U65" s="1"/>
  <c r="O65" i="6" s="1"/>
  <c r="F38" i="18"/>
  <c r="E38" i="19"/>
  <c r="P38" s="1"/>
  <c r="J38" i="6" s="1"/>
  <c r="E39" i="18"/>
  <c r="D39" i="19"/>
  <c r="O39" s="1"/>
  <c r="I39" i="6" s="1"/>
  <c r="I39" i="18"/>
  <c r="H39" i="19"/>
  <c r="S39" s="1"/>
  <c r="M39" i="6" s="1"/>
  <c r="M39" i="18"/>
  <c r="L39" i="19"/>
  <c r="W39" s="1"/>
  <c r="Q39" i="6" s="1"/>
  <c r="H40" i="18"/>
  <c r="G40" i="19"/>
  <c r="R40" s="1"/>
  <c r="L40" i="6" s="1"/>
  <c r="G41" i="18"/>
  <c r="F41" i="19"/>
  <c r="Q41" s="1"/>
  <c r="K41" i="6" s="1"/>
  <c r="K41" i="18"/>
  <c r="J41" i="19"/>
  <c r="U41" s="1"/>
  <c r="O41" i="6" s="1"/>
  <c r="F42" i="18"/>
  <c r="E42" i="19"/>
  <c r="P42" s="1"/>
  <c r="J42" i="6" s="1"/>
  <c r="J42" i="18"/>
  <c r="I42" i="19"/>
  <c r="T42" s="1"/>
  <c r="N42" i="6" s="1"/>
  <c r="E43" i="18"/>
  <c r="D43" i="19"/>
  <c r="O43" s="1"/>
  <c r="I43" i="6" s="1"/>
  <c r="I43" i="18"/>
  <c r="H43" i="19"/>
  <c r="S43" s="1"/>
  <c r="M43" i="6" s="1"/>
  <c r="M43" i="18"/>
  <c r="L43" i="19"/>
  <c r="W43" s="1"/>
  <c r="Q43" i="6" s="1"/>
  <c r="H44" i="18"/>
  <c r="G44" i="19"/>
  <c r="R44" s="1"/>
  <c r="L44" i="6" s="1"/>
  <c r="L44" i="18"/>
  <c r="K44" i="19"/>
  <c r="V44" s="1"/>
  <c r="P44" i="6" s="1"/>
  <c r="G45" i="18"/>
  <c r="F45" i="19"/>
  <c r="Q45" s="1"/>
  <c r="K45" i="6" s="1"/>
  <c r="K45" i="18"/>
  <c r="J45" i="19"/>
  <c r="U45" s="1"/>
  <c r="O45" i="6" s="1"/>
  <c r="F46" i="18"/>
  <c r="E46" i="19"/>
  <c r="P46" s="1"/>
  <c r="J46" i="6" s="1"/>
  <c r="E47" i="18"/>
  <c r="D47" i="19"/>
  <c r="O47" s="1"/>
  <c r="I47" i="6" s="1"/>
  <c r="I47" i="18"/>
  <c r="H47" i="19"/>
  <c r="S47" s="1"/>
  <c r="M47" i="6" s="1"/>
  <c r="H48" i="18"/>
  <c r="G48" i="19"/>
  <c r="R48" s="1"/>
  <c r="L48" i="6" s="1"/>
  <c r="L48" i="18"/>
  <c r="K48" i="19"/>
  <c r="V48" s="1"/>
  <c r="P48" i="6" s="1"/>
  <c r="F51" i="18"/>
  <c r="E51" i="19"/>
  <c r="P51" s="1"/>
  <c r="J51" i="6" s="1"/>
  <c r="J51" i="18"/>
  <c r="I51" i="19"/>
  <c r="T51" s="1"/>
  <c r="N51" i="6" s="1"/>
  <c r="N51" i="18"/>
  <c r="M51" i="19"/>
  <c r="X51" s="1"/>
  <c r="R51" i="6" s="1"/>
  <c r="G52" i="18"/>
  <c r="F52" i="19"/>
  <c r="Q52" s="1"/>
  <c r="K52" i="6" s="1"/>
  <c r="F53" i="18"/>
  <c r="E53" i="19"/>
  <c r="P53" s="1"/>
  <c r="J53" i="6" s="1"/>
  <c r="J53" i="18"/>
  <c r="I53" i="19"/>
  <c r="T53" s="1"/>
  <c r="N53" i="6" s="1"/>
  <c r="N53" i="18"/>
  <c r="M53" i="19"/>
  <c r="X53" s="1"/>
  <c r="R53" i="6" s="1"/>
  <c r="E4" i="18"/>
  <c r="D4" i="19"/>
  <c r="O4" s="1"/>
  <c r="I4" i="6" s="1"/>
  <c r="I4" i="18"/>
  <c r="H4" i="19"/>
  <c r="S4" s="1"/>
  <c r="M4" i="6" s="1"/>
  <c r="M4" i="18"/>
  <c r="L4" i="19"/>
  <c r="W4" s="1"/>
  <c r="Q4" i="6" s="1"/>
  <c r="H5" i="18"/>
  <c r="G5" i="19"/>
  <c r="R5" s="1"/>
  <c r="L5" i="6" s="1"/>
  <c r="L5" i="18"/>
  <c r="K5" i="19"/>
  <c r="V5" s="1"/>
  <c r="P5" i="6" s="1"/>
  <c r="G6" i="18"/>
  <c r="F6" i="19"/>
  <c r="Q6" s="1"/>
  <c r="K6" i="6" s="1"/>
  <c r="K6" i="18"/>
  <c r="J6" i="19"/>
  <c r="U6" s="1"/>
  <c r="O6" i="6" s="1"/>
  <c r="F7" i="18"/>
  <c r="E7" i="19"/>
  <c r="P7" s="1"/>
  <c r="J7" i="6" s="1"/>
  <c r="J7" i="18"/>
  <c r="I7" i="19"/>
  <c r="T7" s="1"/>
  <c r="N7" i="6" s="1"/>
  <c r="E60" i="18"/>
  <c r="D60" i="19"/>
  <c r="O60" s="1"/>
  <c r="I60" i="6" s="1"/>
  <c r="I60" i="18"/>
  <c r="H60" i="19"/>
  <c r="S60" s="1"/>
  <c r="M60" i="6" s="1"/>
  <c r="M60" i="18"/>
  <c r="L60" i="19"/>
  <c r="W60" s="1"/>
  <c r="Q60" i="6" s="1"/>
  <c r="H8" i="18"/>
  <c r="G8" i="19"/>
  <c r="R8" s="1"/>
  <c r="L8" i="6" s="1"/>
  <c r="L8" i="18"/>
  <c r="K8" i="19"/>
  <c r="V8" s="1"/>
  <c r="P8" i="6" s="1"/>
  <c r="G9" i="18"/>
  <c r="F9" i="19"/>
  <c r="Q9" s="1"/>
  <c r="K9" i="6" s="1"/>
  <c r="K9" i="18"/>
  <c r="J9" i="19"/>
  <c r="U9" s="1"/>
  <c r="O9" i="6" s="1"/>
  <c r="F10" i="18"/>
  <c r="E10" i="19"/>
  <c r="P10" s="1"/>
  <c r="J10" i="6" s="1"/>
  <c r="J10" i="18"/>
  <c r="I10" i="19"/>
  <c r="T10" s="1"/>
  <c r="N10" i="6" s="1"/>
  <c r="N10" i="18"/>
  <c r="M10" i="19"/>
  <c r="X10" s="1"/>
  <c r="R10" i="6" s="1"/>
  <c r="E54" i="18"/>
  <c r="D54" i="19"/>
  <c r="O54" s="1"/>
  <c r="I54" i="6" s="1"/>
  <c r="I54" i="18"/>
  <c r="H54" i="19"/>
  <c r="S54" s="1"/>
  <c r="M54" i="6" s="1"/>
  <c r="M54" i="18"/>
  <c r="L54" i="19"/>
  <c r="W54" s="1"/>
  <c r="Q54" i="6" s="1"/>
  <c r="H12" i="18"/>
  <c r="G12" i="19"/>
  <c r="R12" s="1"/>
  <c r="L12" i="6" s="1"/>
  <c r="L12" i="18"/>
  <c r="K12" i="19"/>
  <c r="V12" s="1"/>
  <c r="P12" i="6" s="1"/>
  <c r="G13" i="18"/>
  <c r="F13" i="19"/>
  <c r="Q13" s="1"/>
  <c r="K13" i="6" s="1"/>
  <c r="K13" i="18"/>
  <c r="J13" i="19"/>
  <c r="U13" s="1"/>
  <c r="O13" i="6" s="1"/>
  <c r="F14" i="18"/>
  <c r="E14" i="19"/>
  <c r="P14" s="1"/>
  <c r="J14" i="6" s="1"/>
  <c r="J14" i="18"/>
  <c r="I14" i="19"/>
  <c r="T14" s="1"/>
  <c r="N14" i="6" s="1"/>
  <c r="N14" i="18"/>
  <c r="M14" i="19"/>
  <c r="X14" s="1"/>
  <c r="R14" i="6" s="1"/>
  <c r="E15" i="18"/>
  <c r="D15" i="19"/>
  <c r="O15" s="1"/>
  <c r="I15" i="6" s="1"/>
  <c r="I15" i="18"/>
  <c r="H15" i="19"/>
  <c r="S15" s="1"/>
  <c r="M15" i="6" s="1"/>
  <c r="M15" i="18"/>
  <c r="L15" i="19"/>
  <c r="W15" s="1"/>
  <c r="Q15" i="6" s="1"/>
  <c r="H16" i="18"/>
  <c r="G16" i="19"/>
  <c r="R16" s="1"/>
  <c r="L16" i="6" s="1"/>
  <c r="L16" i="18"/>
  <c r="K16" i="19"/>
  <c r="V16" s="1"/>
  <c r="P16" i="6" s="1"/>
  <c r="G17" i="18"/>
  <c r="F17" i="19"/>
  <c r="Q17" s="1"/>
  <c r="K17" i="6" s="1"/>
  <c r="K17" i="18"/>
  <c r="J17" i="19"/>
  <c r="U17" s="1"/>
  <c r="O17" i="6" s="1"/>
  <c r="F64" i="18"/>
  <c r="E64" i="19"/>
  <c r="P64" s="1"/>
  <c r="J64" i="6" s="1"/>
  <c r="J64" i="18"/>
  <c r="I64" i="19"/>
  <c r="T64" s="1"/>
  <c r="N64" i="6" s="1"/>
  <c r="N64" i="18"/>
  <c r="M64" i="19"/>
  <c r="X64" s="1"/>
  <c r="R64" i="6" s="1"/>
  <c r="E19" i="18"/>
  <c r="D19" i="19"/>
  <c r="O19" s="1"/>
  <c r="I19" i="6" s="1"/>
  <c r="I19" i="18"/>
  <c r="H19" i="19"/>
  <c r="S19" s="1"/>
  <c r="M19" i="6" s="1"/>
  <c r="M19" i="18"/>
  <c r="L19" i="19"/>
  <c r="W19" s="1"/>
  <c r="Q19" i="6" s="1"/>
  <c r="H66" i="18"/>
  <c r="G66" i="19"/>
  <c r="R66" s="1"/>
  <c r="L66" i="6" s="1"/>
  <c r="G20" i="18"/>
  <c r="F20" i="19"/>
  <c r="Q20" s="1"/>
  <c r="K20" i="6" s="1"/>
  <c r="K20" i="18"/>
  <c r="J20" i="19"/>
  <c r="U20" s="1"/>
  <c r="O20" i="6" s="1"/>
  <c r="F21" i="18"/>
  <c r="E21" i="19"/>
  <c r="P21" s="1"/>
  <c r="J21" i="6" s="1"/>
  <c r="J21" i="18"/>
  <c r="I21" i="19"/>
  <c r="T21" s="1"/>
  <c r="N21" i="6" s="1"/>
  <c r="N21" i="18"/>
  <c r="M21" i="19"/>
  <c r="X21" s="1"/>
  <c r="R21" i="6" s="1"/>
  <c r="E22" i="18"/>
  <c r="D22" i="19"/>
  <c r="O22" s="1"/>
  <c r="I22" i="6" s="1"/>
  <c r="I22" i="18"/>
  <c r="H22" i="19"/>
  <c r="S22" s="1"/>
  <c r="M22" i="6" s="1"/>
  <c r="M22" i="18"/>
  <c r="L22" i="19"/>
  <c r="W22" s="1"/>
  <c r="Q22" i="6" s="1"/>
  <c r="H67" i="18"/>
  <c r="G67" i="19"/>
  <c r="R67" s="1"/>
  <c r="L67" i="6" s="1"/>
  <c r="L67" i="18"/>
  <c r="K67" i="19"/>
  <c r="V67" s="1"/>
  <c r="P67" i="6" s="1"/>
  <c r="G57" i="18"/>
  <c r="F57" i="19"/>
  <c r="Q57" s="1"/>
  <c r="K57" i="6" s="1"/>
  <c r="K57" i="18"/>
  <c r="J57" i="19"/>
  <c r="U57" s="1"/>
  <c r="O57" i="6" s="1"/>
  <c r="F23" i="18"/>
  <c r="E23" i="19"/>
  <c r="P23" s="1"/>
  <c r="J23" i="6" s="1"/>
  <c r="J23" i="18"/>
  <c r="I23" i="19"/>
  <c r="T23" s="1"/>
  <c r="N23" i="6" s="1"/>
  <c r="E24" i="18"/>
  <c r="D24" i="19"/>
  <c r="O24" s="1"/>
  <c r="I24" i="6" s="1"/>
  <c r="I24" i="18"/>
  <c r="H24" i="19"/>
  <c r="S24" s="1"/>
  <c r="M24" i="6" s="1"/>
  <c r="H58" i="18"/>
  <c r="G58" i="19"/>
  <c r="R58" s="1"/>
  <c r="L58" i="6" s="1"/>
  <c r="G50" i="18"/>
  <c r="F50" i="19"/>
  <c r="Q50" s="1"/>
  <c r="K50" i="6" s="1"/>
  <c r="F63" i="18"/>
  <c r="E63" i="19"/>
  <c r="P63" s="1"/>
  <c r="J63" i="6" s="1"/>
  <c r="J63" i="18"/>
  <c r="I63" i="19"/>
  <c r="T63" s="1"/>
  <c r="N63" i="6" s="1"/>
  <c r="N63" i="18"/>
  <c r="M63" i="19"/>
  <c r="X63" s="1"/>
  <c r="R63" i="6" s="1"/>
  <c r="E55" i="18"/>
  <c r="D55" i="19"/>
  <c r="O55" s="1"/>
  <c r="I55" i="6" s="1"/>
  <c r="H31" i="18"/>
  <c r="G31" i="19"/>
  <c r="R31" s="1"/>
  <c r="L31" i="6" s="1"/>
  <c r="G18" i="18"/>
  <c r="F18" i="19"/>
  <c r="Q18" s="1"/>
  <c r="K18" i="6" s="1"/>
  <c r="F59" i="18"/>
  <c r="E59" i="19"/>
  <c r="P59" s="1"/>
  <c r="J59" i="6" s="1"/>
  <c r="J59" i="18"/>
  <c r="I59" i="19"/>
  <c r="T59" s="1"/>
  <c r="N59" i="6" s="1"/>
  <c r="H27" i="18"/>
  <c r="G27" i="19"/>
  <c r="R27" s="1"/>
  <c r="L27" i="6" s="1"/>
  <c r="L27" i="18"/>
  <c r="K27" i="19"/>
  <c r="V27" s="1"/>
  <c r="P27" i="6" s="1"/>
  <c r="G28" i="18"/>
  <c r="F28" i="19"/>
  <c r="Q28" s="1"/>
  <c r="K28" i="6" s="1"/>
  <c r="K28" i="18"/>
  <c r="J28" i="19"/>
  <c r="U28" s="1"/>
  <c r="O28" i="6" s="1"/>
  <c r="F61" i="18"/>
  <c r="E61" i="19"/>
  <c r="P61" s="1"/>
  <c r="J61" i="6" s="1"/>
  <c r="J61" i="18"/>
  <c r="I61" i="19"/>
  <c r="T61" s="1"/>
  <c r="N61" i="6" s="1"/>
  <c r="E68" i="18"/>
  <c r="D68" i="19"/>
  <c r="O68" s="1"/>
  <c r="I68" i="6" s="1"/>
  <c r="I68" i="18"/>
  <c r="H68" i="19"/>
  <c r="S68" s="1"/>
  <c r="M68" i="6" s="1"/>
  <c r="M68" i="18"/>
  <c r="L68" i="19"/>
  <c r="W68" s="1"/>
  <c r="Q68" i="6" s="1"/>
  <c r="H30" i="18"/>
  <c r="G30" i="19"/>
  <c r="R30" s="1"/>
  <c r="L30" i="6" s="1"/>
  <c r="G26" i="18"/>
  <c r="F26" i="19"/>
  <c r="Q26" s="1"/>
  <c r="K26" i="6" s="1"/>
  <c r="F33" i="18"/>
  <c r="E33" i="19"/>
  <c r="P33" s="1"/>
  <c r="J33" i="6" s="1"/>
  <c r="J33" i="18"/>
  <c r="I33" i="19"/>
  <c r="T33" s="1"/>
  <c r="N33" i="6" s="1"/>
  <c r="N33" i="18"/>
  <c r="M33" i="19"/>
  <c r="X33" s="1"/>
  <c r="R33" i="6" s="1"/>
  <c r="E34" i="18"/>
  <c r="D34" i="19"/>
  <c r="O34" s="1"/>
  <c r="I34" i="6" s="1"/>
  <c r="I34" i="18"/>
  <c r="H34" i="19"/>
  <c r="S34" s="1"/>
  <c r="M34" i="6" s="1"/>
  <c r="M34" i="18"/>
  <c r="L34" i="19"/>
  <c r="W34" s="1"/>
  <c r="Q34" i="6" s="1"/>
  <c r="H32" i="18"/>
  <c r="G32" i="19"/>
  <c r="R32" s="1"/>
  <c r="L32" i="6" s="1"/>
  <c r="L32" i="18"/>
  <c r="K32" i="19"/>
  <c r="V32" s="1"/>
  <c r="P32" i="6" s="1"/>
  <c r="F35" i="18"/>
  <c r="E35" i="19"/>
  <c r="P35" s="1"/>
  <c r="J35" i="6" s="1"/>
  <c r="J35" i="18"/>
  <c r="I35" i="19"/>
  <c r="T35" s="1"/>
  <c r="N35" i="6" s="1"/>
  <c r="N35" i="18"/>
  <c r="M35" i="19"/>
  <c r="X35" s="1"/>
  <c r="R35" i="6" s="1"/>
  <c r="E62" i="18"/>
  <c r="D62" i="19"/>
  <c r="O62" s="1"/>
  <c r="I62" i="6" s="1"/>
  <c r="I62" i="18"/>
  <c r="H62" i="19"/>
  <c r="S62" s="1"/>
  <c r="M62" i="6" s="1"/>
  <c r="M62" i="18"/>
  <c r="L62" i="19"/>
  <c r="W62" s="1"/>
  <c r="Q62" i="6" s="1"/>
  <c r="G36" i="18"/>
  <c r="F36" i="19"/>
  <c r="Q36" s="1"/>
  <c r="K36" i="6" s="1"/>
  <c r="K36" i="18"/>
  <c r="J36" i="19"/>
  <c r="U36" s="1"/>
  <c r="O36" i="6" s="1"/>
  <c r="E37" i="18"/>
  <c r="D37" i="19"/>
  <c r="O37" s="1"/>
  <c r="I37" i="6" s="1"/>
  <c r="I37" i="18"/>
  <c r="H37" i="19"/>
  <c r="S37" s="1"/>
  <c r="M37" i="6" s="1"/>
  <c r="M37" i="18"/>
  <c r="L37" i="19"/>
  <c r="W37" s="1"/>
  <c r="Q37" i="6" s="1"/>
  <c r="H65" i="18"/>
  <c r="G65" i="19"/>
  <c r="R65" s="1"/>
  <c r="L65" i="6" s="1"/>
  <c r="L65" i="18"/>
  <c r="K65" i="19"/>
  <c r="V65" s="1"/>
  <c r="P65" i="6" s="1"/>
  <c r="F39" i="18"/>
  <c r="E39" i="19"/>
  <c r="P39" s="1"/>
  <c r="J39" i="6" s="1"/>
  <c r="J39" i="18"/>
  <c r="I39" i="19"/>
  <c r="T39" s="1"/>
  <c r="N39" i="6" s="1"/>
  <c r="N39" i="18"/>
  <c r="M39" i="19"/>
  <c r="X39" s="1"/>
  <c r="R39" i="6" s="1"/>
  <c r="E40" i="18"/>
  <c r="D40" i="19"/>
  <c r="O40" s="1"/>
  <c r="I40" i="6" s="1"/>
  <c r="I40" i="18"/>
  <c r="H40" i="19"/>
  <c r="S40" s="1"/>
  <c r="M40" i="6" s="1"/>
  <c r="H41" i="18"/>
  <c r="G41" i="19"/>
  <c r="R41" s="1"/>
  <c r="L41" i="6" s="1"/>
  <c r="L41" i="18"/>
  <c r="K41" i="19"/>
  <c r="V41" s="1"/>
  <c r="P41" i="6" s="1"/>
  <c r="G42" i="18"/>
  <c r="F42" i="19"/>
  <c r="Q42" s="1"/>
  <c r="K42" i="6" s="1"/>
  <c r="K42" i="18"/>
  <c r="J42" i="19"/>
  <c r="U42" s="1"/>
  <c r="O42" i="6" s="1"/>
  <c r="F43" i="18"/>
  <c r="E43" i="19"/>
  <c r="P43" s="1"/>
  <c r="J43" i="6" s="1"/>
  <c r="J43" i="18"/>
  <c r="I43" i="19"/>
  <c r="T43" s="1"/>
  <c r="N43" i="6" s="1"/>
  <c r="N43" i="18"/>
  <c r="M43" i="19"/>
  <c r="X43" s="1"/>
  <c r="R43" i="6" s="1"/>
  <c r="E44" i="18"/>
  <c r="D44" i="19"/>
  <c r="O44" s="1"/>
  <c r="I44" i="6" s="1"/>
  <c r="I44" i="18"/>
  <c r="H44" i="19"/>
  <c r="S44" s="1"/>
  <c r="M44" i="6" s="1"/>
  <c r="M44" i="18"/>
  <c r="L44" i="19"/>
  <c r="W44" s="1"/>
  <c r="Q44" i="6" s="1"/>
  <c r="H45" i="18"/>
  <c r="G45" i="19"/>
  <c r="R45" s="1"/>
  <c r="L45" i="6" s="1"/>
  <c r="L45" i="18"/>
  <c r="K45" i="19"/>
  <c r="V45" s="1"/>
  <c r="P45" i="6" s="1"/>
  <c r="G46" i="18"/>
  <c r="F46" i="19"/>
  <c r="Q46" s="1"/>
  <c r="K46" i="6" s="1"/>
  <c r="F47" i="18"/>
  <c r="E47" i="19"/>
  <c r="P47" s="1"/>
  <c r="J47" i="6" s="1"/>
  <c r="J47" i="18"/>
  <c r="I47" i="19"/>
  <c r="T47" s="1"/>
  <c r="N47" i="6" s="1"/>
  <c r="E48" i="18"/>
  <c r="D48" i="19"/>
  <c r="O48" s="1"/>
  <c r="I48" i="6" s="1"/>
  <c r="I48" i="18"/>
  <c r="H48" i="19"/>
  <c r="S48" s="1"/>
  <c r="M48" i="6" s="1"/>
  <c r="D49" i="18"/>
  <c r="P49" s="1"/>
  <c r="M5" i="1" s="1"/>
  <c r="C49" i="19"/>
  <c r="N49" s="1"/>
  <c r="H49" i="6" s="1"/>
  <c r="S49" s="1"/>
  <c r="BM5" i="1" s="1"/>
  <c r="G51" i="18"/>
  <c r="F51" i="19"/>
  <c r="Q51" s="1"/>
  <c r="K51" i="6" s="1"/>
  <c r="K51" i="18"/>
  <c r="J51" i="19"/>
  <c r="U51" s="1"/>
  <c r="O51" i="6" s="1"/>
  <c r="L9" i="16"/>
  <c r="L9" i="18"/>
  <c r="O59" i="16"/>
  <c r="O59" i="18"/>
  <c r="O59" i="2"/>
  <c r="L14" i="16"/>
  <c r="L14" i="18"/>
  <c r="N59" i="16"/>
  <c r="N59" i="18"/>
  <c r="N59" i="2"/>
  <c r="C4" i="18"/>
  <c r="C4" i="2"/>
  <c r="C60"/>
  <c r="C60" i="18"/>
  <c r="C7"/>
  <c r="C7" i="2"/>
  <c r="C5"/>
  <c r="C5" i="18"/>
  <c r="C8"/>
  <c r="C8" i="2"/>
  <c r="C6"/>
  <c r="C6" i="18"/>
  <c r="F52" i="16"/>
  <c r="F52" i="2"/>
  <c r="J52" i="16"/>
  <c r="J52" i="2"/>
  <c r="E53" i="16"/>
  <c r="E53" i="2"/>
  <c r="M53" i="16"/>
  <c r="M53" i="2"/>
  <c r="H4" i="16"/>
  <c r="H4" i="2"/>
  <c r="K5" i="16"/>
  <c r="K5" i="2"/>
  <c r="H52" i="16"/>
  <c r="H52" i="2"/>
  <c r="L52" i="16"/>
  <c r="L52" i="2"/>
  <c r="G53" i="16"/>
  <c r="G53" i="2"/>
  <c r="K53" i="16"/>
  <c r="K53" i="2"/>
  <c r="O53" i="16"/>
  <c r="O53" i="2"/>
  <c r="F4" i="16"/>
  <c r="F4" i="2"/>
  <c r="J4" i="16"/>
  <c r="J4" i="2"/>
  <c r="N4" i="16"/>
  <c r="N4" i="2"/>
  <c r="E5" i="16"/>
  <c r="E5" i="2"/>
  <c r="I5" i="16"/>
  <c r="I5" i="2"/>
  <c r="M5" i="16"/>
  <c r="M5" i="2"/>
  <c r="H6" i="16"/>
  <c r="H6" i="2"/>
  <c r="L6" i="16"/>
  <c r="L6" i="2"/>
  <c r="G7" i="16"/>
  <c r="G7" i="2"/>
  <c r="K7" i="16"/>
  <c r="K7" i="2"/>
  <c r="O7" i="16"/>
  <c r="O7" i="2"/>
  <c r="F60" i="16"/>
  <c r="F60" i="2"/>
  <c r="J60" i="16"/>
  <c r="J60" i="2"/>
  <c r="N60" i="16"/>
  <c r="N60" i="2"/>
  <c r="E8" i="16"/>
  <c r="E8" i="2"/>
  <c r="I8" i="16"/>
  <c r="I8" i="2"/>
  <c r="M8" i="16"/>
  <c r="M8" i="2"/>
  <c r="H9" i="16"/>
  <c r="H9" i="2"/>
  <c r="G10" i="16"/>
  <c r="G10" i="2"/>
  <c r="K10" i="16"/>
  <c r="K10" i="2"/>
  <c r="O10" i="16"/>
  <c r="O10" i="2"/>
  <c r="F54" i="16"/>
  <c r="F54" i="2"/>
  <c r="J54" i="16"/>
  <c r="J54" i="2"/>
  <c r="N54" i="16"/>
  <c r="N54" i="2"/>
  <c r="E12" i="16"/>
  <c r="E12" i="2"/>
  <c r="I12" i="16"/>
  <c r="I12" i="2"/>
  <c r="M12" i="16"/>
  <c r="M12" i="2"/>
  <c r="H13" i="16"/>
  <c r="H13" i="2"/>
  <c r="L13" i="16"/>
  <c r="L13" i="2"/>
  <c r="G14" i="16"/>
  <c r="G14" i="2"/>
  <c r="K14" i="16"/>
  <c r="K14" i="2"/>
  <c r="O14" i="16"/>
  <c r="O14" i="2"/>
  <c r="F15" i="16"/>
  <c r="F15" i="2"/>
  <c r="J15" i="16"/>
  <c r="J15" i="2"/>
  <c r="N15" i="16"/>
  <c r="N15" i="2"/>
  <c r="E16" i="16"/>
  <c r="E16" i="2"/>
  <c r="I16" i="16"/>
  <c r="I16" i="2"/>
  <c r="M16" i="16"/>
  <c r="M16" i="2"/>
  <c r="H17" i="16"/>
  <c r="H17" i="2"/>
  <c r="L17" i="16"/>
  <c r="L17" i="2"/>
  <c r="G64" i="16"/>
  <c r="G64" i="2"/>
  <c r="K64" i="16"/>
  <c r="K64" i="2"/>
  <c r="O64" i="16"/>
  <c r="O64" i="2"/>
  <c r="F19" i="16"/>
  <c r="F19" i="2"/>
  <c r="J19" i="16"/>
  <c r="J19" i="2"/>
  <c r="N19" i="16"/>
  <c r="N19" i="2"/>
  <c r="E66" i="16"/>
  <c r="E66" i="2"/>
  <c r="I66" i="16"/>
  <c r="I66" i="2"/>
  <c r="M66" i="16"/>
  <c r="M66" i="2"/>
  <c r="H20" i="16"/>
  <c r="H20" i="2"/>
  <c r="L20" i="16"/>
  <c r="L20" i="2"/>
  <c r="G21" i="16"/>
  <c r="G21" i="2"/>
  <c r="K21" i="16"/>
  <c r="K21" i="2"/>
  <c r="O21" i="16"/>
  <c r="O21" i="2"/>
  <c r="F22" i="16"/>
  <c r="F22" i="2"/>
  <c r="J22" i="16"/>
  <c r="J22" i="2"/>
  <c r="N22" i="16"/>
  <c r="N22" i="2"/>
  <c r="E67" i="16"/>
  <c r="E67" i="2"/>
  <c r="I67" i="16"/>
  <c r="I67" i="2"/>
  <c r="M67" i="16"/>
  <c r="M67" i="2"/>
  <c r="H57" i="16"/>
  <c r="H57" i="2"/>
  <c r="L57" i="16"/>
  <c r="L57" i="2"/>
  <c r="G23" i="16"/>
  <c r="G23" i="2"/>
  <c r="K23" i="16"/>
  <c r="K23" i="2"/>
  <c r="F24" i="16"/>
  <c r="F24" i="2"/>
  <c r="J24" i="16"/>
  <c r="J24" i="2"/>
  <c r="E58" i="16"/>
  <c r="E58" i="2"/>
  <c r="I58" i="16"/>
  <c r="I58" i="2"/>
  <c r="M58" i="16"/>
  <c r="M58" i="2"/>
  <c r="H50" i="16"/>
  <c r="H50" i="2"/>
  <c r="L50" i="16"/>
  <c r="L50" i="2"/>
  <c r="G63" i="16"/>
  <c r="G63" i="2"/>
  <c r="K63" i="16"/>
  <c r="K63" i="2"/>
  <c r="O63" i="16"/>
  <c r="O63" i="2"/>
  <c r="F55" i="16"/>
  <c r="F55" i="2"/>
  <c r="J55" i="16"/>
  <c r="J55" i="2"/>
  <c r="N55" i="16"/>
  <c r="N55" i="2"/>
  <c r="E31" i="16"/>
  <c r="E31" i="2"/>
  <c r="I31" i="16"/>
  <c r="I31" i="2"/>
  <c r="M31" i="16"/>
  <c r="M31" i="2"/>
  <c r="H18" i="16"/>
  <c r="H18" i="2"/>
  <c r="L18" i="16"/>
  <c r="L18" i="2"/>
  <c r="G59" i="16"/>
  <c r="G59" i="2"/>
  <c r="K59" i="16"/>
  <c r="K59" i="2"/>
  <c r="F25" i="16"/>
  <c r="F25" i="2"/>
  <c r="J25" i="16"/>
  <c r="J25" i="2"/>
  <c r="E27" i="16"/>
  <c r="E27" i="2"/>
  <c r="I27" i="16"/>
  <c r="I27" i="2"/>
  <c r="M27" i="16"/>
  <c r="M27" i="2"/>
  <c r="H28" i="16"/>
  <c r="H28" i="2"/>
  <c r="L28" i="16"/>
  <c r="L28" i="2"/>
  <c r="G61" i="16"/>
  <c r="G61" i="2"/>
  <c r="K61" i="16"/>
  <c r="K61" i="2"/>
  <c r="O61" i="16"/>
  <c r="O61" i="2"/>
  <c r="F68" i="16"/>
  <c r="F68" i="2"/>
  <c r="J68" i="16"/>
  <c r="J68" i="2"/>
  <c r="N68" i="16"/>
  <c r="N68" i="2"/>
  <c r="E30" i="16"/>
  <c r="E30" i="2"/>
  <c r="I30" i="16"/>
  <c r="I30" i="2"/>
  <c r="M30" i="16"/>
  <c r="M30" i="2"/>
  <c r="H26" i="16"/>
  <c r="H26" i="2"/>
  <c r="L26" i="16"/>
  <c r="L26" i="2"/>
  <c r="G33" i="16"/>
  <c r="G33" i="2"/>
  <c r="K33" i="16"/>
  <c r="K33" i="2"/>
  <c r="O33" i="16"/>
  <c r="O33" i="2"/>
  <c r="F34" i="16"/>
  <c r="F34" i="2"/>
  <c r="J34" i="16"/>
  <c r="J34" i="2"/>
  <c r="N34" i="16"/>
  <c r="N34" i="2"/>
  <c r="E32" i="16"/>
  <c r="E32" i="2"/>
  <c r="I32" i="16"/>
  <c r="I32" i="2"/>
  <c r="M32" i="16"/>
  <c r="M32" i="2"/>
  <c r="G35" i="16"/>
  <c r="G35" i="2"/>
  <c r="K35" i="16"/>
  <c r="K35" i="2"/>
  <c r="O35" i="16"/>
  <c r="O35" i="2"/>
  <c r="F62" i="16"/>
  <c r="F62" i="2"/>
  <c r="J62" i="16"/>
  <c r="J62" i="2"/>
  <c r="N62" i="16"/>
  <c r="N62" i="2"/>
  <c r="H36" i="16"/>
  <c r="H36" i="2"/>
  <c r="L36" i="16"/>
  <c r="L36" i="2"/>
  <c r="F37" i="16"/>
  <c r="F37" i="2"/>
  <c r="J37" i="16"/>
  <c r="J37" i="2"/>
  <c r="N37" i="16"/>
  <c r="N37" i="2"/>
  <c r="E65" i="16"/>
  <c r="E65" i="2"/>
  <c r="I65" i="16"/>
  <c r="I65" i="2"/>
  <c r="M65" i="16"/>
  <c r="M65" i="2"/>
  <c r="H38" i="16"/>
  <c r="H38" i="2"/>
  <c r="L38" i="16"/>
  <c r="L38" i="2"/>
  <c r="G39" i="16"/>
  <c r="G39" i="2"/>
  <c r="K39" i="16"/>
  <c r="K39" i="2"/>
  <c r="O39" i="16"/>
  <c r="O39" i="2"/>
  <c r="F40" i="16"/>
  <c r="F40" i="2"/>
  <c r="J40" i="16"/>
  <c r="J40" i="2"/>
  <c r="N40" i="16"/>
  <c r="N40" i="2"/>
  <c r="E41" i="16"/>
  <c r="E41" i="2"/>
  <c r="I41" i="16"/>
  <c r="I41" i="2"/>
  <c r="M41" i="16"/>
  <c r="M41" i="2"/>
  <c r="H42" i="16"/>
  <c r="H42" i="2"/>
  <c r="L42" i="16"/>
  <c r="L42" i="2"/>
  <c r="G43" i="16"/>
  <c r="G43" i="2"/>
  <c r="K43" i="16"/>
  <c r="K43" i="2"/>
  <c r="O43" i="16"/>
  <c r="O43" i="2"/>
  <c r="F44" i="16"/>
  <c r="F44" i="2"/>
  <c r="J44" i="16"/>
  <c r="J44" i="2"/>
  <c r="N44" i="16"/>
  <c r="N44" i="2"/>
  <c r="E45" i="16"/>
  <c r="E45" i="2"/>
  <c r="I45" i="16"/>
  <c r="I45" i="2"/>
  <c r="M45" i="16"/>
  <c r="M45" i="2"/>
  <c r="H46" i="16"/>
  <c r="H46" i="2"/>
  <c r="L46" i="16"/>
  <c r="L46" i="2"/>
  <c r="G47" i="16"/>
  <c r="G47" i="2"/>
  <c r="K47" i="16"/>
  <c r="K47" i="2"/>
  <c r="F48" i="16"/>
  <c r="F48" i="2"/>
  <c r="J48" i="16"/>
  <c r="J48" i="2"/>
  <c r="N48" i="16"/>
  <c r="N48" i="2"/>
  <c r="E49" i="16"/>
  <c r="E49" i="2"/>
  <c r="I49" i="16"/>
  <c r="I49" i="2"/>
  <c r="M49" i="16"/>
  <c r="M49" i="2"/>
  <c r="D51" i="16"/>
  <c r="D51" i="2"/>
  <c r="H51" i="16"/>
  <c r="H51" i="2"/>
  <c r="L51" i="16"/>
  <c r="L51" i="2"/>
  <c r="E52" i="16"/>
  <c r="E52" i="2"/>
  <c r="I52" i="16"/>
  <c r="I52" i="2"/>
  <c r="H53" i="16"/>
  <c r="H53" i="2"/>
  <c r="L53" i="16"/>
  <c r="L53" i="2"/>
  <c r="G4" i="16"/>
  <c r="G4" i="2"/>
  <c r="K4" i="16"/>
  <c r="K4" i="2"/>
  <c r="O4" i="16"/>
  <c r="O4" i="2"/>
  <c r="F5" i="16"/>
  <c r="F5" i="2"/>
  <c r="J5" i="16"/>
  <c r="J5" i="2"/>
  <c r="N5" i="16"/>
  <c r="N5" i="2"/>
  <c r="E6" i="16"/>
  <c r="E6" i="2"/>
  <c r="I6" i="16"/>
  <c r="I6" i="2"/>
  <c r="M6" i="16"/>
  <c r="M6" i="2"/>
  <c r="H7" i="16"/>
  <c r="H7" i="2"/>
  <c r="L7" i="16"/>
  <c r="L7" i="2"/>
  <c r="G60" i="16"/>
  <c r="G60" i="2"/>
  <c r="K60" i="16"/>
  <c r="K60" i="2"/>
  <c r="O60" i="16"/>
  <c r="O60" i="2"/>
  <c r="F8" i="16"/>
  <c r="F8" i="2"/>
  <c r="J8" i="16"/>
  <c r="J8" i="2"/>
  <c r="N8" i="16"/>
  <c r="N8" i="2"/>
  <c r="E9" i="16"/>
  <c r="E9" i="2"/>
  <c r="I9" i="16"/>
  <c r="I9" i="2"/>
  <c r="M9" i="16"/>
  <c r="M9" i="2"/>
  <c r="H10" i="16"/>
  <c r="H10" i="2"/>
  <c r="L10" i="16"/>
  <c r="L10" i="2"/>
  <c r="G54" i="16"/>
  <c r="G54" i="2"/>
  <c r="K54" i="16"/>
  <c r="K54" i="2"/>
  <c r="O54" i="16"/>
  <c r="O54" i="2"/>
  <c r="F12" i="16"/>
  <c r="F12" i="2"/>
  <c r="J12" i="16"/>
  <c r="J12" i="2"/>
  <c r="N12" i="16"/>
  <c r="N12" i="2"/>
  <c r="E13" i="16"/>
  <c r="E13" i="2"/>
  <c r="I13" i="16"/>
  <c r="I13" i="2"/>
  <c r="M13" i="16"/>
  <c r="M13" i="2"/>
  <c r="H14" i="16"/>
  <c r="H14" i="2"/>
  <c r="G15" i="16"/>
  <c r="G15" i="2"/>
  <c r="K15" i="16"/>
  <c r="K15" i="2"/>
  <c r="O15" i="16"/>
  <c r="O15" i="2"/>
  <c r="F16" i="16"/>
  <c r="F16" i="2"/>
  <c r="J16" i="16"/>
  <c r="J16" i="2"/>
  <c r="N16" i="16"/>
  <c r="N16" i="2"/>
  <c r="E17" i="16"/>
  <c r="E17" i="2"/>
  <c r="I17" i="16"/>
  <c r="I17" i="2"/>
  <c r="M17" i="16"/>
  <c r="M17" i="2"/>
  <c r="H64" i="16"/>
  <c r="H64" i="2"/>
  <c r="L64" i="16"/>
  <c r="L64" i="2"/>
  <c r="G19" i="16"/>
  <c r="G19" i="2"/>
  <c r="K19" i="16"/>
  <c r="K19" i="2"/>
  <c r="O19" i="16"/>
  <c r="O19" i="2"/>
  <c r="F66" i="16"/>
  <c r="F66" i="2"/>
  <c r="J66" i="16"/>
  <c r="J66" i="2"/>
  <c r="N66" i="16"/>
  <c r="N66" i="2"/>
  <c r="E20" i="16"/>
  <c r="E20" i="2"/>
  <c r="I20" i="16"/>
  <c r="I20" i="2"/>
  <c r="M20" i="16"/>
  <c r="M20" i="2"/>
  <c r="H21" i="16"/>
  <c r="H21" i="2"/>
  <c r="L21" i="16"/>
  <c r="L21" i="2"/>
  <c r="G22" i="16"/>
  <c r="G22" i="2"/>
  <c r="K22" i="16"/>
  <c r="K22" i="2"/>
  <c r="O22" i="16"/>
  <c r="O22" i="2"/>
  <c r="F67" i="16"/>
  <c r="F67" i="2"/>
  <c r="J67" i="16"/>
  <c r="J67" i="2"/>
  <c r="N67" i="16"/>
  <c r="N67" i="2"/>
  <c r="E57" i="16"/>
  <c r="E57" i="2"/>
  <c r="I57" i="16"/>
  <c r="I57" i="2"/>
  <c r="M57" i="16"/>
  <c r="M57" i="2"/>
  <c r="H23" i="16"/>
  <c r="H23" i="2"/>
  <c r="L23" i="16"/>
  <c r="L23" i="2"/>
  <c r="G24" i="16"/>
  <c r="G24" i="2"/>
  <c r="K24" i="16"/>
  <c r="K24" i="2"/>
  <c r="F58" i="16"/>
  <c r="F58" i="2"/>
  <c r="J58" i="16"/>
  <c r="J58" i="2"/>
  <c r="E50" i="16"/>
  <c r="E50" i="2"/>
  <c r="I50" i="16"/>
  <c r="I50" i="2"/>
  <c r="H63" i="16"/>
  <c r="H63" i="2"/>
  <c r="L63" i="16"/>
  <c r="L63" i="2"/>
  <c r="G55" i="16"/>
  <c r="G55" i="2"/>
  <c r="K55" i="16"/>
  <c r="K55" i="2"/>
  <c r="O55" i="16"/>
  <c r="O55" i="2"/>
  <c r="F31" i="16"/>
  <c r="F31" i="2"/>
  <c r="J31" i="16"/>
  <c r="J31" i="2"/>
  <c r="N31" i="16"/>
  <c r="N31" i="2"/>
  <c r="E18" i="16"/>
  <c r="E18" i="2"/>
  <c r="I18" i="16"/>
  <c r="I18" i="2"/>
  <c r="M18" i="16"/>
  <c r="M18" i="2"/>
  <c r="H59" i="16"/>
  <c r="H59" i="2"/>
  <c r="L59" i="16"/>
  <c r="L59" i="2"/>
  <c r="G25" i="16"/>
  <c r="G25" i="2"/>
  <c r="K25" i="16"/>
  <c r="K25" i="2"/>
  <c r="F27" i="16"/>
  <c r="F27" i="2"/>
  <c r="J27" i="16"/>
  <c r="J27" i="2"/>
  <c r="N27" i="16"/>
  <c r="N27" i="2"/>
  <c r="E28" i="16"/>
  <c r="E28" i="2"/>
  <c r="I28" i="16"/>
  <c r="I28" i="2"/>
  <c r="M28" i="16"/>
  <c r="M28" i="2"/>
  <c r="H61" i="16"/>
  <c r="H61" i="2"/>
  <c r="L61" i="16"/>
  <c r="L61" i="2"/>
  <c r="G68" i="16"/>
  <c r="G68" i="2"/>
  <c r="K68" i="16"/>
  <c r="K68" i="2"/>
  <c r="O68" i="16"/>
  <c r="O68" i="2"/>
  <c r="F30" i="16"/>
  <c r="F30" i="2"/>
  <c r="J30" i="16"/>
  <c r="J30" i="2"/>
  <c r="N30" i="16"/>
  <c r="N30" i="2"/>
  <c r="E26" i="16"/>
  <c r="E26" i="2"/>
  <c r="I26" i="16"/>
  <c r="I26" i="2"/>
  <c r="M26" i="16"/>
  <c r="M26" i="2"/>
  <c r="H33" i="16"/>
  <c r="H33" i="2"/>
  <c r="L33" i="16"/>
  <c r="L33" i="2"/>
  <c r="G34" i="16"/>
  <c r="G34" i="2"/>
  <c r="K34" i="16"/>
  <c r="K34" i="2"/>
  <c r="O34" i="16"/>
  <c r="O34" i="2"/>
  <c r="F32" i="16"/>
  <c r="F32" i="2"/>
  <c r="J32" i="16"/>
  <c r="J32" i="2"/>
  <c r="N32" i="16"/>
  <c r="N32" i="2"/>
  <c r="H35" i="16"/>
  <c r="H35" i="2"/>
  <c r="L35" i="16"/>
  <c r="L35" i="2"/>
  <c r="G62" i="16"/>
  <c r="G62" i="2"/>
  <c r="K62" i="16"/>
  <c r="K62" i="2"/>
  <c r="O62" i="16"/>
  <c r="O62" i="2"/>
  <c r="E36" i="16"/>
  <c r="E36" i="2"/>
  <c r="I36" i="16"/>
  <c r="I36" i="2"/>
  <c r="M36" i="16"/>
  <c r="M36" i="2"/>
  <c r="G37" i="16"/>
  <c r="G37" i="2"/>
  <c r="K37" i="16"/>
  <c r="K37" i="2"/>
  <c r="O37" i="16"/>
  <c r="O37" i="2"/>
  <c r="F65" i="16"/>
  <c r="F65" i="2"/>
  <c r="J65" i="16"/>
  <c r="J65" i="2"/>
  <c r="N65" i="16"/>
  <c r="N65" i="2"/>
  <c r="E38" i="16"/>
  <c r="E38" i="2"/>
  <c r="I38" i="16"/>
  <c r="I38" i="2"/>
  <c r="H39" i="16"/>
  <c r="H39" i="2"/>
  <c r="L39" i="16"/>
  <c r="L39" i="2"/>
  <c r="G40" i="16"/>
  <c r="G40" i="2"/>
  <c r="K40" i="16"/>
  <c r="K40" i="2"/>
  <c r="O40" i="16"/>
  <c r="O40" i="2"/>
  <c r="F41" i="16"/>
  <c r="F41" i="2"/>
  <c r="J41" i="16"/>
  <c r="J41" i="2"/>
  <c r="N41" i="16"/>
  <c r="N41" i="2"/>
  <c r="E42" i="16"/>
  <c r="E42" i="2"/>
  <c r="I42" i="16"/>
  <c r="I42" i="2"/>
  <c r="H43" i="16"/>
  <c r="H43" i="2"/>
  <c r="L43" i="16"/>
  <c r="L43" i="2"/>
  <c r="G44" i="16"/>
  <c r="G44" i="2"/>
  <c r="K44" i="16"/>
  <c r="K44" i="2"/>
  <c r="O44" i="16"/>
  <c r="O44" i="2"/>
  <c r="F45" i="16"/>
  <c r="F45" i="2"/>
  <c r="J45" i="16"/>
  <c r="J45" i="2"/>
  <c r="N45" i="16"/>
  <c r="N45" i="2"/>
  <c r="E46" i="16"/>
  <c r="E46" i="2"/>
  <c r="I46" i="16"/>
  <c r="I46" i="2"/>
  <c r="M46" i="16"/>
  <c r="M46" i="2"/>
  <c r="H47" i="16"/>
  <c r="H47" i="2"/>
  <c r="L47" i="16"/>
  <c r="L47" i="2"/>
  <c r="G48" i="16"/>
  <c r="G48" i="2"/>
  <c r="K48" i="16"/>
  <c r="K48" i="2"/>
  <c r="O48" i="16"/>
  <c r="O48" i="2"/>
  <c r="F49" i="16"/>
  <c r="F49" i="2"/>
  <c r="J49" i="16"/>
  <c r="J49" i="2"/>
  <c r="N49" i="16"/>
  <c r="N49" i="2"/>
  <c r="E51" i="16"/>
  <c r="E51" i="2"/>
  <c r="I51" i="16"/>
  <c r="I51" i="2"/>
  <c r="M51" i="16"/>
  <c r="M51" i="2"/>
  <c r="I53" i="16"/>
  <c r="I53" i="2"/>
  <c r="L4" i="16"/>
  <c r="L4" i="2"/>
  <c r="G5" i="16"/>
  <c r="G5" i="2"/>
  <c r="O5" i="16"/>
  <c r="O5" i="2"/>
  <c r="F6" i="16"/>
  <c r="F6" i="2"/>
  <c r="J6" i="16"/>
  <c r="J6" i="2"/>
  <c r="N6" i="16"/>
  <c r="N6" i="2"/>
  <c r="E7" i="16"/>
  <c r="E7" i="2"/>
  <c r="I7" i="16"/>
  <c r="I7" i="2"/>
  <c r="M7" i="16"/>
  <c r="M7" i="2"/>
  <c r="H60" i="16"/>
  <c r="H60" i="2"/>
  <c r="L60" i="16"/>
  <c r="L60" i="2"/>
  <c r="G8" i="16"/>
  <c r="G8" i="2"/>
  <c r="K8" i="16"/>
  <c r="K8" i="2"/>
  <c r="O8" i="16"/>
  <c r="O8" i="2"/>
  <c r="F9" i="16"/>
  <c r="F9" i="2"/>
  <c r="J9" i="16"/>
  <c r="J9" i="2"/>
  <c r="N9" i="16"/>
  <c r="N9" i="2"/>
  <c r="E10" i="16"/>
  <c r="E10" i="2"/>
  <c r="I10" i="16"/>
  <c r="I10" i="2"/>
  <c r="M10" i="16"/>
  <c r="M10" i="2"/>
  <c r="H54" i="16"/>
  <c r="H54" i="2"/>
  <c r="L54" i="16"/>
  <c r="L54" i="2"/>
  <c r="G12" i="16"/>
  <c r="G12" i="2"/>
  <c r="K12" i="16"/>
  <c r="K12" i="2"/>
  <c r="O12" i="16"/>
  <c r="O12" i="2"/>
  <c r="F13" i="16"/>
  <c r="F13" i="2"/>
  <c r="J13" i="16"/>
  <c r="J13" i="2"/>
  <c r="N13" i="16"/>
  <c r="N13" i="2"/>
  <c r="E14" i="16"/>
  <c r="E14" i="2"/>
  <c r="I14" i="16"/>
  <c r="I14" i="2"/>
  <c r="M14" i="16"/>
  <c r="M14" i="2"/>
  <c r="H15" i="16"/>
  <c r="H15" i="2"/>
  <c r="L15" i="16"/>
  <c r="L15" i="2"/>
  <c r="G16" i="16"/>
  <c r="G16" i="2"/>
  <c r="K16" i="16"/>
  <c r="K16" i="2"/>
  <c r="O16" i="16"/>
  <c r="O16" i="2"/>
  <c r="F17" i="16"/>
  <c r="F17" i="2"/>
  <c r="J17" i="16"/>
  <c r="J17" i="2"/>
  <c r="N17" i="16"/>
  <c r="N17" i="2"/>
  <c r="E64" i="16"/>
  <c r="E64" i="2"/>
  <c r="I64" i="16"/>
  <c r="I64" i="2"/>
  <c r="M64" i="16"/>
  <c r="M64" i="2"/>
  <c r="H19" i="16"/>
  <c r="H19" i="2"/>
  <c r="L19" i="16"/>
  <c r="L19" i="2"/>
  <c r="G66" i="16"/>
  <c r="G66" i="2"/>
  <c r="K66" i="16"/>
  <c r="K66" i="2"/>
  <c r="F20" i="16"/>
  <c r="F20" i="2"/>
  <c r="J20" i="16"/>
  <c r="J20" i="2"/>
  <c r="N20" i="16"/>
  <c r="N20" i="2"/>
  <c r="E21" i="16"/>
  <c r="E21" i="2"/>
  <c r="I21" i="16"/>
  <c r="I21" i="2"/>
  <c r="M21" i="16"/>
  <c r="M21" i="2"/>
  <c r="H22" i="16"/>
  <c r="H22" i="2"/>
  <c r="L22" i="16"/>
  <c r="L22" i="2"/>
  <c r="G67" i="16"/>
  <c r="G67" i="2"/>
  <c r="K67" i="16"/>
  <c r="K67" i="2"/>
  <c r="O67" i="16"/>
  <c r="O67" i="2"/>
  <c r="F57" i="16"/>
  <c r="F57" i="2"/>
  <c r="J57" i="16"/>
  <c r="J57" i="2"/>
  <c r="N57" i="16"/>
  <c r="N57" i="2"/>
  <c r="E23" i="16"/>
  <c r="E23" i="2"/>
  <c r="I23" i="16"/>
  <c r="I23" i="2"/>
  <c r="M23" i="16"/>
  <c r="M23" i="2"/>
  <c r="H24" i="16"/>
  <c r="H24" i="2"/>
  <c r="L24" i="16"/>
  <c r="L24" i="2"/>
  <c r="G58" i="16"/>
  <c r="G58" i="2"/>
  <c r="K58" i="16"/>
  <c r="K58" i="2"/>
  <c r="F50" i="16"/>
  <c r="F50" i="2"/>
  <c r="J50" i="16"/>
  <c r="J50" i="2"/>
  <c r="E63" i="16"/>
  <c r="E63" i="2"/>
  <c r="I63" i="16"/>
  <c r="I63" i="2"/>
  <c r="M63" i="16"/>
  <c r="M63" i="2"/>
  <c r="H55" i="16"/>
  <c r="H55" i="2"/>
  <c r="L55" i="16"/>
  <c r="L55" i="2"/>
  <c r="G31" i="16"/>
  <c r="G31" i="2"/>
  <c r="K31" i="16"/>
  <c r="K31" i="2"/>
  <c r="O31" i="16"/>
  <c r="O31" i="2"/>
  <c r="F18" i="16"/>
  <c r="F18" i="2"/>
  <c r="J18" i="16"/>
  <c r="J18" i="2"/>
  <c r="N18" i="16"/>
  <c r="N18" i="2"/>
  <c r="E59" i="16"/>
  <c r="E59" i="2"/>
  <c r="I59" i="16"/>
  <c r="I59" i="2"/>
  <c r="M59" i="16"/>
  <c r="M59" i="2"/>
  <c r="D25" i="16"/>
  <c r="D25" i="2"/>
  <c r="H25" i="16"/>
  <c r="H25" i="2"/>
  <c r="L25" i="16"/>
  <c r="L25" i="2"/>
  <c r="G27" i="16"/>
  <c r="G27" i="2"/>
  <c r="K27" i="16"/>
  <c r="K27" i="2"/>
  <c r="O27" i="16"/>
  <c r="O27" i="2"/>
  <c r="F28" i="16"/>
  <c r="F28" i="2"/>
  <c r="J28" i="16"/>
  <c r="J28" i="2"/>
  <c r="N28" i="16"/>
  <c r="N28" i="2"/>
  <c r="E61" i="16"/>
  <c r="E61" i="2"/>
  <c r="I61" i="16"/>
  <c r="I61" i="2"/>
  <c r="M61" i="16"/>
  <c r="M61" i="2"/>
  <c r="H68" i="16"/>
  <c r="H68" i="2"/>
  <c r="L68" i="16"/>
  <c r="L68" i="2"/>
  <c r="G30" i="16"/>
  <c r="G30" i="2"/>
  <c r="K30" i="16"/>
  <c r="K30" i="2"/>
  <c r="O30" i="16"/>
  <c r="O30" i="2"/>
  <c r="F26" i="16"/>
  <c r="F26" i="2"/>
  <c r="J26" i="16"/>
  <c r="J26" i="2"/>
  <c r="N26" i="16"/>
  <c r="N26" i="2"/>
  <c r="E33" i="16"/>
  <c r="E33" i="2"/>
  <c r="I33" i="16"/>
  <c r="I33" i="2"/>
  <c r="M33" i="16"/>
  <c r="M33" i="2"/>
  <c r="H34" i="16"/>
  <c r="H34" i="2"/>
  <c r="L34" i="16"/>
  <c r="L34" i="2"/>
  <c r="G32" i="16"/>
  <c r="G32" i="2"/>
  <c r="K32" i="16"/>
  <c r="K32" i="2"/>
  <c r="O32" i="16"/>
  <c r="O32" i="2"/>
  <c r="E35" i="16"/>
  <c r="E35" i="2"/>
  <c r="I35" i="16"/>
  <c r="I35" i="2"/>
  <c r="M35" i="16"/>
  <c r="M35" i="2"/>
  <c r="H62" i="16"/>
  <c r="H62" i="2"/>
  <c r="L62" i="16"/>
  <c r="L62" i="2"/>
  <c r="F36" i="16"/>
  <c r="F36" i="2"/>
  <c r="J36" i="16"/>
  <c r="J36" i="2"/>
  <c r="N36" i="16"/>
  <c r="N36" i="2"/>
  <c r="H37" i="16"/>
  <c r="H37" i="2"/>
  <c r="L37" i="16"/>
  <c r="L37" i="2"/>
  <c r="G65" i="16"/>
  <c r="G65" i="2"/>
  <c r="K65" i="16"/>
  <c r="K65" i="2"/>
  <c r="O65" i="16"/>
  <c r="O65" i="2"/>
  <c r="F38" i="16"/>
  <c r="F38" i="2"/>
  <c r="J38" i="16"/>
  <c r="J38" i="2"/>
  <c r="E39" i="16"/>
  <c r="E39" i="2"/>
  <c r="I39" i="16"/>
  <c r="I39" i="2"/>
  <c r="M39" i="16"/>
  <c r="M39" i="2"/>
  <c r="H40" i="16"/>
  <c r="H40" i="2"/>
  <c r="L40" i="16"/>
  <c r="L40" i="2"/>
  <c r="G41" i="16"/>
  <c r="G41" i="2"/>
  <c r="K41" i="16"/>
  <c r="K41" i="2"/>
  <c r="O41" i="16"/>
  <c r="O41" i="2"/>
  <c r="F42" i="16"/>
  <c r="F42" i="2"/>
  <c r="J42" i="16"/>
  <c r="J42" i="2"/>
  <c r="E43" i="16"/>
  <c r="E43" i="2"/>
  <c r="I43" i="16"/>
  <c r="I43" i="2"/>
  <c r="M43" i="16"/>
  <c r="M43" i="2"/>
  <c r="H44" i="16"/>
  <c r="H44" i="2"/>
  <c r="L44" i="16"/>
  <c r="L44" i="2"/>
  <c r="G45" i="16"/>
  <c r="G45" i="2"/>
  <c r="K45" i="16"/>
  <c r="K45" i="2"/>
  <c r="O45" i="16"/>
  <c r="O45" i="2"/>
  <c r="F46" i="16"/>
  <c r="F46" i="2"/>
  <c r="J46" i="16"/>
  <c r="J46" i="2"/>
  <c r="N46" i="16"/>
  <c r="N46" i="2"/>
  <c r="E47" i="16"/>
  <c r="E47" i="2"/>
  <c r="I47" i="16"/>
  <c r="I47" i="2"/>
  <c r="H48" i="16"/>
  <c r="H48" i="2"/>
  <c r="L48" i="16"/>
  <c r="L48" i="2"/>
  <c r="G49" i="16"/>
  <c r="G49" i="2"/>
  <c r="K49" i="16"/>
  <c r="K49" i="2"/>
  <c r="O49" i="16"/>
  <c r="O49" i="2"/>
  <c r="F51" i="16"/>
  <c r="F51" i="2"/>
  <c r="J51" i="16"/>
  <c r="J51" i="2"/>
  <c r="N51" i="16"/>
  <c r="N51" i="2"/>
  <c r="G52" i="16"/>
  <c r="G52" i="2"/>
  <c r="K52" i="16"/>
  <c r="K52" i="2"/>
  <c r="F53" i="16"/>
  <c r="F53" i="2"/>
  <c r="J53" i="16"/>
  <c r="J53" i="2"/>
  <c r="N53" i="16"/>
  <c r="N53" i="2"/>
  <c r="E4" i="16"/>
  <c r="E4" i="2"/>
  <c r="I4" i="16"/>
  <c r="I4" i="2"/>
  <c r="M4" i="16"/>
  <c r="M4" i="2"/>
  <c r="H5" i="16"/>
  <c r="H5" i="2"/>
  <c r="L5" i="16"/>
  <c r="L5" i="2"/>
  <c r="G6" i="16"/>
  <c r="G6" i="2"/>
  <c r="K6" i="16"/>
  <c r="K6" i="2"/>
  <c r="O6" i="16"/>
  <c r="O6" i="2"/>
  <c r="F7" i="16"/>
  <c r="F7" i="2"/>
  <c r="J7" i="16"/>
  <c r="J7" i="2"/>
  <c r="N7" i="16"/>
  <c r="N7" i="2"/>
  <c r="E60" i="16"/>
  <c r="E60" i="2"/>
  <c r="I60" i="16"/>
  <c r="I60" i="2"/>
  <c r="M60" i="16"/>
  <c r="M60" i="2"/>
  <c r="H8" i="16"/>
  <c r="H8" i="2"/>
  <c r="L8" i="16"/>
  <c r="L8" i="2"/>
  <c r="G9" i="16"/>
  <c r="G9" i="2"/>
  <c r="K9" i="16"/>
  <c r="K9" i="2"/>
  <c r="O9" i="16"/>
  <c r="O9" i="2"/>
  <c r="F10" i="16"/>
  <c r="F10" i="2"/>
  <c r="J10" i="16"/>
  <c r="J10" i="2"/>
  <c r="N10" i="16"/>
  <c r="N10" i="2"/>
  <c r="E54" i="16"/>
  <c r="E54" i="2"/>
  <c r="I54" i="16"/>
  <c r="I54" i="2"/>
  <c r="M54" i="16"/>
  <c r="M54" i="2"/>
  <c r="H12" i="16"/>
  <c r="H12" i="2"/>
  <c r="L12" i="16"/>
  <c r="L12" i="2"/>
  <c r="G13" i="16"/>
  <c r="G13" i="2"/>
  <c r="K13" i="16"/>
  <c r="K13" i="2"/>
  <c r="O13" i="16"/>
  <c r="O13" i="2"/>
  <c r="F14" i="16"/>
  <c r="F14" i="2"/>
  <c r="J14" i="16"/>
  <c r="J14" i="2"/>
  <c r="N14" i="16"/>
  <c r="N14" i="2"/>
  <c r="E15" i="16"/>
  <c r="E15" i="2"/>
  <c r="I15" i="16"/>
  <c r="I15" i="2"/>
  <c r="M15" i="16"/>
  <c r="M15" i="2"/>
  <c r="H16" i="16"/>
  <c r="H16" i="2"/>
  <c r="L16" i="16"/>
  <c r="L16" i="2"/>
  <c r="G17" i="16"/>
  <c r="G17" i="2"/>
  <c r="K17" i="16"/>
  <c r="K17" i="2"/>
  <c r="O17" i="16"/>
  <c r="O17" i="2"/>
  <c r="F64" i="16"/>
  <c r="F64" i="2"/>
  <c r="J64" i="16"/>
  <c r="J64" i="2"/>
  <c r="N64" i="16"/>
  <c r="N64" i="2"/>
  <c r="E19" i="16"/>
  <c r="E19" i="2"/>
  <c r="I19" i="16"/>
  <c r="I19" i="2"/>
  <c r="M19" i="16"/>
  <c r="M19" i="2"/>
  <c r="H66" i="16"/>
  <c r="H66" i="2"/>
  <c r="L66" i="16"/>
  <c r="L66" i="2"/>
  <c r="G20" i="16"/>
  <c r="G20" i="2"/>
  <c r="K20" i="16"/>
  <c r="K20" i="2"/>
  <c r="O20" i="16"/>
  <c r="O20" i="2"/>
  <c r="F21" i="16"/>
  <c r="F21" i="2"/>
  <c r="J21" i="16"/>
  <c r="J21" i="2"/>
  <c r="N21" i="16"/>
  <c r="N21" i="2"/>
  <c r="E22" i="16"/>
  <c r="E22" i="2"/>
  <c r="I22" i="16"/>
  <c r="I22" i="2"/>
  <c r="M22" i="16"/>
  <c r="M22" i="2"/>
  <c r="H67" i="16"/>
  <c r="H67" i="2"/>
  <c r="L67" i="16"/>
  <c r="L67" i="2"/>
  <c r="G57" i="16"/>
  <c r="G57" i="2"/>
  <c r="K57" i="16"/>
  <c r="K57" i="2"/>
  <c r="O57" i="16"/>
  <c r="O57" i="2"/>
  <c r="F23" i="16"/>
  <c r="F23" i="2"/>
  <c r="J23" i="16"/>
  <c r="J23" i="2"/>
  <c r="E24" i="16"/>
  <c r="E24" i="2"/>
  <c r="I24" i="16"/>
  <c r="I24" i="2"/>
  <c r="M24" i="16"/>
  <c r="M24" i="2"/>
  <c r="D58" i="16"/>
  <c r="D58" i="2"/>
  <c r="H58" i="16"/>
  <c r="H58" i="2"/>
  <c r="L58" i="16"/>
  <c r="L58" i="2"/>
  <c r="G50" i="16"/>
  <c r="G50" i="2"/>
  <c r="K50" i="16"/>
  <c r="K50" i="2"/>
  <c r="F63" i="16"/>
  <c r="F63" i="2"/>
  <c r="J63" i="16"/>
  <c r="J63" i="2"/>
  <c r="N63" i="16"/>
  <c r="N63" i="2"/>
  <c r="E55" i="16"/>
  <c r="E55" i="2"/>
  <c r="I55" i="16"/>
  <c r="I55" i="2"/>
  <c r="M55" i="16"/>
  <c r="M55" i="2"/>
  <c r="H31" i="16"/>
  <c r="H31" i="2"/>
  <c r="L31" i="16"/>
  <c r="L31" i="2"/>
  <c r="G18" i="16"/>
  <c r="G18" i="2"/>
  <c r="K18" i="16"/>
  <c r="K18" i="2"/>
  <c r="O18" i="16"/>
  <c r="O18" i="2"/>
  <c r="F59" i="16"/>
  <c r="F59" i="2"/>
  <c r="J59" i="16"/>
  <c r="J59" i="2"/>
  <c r="E25" i="16"/>
  <c r="E25" i="2"/>
  <c r="I25" i="16"/>
  <c r="I25" i="2"/>
  <c r="H27" i="16"/>
  <c r="H27" i="2"/>
  <c r="L27" i="16"/>
  <c r="L27" i="2"/>
  <c r="G28" i="16"/>
  <c r="G28" i="2"/>
  <c r="K28" i="16"/>
  <c r="K28" i="2"/>
  <c r="O28" i="16"/>
  <c r="O28" i="2"/>
  <c r="F61" i="16"/>
  <c r="F61" i="2"/>
  <c r="J61" i="16"/>
  <c r="J61" i="2"/>
  <c r="N61" i="16"/>
  <c r="N61" i="2"/>
  <c r="E68" i="16"/>
  <c r="E68" i="2"/>
  <c r="I68" i="16"/>
  <c r="I68" i="2"/>
  <c r="M68" i="16"/>
  <c r="M68" i="2"/>
  <c r="H30" i="16"/>
  <c r="H30" i="2"/>
  <c r="L30" i="16"/>
  <c r="L30" i="2"/>
  <c r="G26" i="16"/>
  <c r="G26" i="2"/>
  <c r="K26" i="16"/>
  <c r="K26" i="2"/>
  <c r="O26" i="16"/>
  <c r="O26" i="2"/>
  <c r="F33" i="16"/>
  <c r="F33" i="2"/>
  <c r="J33" i="16"/>
  <c r="J33" i="2"/>
  <c r="N33" i="16"/>
  <c r="N33" i="2"/>
  <c r="E34" i="16"/>
  <c r="E34" i="2"/>
  <c r="I34" i="16"/>
  <c r="I34" i="2"/>
  <c r="M34" i="16"/>
  <c r="M34" i="2"/>
  <c r="H32" i="16"/>
  <c r="H32" i="2"/>
  <c r="L32" i="16"/>
  <c r="L32" i="2"/>
  <c r="F35" i="16"/>
  <c r="F35" i="2"/>
  <c r="J35" i="16"/>
  <c r="J35" i="2"/>
  <c r="N35" i="16"/>
  <c r="N35" i="2"/>
  <c r="E62" i="16"/>
  <c r="E62" i="2"/>
  <c r="I62" i="16"/>
  <c r="I62" i="2"/>
  <c r="M62" i="16"/>
  <c r="M62" i="2"/>
  <c r="G36" i="16"/>
  <c r="G36" i="2"/>
  <c r="K36" i="16"/>
  <c r="K36" i="2"/>
  <c r="O36" i="16"/>
  <c r="O36" i="2"/>
  <c r="E37" i="16"/>
  <c r="E37" i="2"/>
  <c r="I37" i="16"/>
  <c r="I37" i="2"/>
  <c r="M37" i="16"/>
  <c r="M37" i="2"/>
  <c r="H65" i="16"/>
  <c r="H65" i="2"/>
  <c r="L65" i="16"/>
  <c r="L65" i="2"/>
  <c r="G38" i="16"/>
  <c r="G38" i="2"/>
  <c r="K38" i="16"/>
  <c r="K38" i="2"/>
  <c r="F39" i="16"/>
  <c r="F39" i="2"/>
  <c r="J39" i="16"/>
  <c r="J39" i="2"/>
  <c r="N39" i="16"/>
  <c r="N39" i="2"/>
  <c r="E40" i="16"/>
  <c r="E40" i="2"/>
  <c r="I40" i="16"/>
  <c r="I40" i="2"/>
  <c r="M40" i="16"/>
  <c r="M40" i="2"/>
  <c r="H41" i="16"/>
  <c r="H41" i="2"/>
  <c r="L41" i="16"/>
  <c r="L41" i="2"/>
  <c r="G42" i="16"/>
  <c r="G42" i="2"/>
  <c r="K42" i="16"/>
  <c r="K42" i="2"/>
  <c r="F43" i="16"/>
  <c r="F43" i="2"/>
  <c r="J43" i="16"/>
  <c r="J43" i="2"/>
  <c r="N43" i="16"/>
  <c r="N43" i="2"/>
  <c r="E44" i="16"/>
  <c r="E44" i="2"/>
  <c r="I44" i="16"/>
  <c r="I44" i="2"/>
  <c r="M44" i="16"/>
  <c r="M44" i="2"/>
  <c r="H45" i="16"/>
  <c r="H45" i="2"/>
  <c r="L45" i="16"/>
  <c r="L45" i="2"/>
  <c r="G46" i="16"/>
  <c r="G46" i="2"/>
  <c r="K46" i="16"/>
  <c r="K46" i="2"/>
  <c r="O46" i="16"/>
  <c r="O46" i="2"/>
  <c r="F47" i="16"/>
  <c r="F47" i="2"/>
  <c r="J47" i="16"/>
  <c r="J47" i="2"/>
  <c r="E48" i="16"/>
  <c r="E48" i="2"/>
  <c r="I48" i="16"/>
  <c r="I48" i="2"/>
  <c r="M48" i="16"/>
  <c r="M48" i="2"/>
  <c r="H49" i="16"/>
  <c r="H49" i="2"/>
  <c r="L49" i="16"/>
  <c r="L49" i="2"/>
  <c r="G51" i="16"/>
  <c r="G51" i="2"/>
  <c r="K51" i="16"/>
  <c r="K51" i="2"/>
  <c r="O51" i="16"/>
  <c r="O51" i="2"/>
  <c r="D50" i="16"/>
  <c r="D50" i="2"/>
  <c r="D28" i="16"/>
  <c r="D28" i="2"/>
  <c r="D26" i="16"/>
  <c r="D26" i="2"/>
  <c r="D36" i="16"/>
  <c r="D36" i="2"/>
  <c r="D38" i="16"/>
  <c r="D38" i="2"/>
  <c r="D42" i="16"/>
  <c r="D42" i="2"/>
  <c r="D46" i="16"/>
  <c r="D46" i="2"/>
  <c r="D64" i="16"/>
  <c r="D64" i="2"/>
  <c r="D63" i="16"/>
  <c r="D63" i="2"/>
  <c r="D61" i="16"/>
  <c r="D61" i="2"/>
  <c r="D33" i="16"/>
  <c r="D33" i="2"/>
  <c r="D35" i="16"/>
  <c r="D35" i="2"/>
  <c r="D39" i="16"/>
  <c r="D39" i="2"/>
  <c r="D43" i="16"/>
  <c r="D43" i="2"/>
  <c r="D47" i="16"/>
  <c r="D47" i="2"/>
  <c r="D60" i="16"/>
  <c r="D60" i="2"/>
  <c r="D68" i="16"/>
  <c r="D68" i="2"/>
  <c r="D34" i="16"/>
  <c r="D34" i="2"/>
  <c r="D62" i="16"/>
  <c r="D62" i="2"/>
  <c r="D37" i="16"/>
  <c r="D37" i="2"/>
  <c r="D40" i="16"/>
  <c r="D40" i="2"/>
  <c r="D44" i="16"/>
  <c r="D44" i="2"/>
  <c r="D48" i="16"/>
  <c r="D48" i="2"/>
  <c r="D66" i="16"/>
  <c r="D66" i="2"/>
  <c r="D67" i="16"/>
  <c r="D67" i="2"/>
  <c r="D31" i="16"/>
  <c r="D31" i="2"/>
  <c r="D27" i="16"/>
  <c r="D27" i="2"/>
  <c r="D30" i="16"/>
  <c r="D30" i="2"/>
  <c r="D32" i="16"/>
  <c r="D32" i="2"/>
  <c r="D65" i="16"/>
  <c r="D65" i="2"/>
  <c r="D41" i="16"/>
  <c r="D41" i="2"/>
  <c r="D45" i="16"/>
  <c r="D45" i="2"/>
  <c r="D49" i="16"/>
  <c r="D49" i="2"/>
  <c r="D59" i="16"/>
  <c r="D59" i="2"/>
  <c r="D6" i="16"/>
  <c r="D6" i="2"/>
  <c r="D9" i="16"/>
  <c r="D9" i="2"/>
  <c r="D13" i="16"/>
  <c r="D13" i="2"/>
  <c r="D17" i="16"/>
  <c r="D17" i="2"/>
  <c r="D20" i="16"/>
  <c r="D20" i="2"/>
  <c r="D57" i="16"/>
  <c r="D57" i="2"/>
  <c r="D18" i="16"/>
  <c r="D18" i="2"/>
  <c r="D53" i="16"/>
  <c r="D53" i="2"/>
  <c r="D7" i="16"/>
  <c r="D7" i="2"/>
  <c r="D10" i="16"/>
  <c r="D10" i="2"/>
  <c r="D14" i="16"/>
  <c r="D14" i="2"/>
  <c r="D21" i="16"/>
  <c r="D21" i="2"/>
  <c r="D23" i="16"/>
  <c r="D23" i="2"/>
  <c r="D52" i="16"/>
  <c r="D52" i="2"/>
  <c r="D4" i="16"/>
  <c r="D4" i="2"/>
  <c r="D54" i="16"/>
  <c r="D54" i="2"/>
  <c r="D15" i="16"/>
  <c r="D15" i="2"/>
  <c r="D19" i="16"/>
  <c r="D19" i="2"/>
  <c r="D22" i="16"/>
  <c r="D22" i="2"/>
  <c r="D24" i="16"/>
  <c r="D24" i="2"/>
  <c r="D55" i="16"/>
  <c r="D55" i="2"/>
  <c r="D5" i="16"/>
  <c r="D5" i="2"/>
  <c r="D8" i="16"/>
  <c r="D8" i="2"/>
  <c r="D12" i="16"/>
  <c r="D12" i="2"/>
  <c r="D16" i="16"/>
  <c r="D16" i="2"/>
  <c r="C53" i="16"/>
  <c r="C53" i="2"/>
  <c r="C7" i="16"/>
  <c r="C10"/>
  <c r="C10" i="2"/>
  <c r="C14" i="16"/>
  <c r="C14" i="2"/>
  <c r="C64" i="16"/>
  <c r="C64" i="2"/>
  <c r="C21" i="16"/>
  <c r="C21" i="2"/>
  <c r="C23" i="16"/>
  <c r="C23" i="2"/>
  <c r="C63" i="16"/>
  <c r="C63" i="2"/>
  <c r="C59" i="16"/>
  <c r="C59" i="2"/>
  <c r="C61" i="16"/>
  <c r="C61" i="2"/>
  <c r="C33" i="16"/>
  <c r="C33" i="2"/>
  <c r="C35" i="16"/>
  <c r="C35" i="2"/>
  <c r="C39" i="16"/>
  <c r="C39" i="2"/>
  <c r="C43" i="16"/>
  <c r="C43" i="2"/>
  <c r="C47" i="16"/>
  <c r="C47" i="2"/>
  <c r="C4" i="16"/>
  <c r="C60"/>
  <c r="C54"/>
  <c r="C54" i="2"/>
  <c r="C15" i="16"/>
  <c r="C15" i="2"/>
  <c r="C19" i="16"/>
  <c r="C19" i="2"/>
  <c r="C22" i="16"/>
  <c r="C22" i="2"/>
  <c r="C24" i="16"/>
  <c r="C24" i="2"/>
  <c r="C55" i="16"/>
  <c r="C55" i="2"/>
  <c r="C25" i="16"/>
  <c r="C25" i="2"/>
  <c r="C68" i="16"/>
  <c r="C68" i="2"/>
  <c r="C34" i="16"/>
  <c r="C34" i="2"/>
  <c r="C62" i="16"/>
  <c r="C62" i="2"/>
  <c r="C37" i="16"/>
  <c r="C37" i="2"/>
  <c r="C40" i="16"/>
  <c r="C40" i="2"/>
  <c r="C44" i="16"/>
  <c r="C44" i="2"/>
  <c r="C48" i="16"/>
  <c r="C48" i="2"/>
  <c r="C5" i="16"/>
  <c r="C8"/>
  <c r="C12"/>
  <c r="C12" i="2"/>
  <c r="C16" i="16"/>
  <c r="C16" i="2"/>
  <c r="C66" i="16"/>
  <c r="C66" i="2"/>
  <c r="C67" i="16"/>
  <c r="C67" i="2"/>
  <c r="C58" i="16"/>
  <c r="C58" i="2"/>
  <c r="C31" i="16"/>
  <c r="C31" i="2"/>
  <c r="C27" i="16"/>
  <c r="C27" i="2"/>
  <c r="C30" i="16"/>
  <c r="C30" i="2"/>
  <c r="C32" i="16"/>
  <c r="C32" i="2"/>
  <c r="C65" i="16"/>
  <c r="C65" i="2"/>
  <c r="C41" i="16"/>
  <c r="C41" i="2"/>
  <c r="C45" i="16"/>
  <c r="C45" i="2"/>
  <c r="C49" i="16"/>
  <c r="C49" i="2"/>
  <c r="C52" i="16"/>
  <c r="C52" i="2"/>
  <c r="C6" i="16"/>
  <c r="C9"/>
  <c r="C9" i="2"/>
  <c r="C13" i="16"/>
  <c r="C13" i="2"/>
  <c r="C17" i="16"/>
  <c r="C17" i="2"/>
  <c r="C20" i="16"/>
  <c r="C20" i="2"/>
  <c r="C57" i="16"/>
  <c r="C57" i="2"/>
  <c r="C50" i="16"/>
  <c r="C50" i="2"/>
  <c r="C18" i="16"/>
  <c r="C18" i="2"/>
  <c r="C28" i="16"/>
  <c r="C28" i="2"/>
  <c r="C26" i="16"/>
  <c r="C26" i="2"/>
  <c r="C36" i="16"/>
  <c r="C36" i="2"/>
  <c r="C38" i="16"/>
  <c r="C38" i="2"/>
  <c r="C42" i="16"/>
  <c r="C42" i="2"/>
  <c r="C46" i="16"/>
  <c r="C46" i="2"/>
  <c r="C51" i="16"/>
  <c r="C51" i="2"/>
  <c r="AL2" i="15"/>
  <c r="AK2"/>
  <c r="W65"/>
  <c r="U65"/>
  <c r="T65"/>
  <c r="AO53" i="1" s="1"/>
  <c r="W62" i="15"/>
  <c r="T62"/>
  <c r="AO37" i="1" s="1"/>
  <c r="W30" i="15"/>
  <c r="U30"/>
  <c r="T30"/>
  <c r="AO7" i="1" s="1"/>
  <c r="W103" i="15"/>
  <c r="T103"/>
  <c r="Y103" s="1"/>
  <c r="W61"/>
  <c r="U61"/>
  <c r="T61"/>
  <c r="AO47" i="1" s="1"/>
  <c r="W59" i="15"/>
  <c r="U59"/>
  <c r="T59"/>
  <c r="AO45" i="1" s="1"/>
  <c r="W102" i="15"/>
  <c r="T102"/>
  <c r="Y102" s="1"/>
  <c r="W58"/>
  <c r="T58"/>
  <c r="AO51" i="1" s="1"/>
  <c r="W57" i="15"/>
  <c r="T57"/>
  <c r="AO35" i="1" s="1"/>
  <c r="W21" i="15"/>
  <c r="U21"/>
  <c r="T21"/>
  <c r="AO22" i="1" s="1"/>
  <c r="W20" i="15"/>
  <c r="U20"/>
  <c r="T20"/>
  <c r="AO20" i="1" s="1"/>
  <c r="W54" i="15"/>
  <c r="U54"/>
  <c r="T54"/>
  <c r="AO21" i="1" s="1"/>
  <c r="W53" i="15"/>
  <c r="U53"/>
  <c r="T53"/>
  <c r="AO61" i="1" s="1"/>
  <c r="W52" i="15"/>
  <c r="U52"/>
  <c r="T52"/>
  <c r="AO59" i="1" s="1"/>
  <c r="W51" i="15"/>
  <c r="V51" s="1"/>
  <c r="U51" s="1"/>
  <c r="T51"/>
  <c r="AO12" i="1" s="1"/>
  <c r="W49" i="15"/>
  <c r="U49"/>
  <c r="T49"/>
  <c r="AO5" i="1" s="1"/>
  <c r="W48" i="15"/>
  <c r="T48"/>
  <c r="AO38" i="1" s="1"/>
  <c r="W47" i="15"/>
  <c r="U47"/>
  <c r="T47"/>
  <c r="AO64" i="1" s="1"/>
  <c r="W46" i="15"/>
  <c r="U46"/>
  <c r="T46"/>
  <c r="AO48" i="1" s="1"/>
  <c r="W45" i="15"/>
  <c r="U45"/>
  <c r="T45"/>
  <c r="AO44" i="1" s="1"/>
  <c r="W44" i="15"/>
  <c r="T44"/>
  <c r="AO6" i="1" s="1"/>
  <c r="W43" i="15"/>
  <c r="T43"/>
  <c r="AO14" i="1" s="1"/>
  <c r="W42" i="15"/>
  <c r="U42"/>
  <c r="T42"/>
  <c r="AO40" i="1" s="1"/>
  <c r="W41" i="15"/>
  <c r="T41"/>
  <c r="AO31" i="1" s="1"/>
  <c r="W40" i="15"/>
  <c r="U40"/>
  <c r="T40"/>
  <c r="AO46" i="1" s="1"/>
  <c r="W39" i="15"/>
  <c r="U39"/>
  <c r="T39"/>
  <c r="AO49" i="1" s="1"/>
  <c r="W38" i="15"/>
  <c r="U38"/>
  <c r="T38"/>
  <c r="AO63" i="1" s="1"/>
  <c r="W37" i="15"/>
  <c r="U37"/>
  <c r="T37"/>
  <c r="AO26" i="1" s="1"/>
  <c r="W11" i="15"/>
  <c r="T11"/>
  <c r="AO17" i="1" s="1"/>
  <c r="W36" i="15"/>
  <c r="U36"/>
  <c r="T36"/>
  <c r="AO23" i="1" s="1"/>
  <c r="W32" i="15"/>
  <c r="T32"/>
  <c r="AO4" i="1" s="1"/>
  <c r="W35" i="15"/>
  <c r="U35"/>
  <c r="T35"/>
  <c r="AO66" i="1" s="1"/>
  <c r="W26" i="15"/>
  <c r="T26"/>
  <c r="AO11" i="1" s="1"/>
  <c r="W68" i="15"/>
  <c r="T68"/>
  <c r="AO34" i="1" s="1"/>
  <c r="W34" i="15"/>
  <c r="U34"/>
  <c r="T34"/>
  <c r="AO58" i="1" s="1"/>
  <c r="W33" i="15"/>
  <c r="U33"/>
  <c r="T33"/>
  <c r="AO57" i="1" s="1"/>
  <c r="W18" i="15"/>
  <c r="T18"/>
  <c r="AO9" i="1" s="1"/>
  <c r="W28" i="15"/>
  <c r="U28"/>
  <c r="T28"/>
  <c r="AO25" i="1" s="1"/>
  <c r="W27" i="15"/>
  <c r="U27"/>
  <c r="T27"/>
  <c r="AO36" i="1" s="1"/>
  <c r="W25" i="15"/>
  <c r="T25"/>
  <c r="AO67" i="1" s="1"/>
  <c r="W31" i="15"/>
  <c r="T31"/>
  <c r="AO8" i="1" s="1"/>
  <c r="W55" i="15"/>
  <c r="T55"/>
  <c r="AO39" i="1" s="1"/>
  <c r="W63" i="15"/>
  <c r="T63"/>
  <c r="AO18" i="1" s="1"/>
  <c r="W50" i="15"/>
  <c r="T50"/>
  <c r="AO10" i="1" s="1"/>
  <c r="W24" i="15"/>
  <c r="T24"/>
  <c r="AO41" i="1" s="1"/>
  <c r="W23" i="15"/>
  <c r="U23"/>
  <c r="T23"/>
  <c r="AO56" i="1" s="1"/>
  <c r="W67" i="15"/>
  <c r="T67"/>
  <c r="AO28" i="1" s="1"/>
  <c r="W22" i="15"/>
  <c r="U22"/>
  <c r="T22"/>
  <c r="AO43" i="1" s="1"/>
  <c r="W66" i="15"/>
  <c r="T66"/>
  <c r="AO24" i="1" s="1"/>
  <c r="W19" i="15"/>
  <c r="U19"/>
  <c r="T19"/>
  <c r="AO65" i="1" s="1"/>
  <c r="W64" i="15"/>
  <c r="T64"/>
  <c r="AO50" i="1" s="1"/>
  <c r="W17" i="15"/>
  <c r="U17"/>
  <c r="T17"/>
  <c r="AO19" i="1" s="1"/>
  <c r="W16" i="15"/>
  <c r="U16"/>
  <c r="T16"/>
  <c r="AO54" i="1" s="1"/>
  <c r="W15" i="15"/>
  <c r="U15"/>
  <c r="T15"/>
  <c r="AO30" i="1" s="1"/>
  <c r="W14" i="15"/>
  <c r="U14"/>
  <c r="T14"/>
  <c r="AO52" i="1" s="1"/>
  <c r="W13" i="15"/>
  <c r="T13"/>
  <c r="AO16" i="1" s="1"/>
  <c r="W12" i="15"/>
  <c r="U12"/>
  <c r="T12"/>
  <c r="AO3" i="1" s="1"/>
  <c r="W10" i="15"/>
  <c r="U10"/>
  <c r="T10"/>
  <c r="AO62" i="1" s="1"/>
  <c r="W9" i="15"/>
  <c r="U9"/>
  <c r="T9"/>
  <c r="AO33" i="1" s="1"/>
  <c r="W8" i="15"/>
  <c r="U8"/>
  <c r="T8"/>
  <c r="AO29" i="1" s="1"/>
  <c r="W60" i="15"/>
  <c r="T60"/>
  <c r="AO32" i="1" s="1"/>
  <c r="W7" i="15"/>
  <c r="U7"/>
  <c r="T7"/>
  <c r="AO42" i="1" s="1"/>
  <c r="W6" i="15"/>
  <c r="U6"/>
  <c r="T6"/>
  <c r="AO15" i="1" s="1"/>
  <c r="W5" i="15"/>
  <c r="U5"/>
  <c r="T5"/>
  <c r="AO55" i="1" s="1"/>
  <c r="W4" i="15"/>
  <c r="U4"/>
  <c r="T4"/>
  <c r="AO60" i="1" s="1"/>
  <c r="AJ2" i="15"/>
  <c r="AI2"/>
  <c r="AH2"/>
  <c r="AG2"/>
  <c r="AF2"/>
  <c r="AE2"/>
  <c r="AD2"/>
  <c r="AC2"/>
  <c r="AB2"/>
  <c r="AA2"/>
  <c r="Z2"/>
  <c r="W2"/>
  <c r="V2"/>
  <c r="U2"/>
  <c r="AJ65" i="14"/>
  <c r="AI65"/>
  <c r="AH65"/>
  <c r="AG65"/>
  <c r="AF65"/>
  <c r="AE65"/>
  <c r="AD65"/>
  <c r="AC65"/>
  <c r="AB65"/>
  <c r="AA65"/>
  <c r="Z65"/>
  <c r="Y65"/>
  <c r="V65"/>
  <c r="U65" s="1"/>
  <c r="T65"/>
  <c r="S65"/>
  <c r="U53" i="1" s="1"/>
  <c r="AJ62" i="14"/>
  <c r="AI62"/>
  <c r="AH62"/>
  <c r="AG62"/>
  <c r="AF62"/>
  <c r="AE62"/>
  <c r="AD62"/>
  <c r="AC62"/>
  <c r="AB62"/>
  <c r="AA62"/>
  <c r="Z62"/>
  <c r="Y62"/>
  <c r="V62"/>
  <c r="U62" s="1"/>
  <c r="T62" s="1"/>
  <c r="S62"/>
  <c r="U37" i="1" s="1"/>
  <c r="AJ30" i="14"/>
  <c r="AI30"/>
  <c r="AH30"/>
  <c r="AG30"/>
  <c r="AF30"/>
  <c r="AE30"/>
  <c r="AD30"/>
  <c r="AC30"/>
  <c r="AB30"/>
  <c r="AA30"/>
  <c r="Z30"/>
  <c r="Y30"/>
  <c r="V30"/>
  <c r="U30" s="1"/>
  <c r="T30"/>
  <c r="S30"/>
  <c r="U7" i="1" s="1"/>
  <c r="AJ103" i="14"/>
  <c r="AI103"/>
  <c r="AH103"/>
  <c r="AG103"/>
  <c r="AF103"/>
  <c r="AE103"/>
  <c r="AD103"/>
  <c r="AC103"/>
  <c r="AB103"/>
  <c r="AA103"/>
  <c r="Z103"/>
  <c r="Y103"/>
  <c r="V103"/>
  <c r="U103" s="1"/>
  <c r="T103" s="1"/>
  <c r="S103"/>
  <c r="AJ61"/>
  <c r="AI61"/>
  <c r="AH61"/>
  <c r="AG61"/>
  <c r="AF61"/>
  <c r="AE61"/>
  <c r="AD61"/>
  <c r="AC61"/>
  <c r="AB61"/>
  <c r="AA61"/>
  <c r="Z61"/>
  <c r="Y61"/>
  <c r="V61"/>
  <c r="U61" s="1"/>
  <c r="T61"/>
  <c r="S61"/>
  <c r="U47" i="1" s="1"/>
  <c r="AJ59" i="14"/>
  <c r="AI59"/>
  <c r="AH59"/>
  <c r="AG59"/>
  <c r="AF59"/>
  <c r="AE59"/>
  <c r="AD59"/>
  <c r="AC59"/>
  <c r="AB59"/>
  <c r="AA59"/>
  <c r="Z59"/>
  <c r="Y59"/>
  <c r="V59"/>
  <c r="U59" s="1"/>
  <c r="T59"/>
  <c r="S59"/>
  <c r="U45" i="1" s="1"/>
  <c r="AJ102" i="14"/>
  <c r="AI102"/>
  <c r="AH102"/>
  <c r="AG102"/>
  <c r="AF102"/>
  <c r="AE102"/>
  <c r="AD102"/>
  <c r="AC102"/>
  <c r="AB102"/>
  <c r="AA102"/>
  <c r="Z102"/>
  <c r="Y102"/>
  <c r="V102"/>
  <c r="U102" s="1"/>
  <c r="T102" s="1"/>
  <c r="S102"/>
  <c r="AJ58"/>
  <c r="AI58"/>
  <c r="AH58"/>
  <c r="AG58"/>
  <c r="AF58"/>
  <c r="AE58"/>
  <c r="AD58"/>
  <c r="AC58"/>
  <c r="AB58"/>
  <c r="AA58"/>
  <c r="Z58"/>
  <c r="Y58"/>
  <c r="V58"/>
  <c r="U58" s="1"/>
  <c r="T58" s="1"/>
  <c r="S58"/>
  <c r="U51" i="1" s="1"/>
  <c r="AJ57" i="14"/>
  <c r="AI57"/>
  <c r="AH57"/>
  <c r="AG57"/>
  <c r="AF57"/>
  <c r="AE57"/>
  <c r="AD57"/>
  <c r="AC57"/>
  <c r="AB57"/>
  <c r="AA57"/>
  <c r="Z57"/>
  <c r="Y57"/>
  <c r="V57"/>
  <c r="U57" s="1"/>
  <c r="T57" s="1"/>
  <c r="S57"/>
  <c r="U35" i="1" s="1"/>
  <c r="AJ21" i="14"/>
  <c r="AI21"/>
  <c r="AH21"/>
  <c r="AG21"/>
  <c r="AF21"/>
  <c r="AE21"/>
  <c r="AD21"/>
  <c r="AC21"/>
  <c r="AB21"/>
  <c r="AA21"/>
  <c r="Z21"/>
  <c r="Y21"/>
  <c r="V21"/>
  <c r="U21" s="1"/>
  <c r="T21"/>
  <c r="S21"/>
  <c r="U22" i="1" s="1"/>
  <c r="AJ20" i="14"/>
  <c r="AI20"/>
  <c r="AH20"/>
  <c r="AG20"/>
  <c r="AF20"/>
  <c r="AE20"/>
  <c r="AD20"/>
  <c r="AC20"/>
  <c r="AB20"/>
  <c r="AA20"/>
  <c r="Z20"/>
  <c r="Y20"/>
  <c r="V20"/>
  <c r="U20" s="1"/>
  <c r="T20"/>
  <c r="S20"/>
  <c r="U20" i="1" s="1"/>
  <c r="AJ54" i="14"/>
  <c r="AI54"/>
  <c r="AH54"/>
  <c r="AG54"/>
  <c r="AF54"/>
  <c r="AE54"/>
  <c r="AD54"/>
  <c r="AC54"/>
  <c r="AB54"/>
  <c r="AA54"/>
  <c r="Z54"/>
  <c r="Y54"/>
  <c r="V54"/>
  <c r="U54" s="1"/>
  <c r="T54"/>
  <c r="S54"/>
  <c r="U21" i="1" s="1"/>
  <c r="AJ53" i="14"/>
  <c r="AI53"/>
  <c r="AH53"/>
  <c r="AG53"/>
  <c r="AF53"/>
  <c r="AE53"/>
  <c r="AD53"/>
  <c r="AC53"/>
  <c r="AB53"/>
  <c r="AA53"/>
  <c r="Z53"/>
  <c r="Y53"/>
  <c r="V53"/>
  <c r="U53" s="1"/>
  <c r="T53"/>
  <c r="S53"/>
  <c r="U61" i="1" s="1"/>
  <c r="AJ52" i="14"/>
  <c r="AI52"/>
  <c r="AH52"/>
  <c r="AG52"/>
  <c r="AF52"/>
  <c r="AE52"/>
  <c r="AD52"/>
  <c r="AC52"/>
  <c r="AB52"/>
  <c r="AA52"/>
  <c r="Z52"/>
  <c r="Y52"/>
  <c r="V52"/>
  <c r="U52" s="1"/>
  <c r="T52"/>
  <c r="S52"/>
  <c r="U59" i="1" s="1"/>
  <c r="AJ51" i="14"/>
  <c r="AI51"/>
  <c r="AH51"/>
  <c r="AG51"/>
  <c r="AF51"/>
  <c r="AE51"/>
  <c r="AD51"/>
  <c r="AC51"/>
  <c r="AB51"/>
  <c r="AA51"/>
  <c r="Z51"/>
  <c r="Y51"/>
  <c r="V51"/>
  <c r="U51" s="1"/>
  <c r="T51" s="1"/>
  <c r="S51"/>
  <c r="U12" i="1" s="1"/>
  <c r="AJ49" i="14"/>
  <c r="AI49"/>
  <c r="AH49"/>
  <c r="AG49"/>
  <c r="AF49"/>
  <c r="AE49"/>
  <c r="AD49"/>
  <c r="AC49"/>
  <c r="AB49"/>
  <c r="AA49"/>
  <c r="Z49"/>
  <c r="Y49"/>
  <c r="V49"/>
  <c r="U49" s="1"/>
  <c r="T49"/>
  <c r="S49"/>
  <c r="U5" i="1" s="1"/>
  <c r="AJ48" i="14"/>
  <c r="AI48"/>
  <c r="AH48"/>
  <c r="AG48"/>
  <c r="AF48"/>
  <c r="AE48"/>
  <c r="AD48"/>
  <c r="AC48"/>
  <c r="AB48"/>
  <c r="AA48"/>
  <c r="Z48"/>
  <c r="Y48"/>
  <c r="V48"/>
  <c r="U48" s="1"/>
  <c r="T48" s="1"/>
  <c r="S48"/>
  <c r="U38" i="1" s="1"/>
  <c r="AJ47" i="14"/>
  <c r="AI47"/>
  <c r="AH47"/>
  <c r="AG47"/>
  <c r="AF47"/>
  <c r="AE47"/>
  <c r="AD47"/>
  <c r="AC47"/>
  <c r="AB47"/>
  <c r="AA47"/>
  <c r="Z47"/>
  <c r="Y47"/>
  <c r="V47"/>
  <c r="U47" s="1"/>
  <c r="T47"/>
  <c r="S47"/>
  <c r="U64" i="1" s="1"/>
  <c r="AJ46" i="14"/>
  <c r="AI46"/>
  <c r="AH46"/>
  <c r="AG46"/>
  <c r="AF46"/>
  <c r="AE46"/>
  <c r="AD46"/>
  <c r="AC46"/>
  <c r="AB46"/>
  <c r="AA46"/>
  <c r="Z46"/>
  <c r="Y46"/>
  <c r="V46"/>
  <c r="U46" s="1"/>
  <c r="T46"/>
  <c r="S46"/>
  <c r="U48" i="1" s="1"/>
  <c r="AJ45" i="14"/>
  <c r="AI45"/>
  <c r="AH45"/>
  <c r="AG45"/>
  <c r="AF45"/>
  <c r="AE45"/>
  <c r="AD45"/>
  <c r="AC45"/>
  <c r="AB45"/>
  <c r="AA45"/>
  <c r="Z45"/>
  <c r="Y45"/>
  <c r="V45"/>
  <c r="U45" s="1"/>
  <c r="T45"/>
  <c r="S45"/>
  <c r="U44" i="1" s="1"/>
  <c r="AJ44" i="14"/>
  <c r="AI44"/>
  <c r="AH44"/>
  <c r="AG44"/>
  <c r="AF44"/>
  <c r="AE44"/>
  <c r="AD44"/>
  <c r="AC44"/>
  <c r="AB44"/>
  <c r="AA44"/>
  <c r="Z44"/>
  <c r="Y44"/>
  <c r="V44"/>
  <c r="U44" s="1"/>
  <c r="T44" s="1"/>
  <c r="S44"/>
  <c r="U6" i="1" s="1"/>
  <c r="AJ43" i="14"/>
  <c r="AI43"/>
  <c r="AH43"/>
  <c r="AG43"/>
  <c r="AF43"/>
  <c r="AE43"/>
  <c r="AD43"/>
  <c r="AC43"/>
  <c r="AB43"/>
  <c r="AA43"/>
  <c r="Z43"/>
  <c r="Y43"/>
  <c r="V43"/>
  <c r="U43" s="1"/>
  <c r="T43" s="1"/>
  <c r="S43"/>
  <c r="U14" i="1" s="1"/>
  <c r="AJ42" i="14"/>
  <c r="AI42"/>
  <c r="AH42"/>
  <c r="AG42"/>
  <c r="AF42"/>
  <c r="AE42"/>
  <c r="AD42"/>
  <c r="AC42"/>
  <c r="AB42"/>
  <c r="AA42"/>
  <c r="Z42"/>
  <c r="Y42"/>
  <c r="V42"/>
  <c r="U42" s="1"/>
  <c r="T42"/>
  <c r="S42"/>
  <c r="U40" i="1" s="1"/>
  <c r="AJ41" i="14"/>
  <c r="AI41"/>
  <c r="AH41"/>
  <c r="AG41"/>
  <c r="AF41"/>
  <c r="AE41"/>
  <c r="AD41"/>
  <c r="AC41"/>
  <c r="AB41"/>
  <c r="AA41"/>
  <c r="Z41"/>
  <c r="Y41"/>
  <c r="V41"/>
  <c r="U41" s="1"/>
  <c r="T41" s="1"/>
  <c r="S41"/>
  <c r="U31" i="1" s="1"/>
  <c r="AJ40" i="14"/>
  <c r="AI40"/>
  <c r="AH40"/>
  <c r="AG40"/>
  <c r="AF40"/>
  <c r="AE40"/>
  <c r="AD40"/>
  <c r="AC40"/>
  <c r="AB40"/>
  <c r="AA40"/>
  <c r="Z40"/>
  <c r="Y40"/>
  <c r="V40"/>
  <c r="U40" s="1"/>
  <c r="T40"/>
  <c r="S40"/>
  <c r="U46" i="1" s="1"/>
  <c r="AJ39" i="14"/>
  <c r="AI39"/>
  <c r="AH39"/>
  <c r="AG39"/>
  <c r="AF39"/>
  <c r="AE39"/>
  <c r="AD39"/>
  <c r="AC39"/>
  <c r="AB39"/>
  <c r="AA39"/>
  <c r="Z39"/>
  <c r="Y39"/>
  <c r="V39"/>
  <c r="U39" s="1"/>
  <c r="T39"/>
  <c r="S39"/>
  <c r="U49" i="1" s="1"/>
  <c r="AJ38" i="14"/>
  <c r="AI38"/>
  <c r="AH38"/>
  <c r="AG38"/>
  <c r="AF38"/>
  <c r="AE38"/>
  <c r="AD38"/>
  <c r="AC38"/>
  <c r="AB38"/>
  <c r="AA38"/>
  <c r="Z38"/>
  <c r="Y38"/>
  <c r="V38"/>
  <c r="U38" s="1"/>
  <c r="T38"/>
  <c r="S38"/>
  <c r="U63" i="1" s="1"/>
  <c r="AJ37" i="14"/>
  <c r="AI37"/>
  <c r="AH37"/>
  <c r="AG37"/>
  <c r="AF37"/>
  <c r="AE37"/>
  <c r="AD37"/>
  <c r="AC37"/>
  <c r="AB37"/>
  <c r="AA37"/>
  <c r="Z37"/>
  <c r="Y37"/>
  <c r="V37"/>
  <c r="U37" s="1"/>
  <c r="T37"/>
  <c r="S37"/>
  <c r="U26" i="1" s="1"/>
  <c r="AJ11" i="14"/>
  <c r="AI11"/>
  <c r="AH11"/>
  <c r="AG11"/>
  <c r="AF11"/>
  <c r="AE11"/>
  <c r="AD11"/>
  <c r="AC11"/>
  <c r="AB11"/>
  <c r="AA11"/>
  <c r="Z11"/>
  <c r="Y11"/>
  <c r="V11"/>
  <c r="U11" s="1"/>
  <c r="T11" s="1"/>
  <c r="S11"/>
  <c r="U17" i="1" s="1"/>
  <c r="AJ36" i="14"/>
  <c r="AI36"/>
  <c r="AH36"/>
  <c r="AG36"/>
  <c r="AF36"/>
  <c r="AE36"/>
  <c r="AD36"/>
  <c r="AC36"/>
  <c r="AB36"/>
  <c r="AA36"/>
  <c r="Z36"/>
  <c r="Y36"/>
  <c r="V36"/>
  <c r="U36" s="1"/>
  <c r="T36"/>
  <c r="S36"/>
  <c r="U23" i="1" s="1"/>
  <c r="AJ32" i="14"/>
  <c r="AI32"/>
  <c r="AH32"/>
  <c r="AG32"/>
  <c r="AF32"/>
  <c r="AE32"/>
  <c r="AD32"/>
  <c r="AC32"/>
  <c r="AB32"/>
  <c r="AA32"/>
  <c r="Z32"/>
  <c r="Y32"/>
  <c r="V32"/>
  <c r="U32" s="1"/>
  <c r="T32" s="1"/>
  <c r="S32"/>
  <c r="U4" i="1" s="1"/>
  <c r="AJ35" i="14"/>
  <c r="AI35"/>
  <c r="AH35"/>
  <c r="AG35"/>
  <c r="AF35"/>
  <c r="AE35"/>
  <c r="AD35"/>
  <c r="AC35"/>
  <c r="AB35"/>
  <c r="AA35"/>
  <c r="Z35"/>
  <c r="Y35"/>
  <c r="V35"/>
  <c r="U35" s="1"/>
  <c r="T35"/>
  <c r="S35"/>
  <c r="U66" i="1" s="1"/>
  <c r="AJ26" i="14"/>
  <c r="AI26"/>
  <c r="AH26"/>
  <c r="AG26"/>
  <c r="AF26"/>
  <c r="AE26"/>
  <c r="AD26"/>
  <c r="AC26"/>
  <c r="AB26"/>
  <c r="AA26"/>
  <c r="Z26"/>
  <c r="Y26"/>
  <c r="V26"/>
  <c r="U26" s="1"/>
  <c r="T26" s="1"/>
  <c r="S26"/>
  <c r="U11" i="1" s="1"/>
  <c r="AJ68" i="14"/>
  <c r="AI68"/>
  <c r="AH68"/>
  <c r="AG68"/>
  <c r="AF68"/>
  <c r="AE68"/>
  <c r="AD68"/>
  <c r="AC68"/>
  <c r="AB68"/>
  <c r="AA68"/>
  <c r="Z68"/>
  <c r="Y68"/>
  <c r="V68"/>
  <c r="U68" s="1"/>
  <c r="T68" s="1"/>
  <c r="S68"/>
  <c r="U34" i="1" s="1"/>
  <c r="AJ34" i="14"/>
  <c r="AI34"/>
  <c r="AH34"/>
  <c r="AG34"/>
  <c r="AF34"/>
  <c r="AE34"/>
  <c r="AD34"/>
  <c r="AC34"/>
  <c r="AB34"/>
  <c r="AA34"/>
  <c r="Z34"/>
  <c r="Y34"/>
  <c r="V34"/>
  <c r="U34" s="1"/>
  <c r="T34"/>
  <c r="S34"/>
  <c r="U58" i="1" s="1"/>
  <c r="AJ33" i="14"/>
  <c r="AI33"/>
  <c r="AH33"/>
  <c r="AG33"/>
  <c r="AF33"/>
  <c r="AE33"/>
  <c r="AD33"/>
  <c r="AC33"/>
  <c r="AB33"/>
  <c r="AA33"/>
  <c r="Z33"/>
  <c r="Y33"/>
  <c r="V33"/>
  <c r="U33" s="1"/>
  <c r="T33"/>
  <c r="S33"/>
  <c r="U57" i="1" s="1"/>
  <c r="AJ18" i="14"/>
  <c r="AI18"/>
  <c r="AH18"/>
  <c r="AG18"/>
  <c r="AF18"/>
  <c r="AE18"/>
  <c r="AD18"/>
  <c r="AC18"/>
  <c r="AB18"/>
  <c r="AA18"/>
  <c r="Z18"/>
  <c r="Y18"/>
  <c r="V18"/>
  <c r="U18" s="1"/>
  <c r="T18" s="1"/>
  <c r="S18"/>
  <c r="U9" i="1" s="1"/>
  <c r="AJ28" i="14"/>
  <c r="AI28"/>
  <c r="AH28"/>
  <c r="AG28"/>
  <c r="AF28"/>
  <c r="AE28"/>
  <c r="AD28"/>
  <c r="AC28"/>
  <c r="AB28"/>
  <c r="AA28"/>
  <c r="Z28"/>
  <c r="Y28"/>
  <c r="V28"/>
  <c r="U28" s="1"/>
  <c r="T28"/>
  <c r="S28"/>
  <c r="U25" i="1" s="1"/>
  <c r="AJ27" i="14"/>
  <c r="AI27"/>
  <c r="AH27"/>
  <c r="AG27"/>
  <c r="AF27"/>
  <c r="AE27"/>
  <c r="AD27"/>
  <c r="AC27"/>
  <c r="AB27"/>
  <c r="AA27"/>
  <c r="Z27"/>
  <c r="Y27"/>
  <c r="V27"/>
  <c r="U27" s="1"/>
  <c r="T27"/>
  <c r="S27"/>
  <c r="U36" i="1" s="1"/>
  <c r="AJ25" i="14"/>
  <c r="AI25"/>
  <c r="AH25"/>
  <c r="AG25"/>
  <c r="AF25"/>
  <c r="AE25"/>
  <c r="AD25"/>
  <c r="AC25"/>
  <c r="AB25"/>
  <c r="AA25"/>
  <c r="Z25"/>
  <c r="Y25"/>
  <c r="V25"/>
  <c r="U25" s="1"/>
  <c r="T25" s="1"/>
  <c r="S25"/>
  <c r="U67" i="1" s="1"/>
  <c r="AJ31" i="14"/>
  <c r="AI31"/>
  <c r="AH31"/>
  <c r="AG31"/>
  <c r="AF31"/>
  <c r="AE31"/>
  <c r="AD31"/>
  <c r="AC31"/>
  <c r="AB31"/>
  <c r="AA31"/>
  <c r="Z31"/>
  <c r="Y31"/>
  <c r="V31"/>
  <c r="U31" s="1"/>
  <c r="T31" s="1"/>
  <c r="S31"/>
  <c r="U8" i="1" s="1"/>
  <c r="AJ55" i="14"/>
  <c r="AI55"/>
  <c r="AH55"/>
  <c r="AG55"/>
  <c r="AF55"/>
  <c r="AE55"/>
  <c r="AD55"/>
  <c r="AC55"/>
  <c r="AB55"/>
  <c r="AA55"/>
  <c r="Z55"/>
  <c r="Y55"/>
  <c r="V55"/>
  <c r="U55" s="1"/>
  <c r="T55" s="1"/>
  <c r="S55"/>
  <c r="U39" i="1" s="1"/>
  <c r="AJ63" i="14"/>
  <c r="AI63"/>
  <c r="AH63"/>
  <c r="AG63"/>
  <c r="AF63"/>
  <c r="AE63"/>
  <c r="AD63"/>
  <c r="AC63"/>
  <c r="AB63"/>
  <c r="AA63"/>
  <c r="Z63"/>
  <c r="Y63"/>
  <c r="V63"/>
  <c r="U63" s="1"/>
  <c r="T63" s="1"/>
  <c r="S63"/>
  <c r="U18" i="1" s="1"/>
  <c r="AJ50" i="14"/>
  <c r="AI50"/>
  <c r="AH50"/>
  <c r="AG50"/>
  <c r="AF50"/>
  <c r="AE50"/>
  <c r="AD50"/>
  <c r="AC50"/>
  <c r="AB50"/>
  <c r="AA50"/>
  <c r="Z50"/>
  <c r="Y50"/>
  <c r="V50"/>
  <c r="U50" s="1"/>
  <c r="T50" s="1"/>
  <c r="S50"/>
  <c r="U10" i="1" s="1"/>
  <c r="AJ24" i="14"/>
  <c r="AI24"/>
  <c r="AH24"/>
  <c r="AG24"/>
  <c r="AF24"/>
  <c r="AE24"/>
  <c r="AD24"/>
  <c r="AC24"/>
  <c r="AB24"/>
  <c r="AA24"/>
  <c r="Z24"/>
  <c r="Y24"/>
  <c r="V24"/>
  <c r="U24" s="1"/>
  <c r="T24" s="1"/>
  <c r="S24"/>
  <c r="U41" i="1" s="1"/>
  <c r="AJ23" i="14"/>
  <c r="AI23"/>
  <c r="AH23"/>
  <c r="AG23"/>
  <c r="AF23"/>
  <c r="AE23"/>
  <c r="AD23"/>
  <c r="AC23"/>
  <c r="AB23"/>
  <c r="AA23"/>
  <c r="Z23"/>
  <c r="Y23"/>
  <c r="V23"/>
  <c r="U23" s="1"/>
  <c r="T23"/>
  <c r="S23"/>
  <c r="U56" i="1" s="1"/>
  <c r="AJ67" i="14"/>
  <c r="AI67"/>
  <c r="AH67"/>
  <c r="AG67"/>
  <c r="AF67"/>
  <c r="AE67"/>
  <c r="AD67"/>
  <c r="AC67"/>
  <c r="AB67"/>
  <c r="AA67"/>
  <c r="Z67"/>
  <c r="Y67"/>
  <c r="V67"/>
  <c r="U67" s="1"/>
  <c r="T67" s="1"/>
  <c r="S67"/>
  <c r="U28" i="1" s="1"/>
  <c r="AJ22" i="14"/>
  <c r="AI22"/>
  <c r="AH22"/>
  <c r="AG22"/>
  <c r="AF22"/>
  <c r="AE22"/>
  <c r="AD22"/>
  <c r="AC22"/>
  <c r="AB22"/>
  <c r="AA22"/>
  <c r="Z22"/>
  <c r="Y22"/>
  <c r="V22"/>
  <c r="U22" s="1"/>
  <c r="T22"/>
  <c r="S22"/>
  <c r="U43" i="1" s="1"/>
  <c r="AJ66" i="14"/>
  <c r="AI66"/>
  <c r="AH66"/>
  <c r="AG66"/>
  <c r="AF66"/>
  <c r="AE66"/>
  <c r="AD66"/>
  <c r="AC66"/>
  <c r="AB66"/>
  <c r="AA66"/>
  <c r="Z66"/>
  <c r="Y66"/>
  <c r="V66"/>
  <c r="U66" s="1"/>
  <c r="T66" s="1"/>
  <c r="S66"/>
  <c r="U24" i="1" s="1"/>
  <c r="AJ19" i="14"/>
  <c r="AI19"/>
  <c r="AH19"/>
  <c r="AG19"/>
  <c r="AF19"/>
  <c r="AE19"/>
  <c r="AD19"/>
  <c r="AC19"/>
  <c r="AB19"/>
  <c r="AA19"/>
  <c r="Z19"/>
  <c r="Y19"/>
  <c r="V19"/>
  <c r="U19" s="1"/>
  <c r="T19"/>
  <c r="S19"/>
  <c r="U65" i="1" s="1"/>
  <c r="AJ64" i="14"/>
  <c r="AI64"/>
  <c r="AH64"/>
  <c r="AG64"/>
  <c r="AF64"/>
  <c r="AE64"/>
  <c r="AD64"/>
  <c r="AC64"/>
  <c r="AB64"/>
  <c r="AA64"/>
  <c r="Z64"/>
  <c r="Y64"/>
  <c r="V64"/>
  <c r="U64" s="1"/>
  <c r="T64" s="1"/>
  <c r="S64"/>
  <c r="U50" i="1" s="1"/>
  <c r="AJ17" i="14"/>
  <c r="AI17"/>
  <c r="AH17"/>
  <c r="AG17"/>
  <c r="AF17"/>
  <c r="AE17"/>
  <c r="AD17"/>
  <c r="AC17"/>
  <c r="AB17"/>
  <c r="AA17"/>
  <c r="Z17"/>
  <c r="Y17"/>
  <c r="V17"/>
  <c r="U17" s="1"/>
  <c r="T17"/>
  <c r="S17"/>
  <c r="U19" i="1" s="1"/>
  <c r="AJ16" i="14"/>
  <c r="AI16"/>
  <c r="AH16"/>
  <c r="AG16"/>
  <c r="AF16"/>
  <c r="AE16"/>
  <c r="AD16"/>
  <c r="AC16"/>
  <c r="AB16"/>
  <c r="AA16"/>
  <c r="Z16"/>
  <c r="Y16"/>
  <c r="V16"/>
  <c r="U16" s="1"/>
  <c r="T16"/>
  <c r="S16"/>
  <c r="U54" i="1" s="1"/>
  <c r="AJ15" i="14"/>
  <c r="AI15"/>
  <c r="AH15"/>
  <c r="AG15"/>
  <c r="AF15"/>
  <c r="AE15"/>
  <c r="AD15"/>
  <c r="AC15"/>
  <c r="AB15"/>
  <c r="AA15"/>
  <c r="Z15"/>
  <c r="Y15"/>
  <c r="V15"/>
  <c r="U15" s="1"/>
  <c r="T15"/>
  <c r="S15"/>
  <c r="U30" i="1" s="1"/>
  <c r="AJ14" i="14"/>
  <c r="AI14"/>
  <c r="AH14"/>
  <c r="AG14"/>
  <c r="AF14"/>
  <c r="AE14"/>
  <c r="AD14"/>
  <c r="AC14"/>
  <c r="AB14"/>
  <c r="AA14"/>
  <c r="Z14"/>
  <c r="Y14"/>
  <c r="V14"/>
  <c r="U14" s="1"/>
  <c r="T14"/>
  <c r="S14"/>
  <c r="U52" i="1" s="1"/>
  <c r="AJ13" i="14"/>
  <c r="AI13"/>
  <c r="AH13"/>
  <c r="AG13"/>
  <c r="AF13"/>
  <c r="AE13"/>
  <c r="AD13"/>
  <c r="AC13"/>
  <c r="AB13"/>
  <c r="AA13"/>
  <c r="Z13"/>
  <c r="Y13"/>
  <c r="V13"/>
  <c r="U13" s="1"/>
  <c r="T13" s="1"/>
  <c r="S13"/>
  <c r="U16" i="1" s="1"/>
  <c r="AJ12" i="14"/>
  <c r="AI12"/>
  <c r="AH12"/>
  <c r="AG12"/>
  <c r="AF12"/>
  <c r="AE12"/>
  <c r="AD12"/>
  <c r="AC12"/>
  <c r="AB12"/>
  <c r="AA12"/>
  <c r="Z12"/>
  <c r="Y12"/>
  <c r="V12"/>
  <c r="U12" s="1"/>
  <c r="T12"/>
  <c r="S12"/>
  <c r="U3" i="1" s="1"/>
  <c r="AJ10" i="14"/>
  <c r="AI10"/>
  <c r="AH10"/>
  <c r="AG10"/>
  <c r="AF10"/>
  <c r="AE10"/>
  <c r="AD10"/>
  <c r="AC10"/>
  <c r="AB10"/>
  <c r="AA10"/>
  <c r="Z10"/>
  <c r="Y10"/>
  <c r="V10"/>
  <c r="U10" s="1"/>
  <c r="T10"/>
  <c r="S10"/>
  <c r="U62" i="1" s="1"/>
  <c r="AJ9" i="14"/>
  <c r="AI9"/>
  <c r="AH9"/>
  <c r="AG9"/>
  <c r="AF9"/>
  <c r="AE9"/>
  <c r="AD9"/>
  <c r="AC9"/>
  <c r="AB9"/>
  <c r="AA9"/>
  <c r="Z9"/>
  <c r="Y9"/>
  <c r="V9"/>
  <c r="U9" s="1"/>
  <c r="T9"/>
  <c r="S9"/>
  <c r="U33" i="1" s="1"/>
  <c r="AJ8" i="14"/>
  <c r="AI8"/>
  <c r="AH8"/>
  <c r="AG8"/>
  <c r="AF8"/>
  <c r="AE8"/>
  <c r="AD8"/>
  <c r="AC8"/>
  <c r="AB8"/>
  <c r="AA8"/>
  <c r="Z8"/>
  <c r="Y8"/>
  <c r="V8"/>
  <c r="U8" s="1"/>
  <c r="T8"/>
  <c r="S8"/>
  <c r="U29" i="1" s="1"/>
  <c r="AJ60" i="14"/>
  <c r="AI60"/>
  <c r="AH60"/>
  <c r="AG60"/>
  <c r="AF60"/>
  <c r="AE60"/>
  <c r="AD60"/>
  <c r="AC60"/>
  <c r="AB60"/>
  <c r="AA60"/>
  <c r="Z60"/>
  <c r="Y60"/>
  <c r="V60"/>
  <c r="U60" s="1"/>
  <c r="T60" s="1"/>
  <c r="S60"/>
  <c r="U32" i="1" s="1"/>
  <c r="AJ7" i="14"/>
  <c r="AI7"/>
  <c r="AH7"/>
  <c r="AG7"/>
  <c r="AF7"/>
  <c r="AE7"/>
  <c r="AD7"/>
  <c r="AC7"/>
  <c r="AB7"/>
  <c r="AA7"/>
  <c r="Z7"/>
  <c r="Y7"/>
  <c r="V7"/>
  <c r="U7" s="1"/>
  <c r="T7"/>
  <c r="S7"/>
  <c r="U42" i="1" s="1"/>
  <c r="AJ6" i="14"/>
  <c r="AI6"/>
  <c r="AH6"/>
  <c r="AG6"/>
  <c r="AF6"/>
  <c r="AE6"/>
  <c r="AD6"/>
  <c r="AC6"/>
  <c r="AB6"/>
  <c r="AA6"/>
  <c r="Z6"/>
  <c r="Y6"/>
  <c r="V6"/>
  <c r="U6" s="1"/>
  <c r="T6"/>
  <c r="S6"/>
  <c r="U15" i="1" s="1"/>
  <c r="AJ5" i="14"/>
  <c r="AI5"/>
  <c r="AH5"/>
  <c r="AG5"/>
  <c r="AF5"/>
  <c r="AE5"/>
  <c r="AD5"/>
  <c r="AC5"/>
  <c r="AB5"/>
  <c r="AA5"/>
  <c r="Z5"/>
  <c r="Y5"/>
  <c r="V5"/>
  <c r="U5" s="1"/>
  <c r="T5"/>
  <c r="S5"/>
  <c r="U55" i="1" s="1"/>
  <c r="AJ4" i="14"/>
  <c r="AI4"/>
  <c r="AH4"/>
  <c r="AG4"/>
  <c r="AF4"/>
  <c r="AE4"/>
  <c r="AD4"/>
  <c r="AC4"/>
  <c r="AB4"/>
  <c r="AA4"/>
  <c r="Z4"/>
  <c r="Y4"/>
  <c r="V4"/>
  <c r="U4" s="1"/>
  <c r="T4"/>
  <c r="S4"/>
  <c r="U60" i="1" s="1"/>
  <c r="AJ2" i="14"/>
  <c r="AI2"/>
  <c r="AH2"/>
  <c r="AG2"/>
  <c r="AF2"/>
  <c r="AE2"/>
  <c r="AD2"/>
  <c r="AC2"/>
  <c r="AB2"/>
  <c r="AA2"/>
  <c r="Z2"/>
  <c r="Y2"/>
  <c r="V2"/>
  <c r="U2"/>
  <c r="T2"/>
  <c r="S25" i="6" l="1"/>
  <c r="BM67" i="1" s="1"/>
  <c r="P55" i="18"/>
  <c r="M39" i="1" s="1"/>
  <c r="P25" i="18"/>
  <c r="M67" i="1" s="1"/>
  <c r="P38" i="18"/>
  <c r="M63" i="1" s="1"/>
  <c r="S55" i="6"/>
  <c r="BM39" i="1" s="1"/>
  <c r="P11" i="18"/>
  <c r="M17" i="1" s="1"/>
  <c r="S11" i="6"/>
  <c r="BM17" i="1" s="1"/>
  <c r="P46" i="18"/>
  <c r="M48" i="1" s="1"/>
  <c r="P23" i="18"/>
  <c r="M56" i="1" s="1"/>
  <c r="P26" i="18"/>
  <c r="M11" i="1" s="1"/>
  <c r="P31" i="18"/>
  <c r="M8" i="1" s="1"/>
  <c r="P65" i="18"/>
  <c r="M53" i="1" s="1"/>
  <c r="P37" i="18"/>
  <c r="M26" i="1" s="1"/>
  <c r="P24" i="18"/>
  <c r="M41" i="1" s="1"/>
  <c r="P57" i="18"/>
  <c r="M35" i="1" s="1"/>
  <c r="P20" i="18"/>
  <c r="M20" i="1" s="1"/>
  <c r="P48" i="18"/>
  <c r="M38" i="1" s="1"/>
  <c r="P54" i="18"/>
  <c r="M21" i="1" s="1"/>
  <c r="P52" i="18"/>
  <c r="M59" i="1" s="1"/>
  <c r="P45" i="18"/>
  <c r="M44" i="1" s="1"/>
  <c r="P62" i="18"/>
  <c r="M37" i="1" s="1"/>
  <c r="P67" i="18"/>
  <c r="M28" i="1" s="1"/>
  <c r="P50" i="18"/>
  <c r="M10" i="1" s="1"/>
  <c r="P18" i="18"/>
  <c r="M9" i="1" s="1"/>
  <c r="P22" i="18"/>
  <c r="M43" i="1" s="1"/>
  <c r="P28" i="18"/>
  <c r="M25" i="1" s="1"/>
  <c r="P63" i="18"/>
  <c r="M18" i="1" s="1"/>
  <c r="P16" i="18"/>
  <c r="M54" i="1" s="1"/>
  <c r="P13" i="18"/>
  <c r="M16" i="1" s="1"/>
  <c r="P9" i="18"/>
  <c r="M33" i="1" s="1"/>
  <c r="P7" i="18"/>
  <c r="M42" i="1" s="1"/>
  <c r="P6" i="18"/>
  <c r="M15" i="1" s="1"/>
  <c r="P5" i="18"/>
  <c r="M55" i="1" s="1"/>
  <c r="P60" i="18"/>
  <c r="M32" i="1" s="1"/>
  <c r="P47" i="18"/>
  <c r="M64" i="1" s="1"/>
  <c r="P8" i="18"/>
  <c r="M29" i="1" s="1"/>
  <c r="P4" i="18"/>
  <c r="M60" i="1" s="1"/>
  <c r="S48" i="6"/>
  <c r="BM38" i="1" s="1"/>
  <c r="S24" i="6"/>
  <c r="BM41" i="1" s="1"/>
  <c r="P39" i="18"/>
  <c r="M49" i="1" s="1"/>
  <c r="P68" i="18"/>
  <c r="M34" i="1" s="1"/>
  <c r="P19" i="18"/>
  <c r="M65" i="1" s="1"/>
  <c r="P15" i="18"/>
  <c r="M30" i="1" s="1"/>
  <c r="P33" i="18"/>
  <c r="M57" i="1" s="1"/>
  <c r="P10" i="18"/>
  <c r="M62" i="1" s="1"/>
  <c r="P53" i="18"/>
  <c r="M61" i="1" s="1"/>
  <c r="P35" i="18"/>
  <c r="M66" i="1" s="1"/>
  <c r="P64" i="18"/>
  <c r="M50" i="1" s="1"/>
  <c r="P17" i="18"/>
  <c r="M19" i="1" s="1"/>
  <c r="P42" i="18"/>
  <c r="M40" i="1" s="1"/>
  <c r="P40" i="18"/>
  <c r="M46" i="1" s="1"/>
  <c r="P32" i="18"/>
  <c r="M4" i="1" s="1"/>
  <c r="P30" i="18"/>
  <c r="M7" i="1" s="1"/>
  <c r="P58" i="18"/>
  <c r="M51" i="1" s="1"/>
  <c r="P66" i="18"/>
  <c r="M24" i="1" s="1"/>
  <c r="P44" i="18"/>
  <c r="M6" i="1" s="1"/>
  <c r="P34" i="18"/>
  <c r="M58" i="1" s="1"/>
  <c r="P43" i="18"/>
  <c r="M14" i="1" s="1"/>
  <c r="P41" i="18"/>
  <c r="M31" i="1" s="1"/>
  <c r="P61" i="18"/>
  <c r="M47" i="1" s="1"/>
  <c r="P21" i="18"/>
  <c r="M22" i="1" s="1"/>
  <c r="P51" i="18"/>
  <c r="M12" i="1" s="1"/>
  <c r="P36" i="18"/>
  <c r="M23" i="1" s="1"/>
  <c r="P27" i="18"/>
  <c r="M36" i="1" s="1"/>
  <c r="P12" i="18"/>
  <c r="M3" i="1" s="1"/>
  <c r="P14" i="18"/>
  <c r="M52" i="1" s="1"/>
  <c r="S34" i="6"/>
  <c r="BM58" i="1" s="1"/>
  <c r="S19" i="6"/>
  <c r="BM65" i="1" s="1"/>
  <c r="S54" i="6"/>
  <c r="BM21" i="1" s="1"/>
  <c r="S43" i="6"/>
  <c r="BM14" i="1" s="1"/>
  <c r="S21" i="6"/>
  <c r="BM22" i="1" s="1"/>
  <c r="S10" i="6"/>
  <c r="BM62" i="1" s="1"/>
  <c r="S27" i="6"/>
  <c r="BM36" i="1" s="1"/>
  <c r="S67" i="6"/>
  <c r="BM28" i="1" s="1"/>
  <c r="S66" i="6"/>
  <c r="BM24" i="1" s="1"/>
  <c r="S16" i="6"/>
  <c r="BM54" i="1" s="1"/>
  <c r="S44" i="6"/>
  <c r="BM6" i="1" s="1"/>
  <c r="S60" i="6"/>
  <c r="BM32" i="1" s="1"/>
  <c r="S47" i="6"/>
  <c r="BM64" i="1" s="1"/>
  <c r="S61" i="6"/>
  <c r="BM47" i="1" s="1"/>
  <c r="S23" i="6"/>
  <c r="BM56" i="1" s="1"/>
  <c r="S14" i="6"/>
  <c r="BM52" i="1" s="1"/>
  <c r="S8" i="6"/>
  <c r="BM29" i="1" s="1"/>
  <c r="S46" i="6"/>
  <c r="BM48" i="1" s="1"/>
  <c r="S6" i="6"/>
  <c r="BM15" i="1" s="1"/>
  <c r="S40" i="6"/>
  <c r="BM46" i="1" s="1"/>
  <c r="S4" i="6"/>
  <c r="BM60" i="1" s="1"/>
  <c r="S35" i="6"/>
  <c r="BM66" i="1" s="1"/>
  <c r="S31" i="6"/>
  <c r="BM8" i="1" s="1"/>
  <c r="S12" i="6"/>
  <c r="BM3" i="1" s="1"/>
  <c r="S26" i="6"/>
  <c r="BM11" i="1" s="1"/>
  <c r="S28" i="6"/>
  <c r="BM25" i="1" s="1"/>
  <c r="S18" i="6"/>
  <c r="BM9" i="1" s="1"/>
  <c r="S57" i="6"/>
  <c r="BM35" i="1" s="1"/>
  <c r="S20" i="6"/>
  <c r="BM20" i="1" s="1"/>
  <c r="S17" i="6"/>
  <c r="BM19" i="1" s="1"/>
  <c r="S52" i="6"/>
  <c r="BM59" i="1" s="1"/>
  <c r="S65" i="6"/>
  <c r="BM53" i="1" s="1"/>
  <c r="S30" i="6"/>
  <c r="BM7" i="1" s="1"/>
  <c r="S62" i="6"/>
  <c r="BM37" i="1" s="1"/>
  <c r="S68" i="6"/>
  <c r="BM34" i="1" s="1"/>
  <c r="S15" i="6"/>
  <c r="BM30" i="1" s="1"/>
  <c r="S39" i="6"/>
  <c r="BM49" i="1" s="1"/>
  <c r="S33" i="6"/>
  <c r="BM57" i="1" s="1"/>
  <c r="S63" i="6"/>
  <c r="BM18" i="1" s="1"/>
  <c r="S53" i="6"/>
  <c r="BM61" i="1" s="1"/>
  <c r="S42" i="6"/>
  <c r="BM40" i="1" s="1"/>
  <c r="S50" i="6"/>
  <c r="BM10" i="1" s="1"/>
  <c r="S13" i="6"/>
  <c r="BM16" i="1" s="1"/>
  <c r="S9" i="6"/>
  <c r="BM33" i="1" s="1"/>
  <c r="S51" i="6"/>
  <c r="BM12" i="1" s="1"/>
  <c r="S45" i="6"/>
  <c r="BM44" i="1" s="1"/>
  <c r="S41" i="6"/>
  <c r="BM31" i="1" s="1"/>
  <c r="S58" i="6"/>
  <c r="BM51" i="1" s="1"/>
  <c r="S37" i="6"/>
  <c r="BM26" i="1" s="1"/>
  <c r="S22" i="6"/>
  <c r="BM43" i="1" s="1"/>
  <c r="S59" i="6"/>
  <c r="BM45" i="1" s="1"/>
  <c r="S64" i="6"/>
  <c r="BM50" i="1" s="1"/>
  <c r="S7" i="6"/>
  <c r="BM42" i="1" s="1"/>
  <c r="S32" i="6"/>
  <c r="BM4" i="1" s="1"/>
  <c r="S5" i="6"/>
  <c r="BM55" i="1" s="1"/>
  <c r="S38" i="6"/>
  <c r="BM63" i="1" s="1"/>
  <c r="S36" i="6"/>
  <c r="BM23" i="1" s="1"/>
  <c r="P59" i="18"/>
  <c r="M45" i="1" s="1"/>
  <c r="V14" i="15"/>
  <c r="X14" s="1"/>
  <c r="V67"/>
  <c r="V63"/>
  <c r="V34"/>
  <c r="X34" s="1"/>
  <c r="V32"/>
  <c r="V38"/>
  <c r="X38" s="1"/>
  <c r="V42"/>
  <c r="X42" s="1"/>
  <c r="V46"/>
  <c r="X46" s="1"/>
  <c r="V5"/>
  <c r="X5" s="1"/>
  <c r="V8"/>
  <c r="X8" s="1"/>
  <c r="V13"/>
  <c r="V17"/>
  <c r="X17" s="1"/>
  <c r="V22"/>
  <c r="X22" s="1"/>
  <c r="V50"/>
  <c r="V25"/>
  <c r="V33"/>
  <c r="X33" s="1"/>
  <c r="V35"/>
  <c r="X35" s="1"/>
  <c r="V37"/>
  <c r="X37" s="1"/>
  <c r="V41"/>
  <c r="V45"/>
  <c r="X45" s="1"/>
  <c r="V49"/>
  <c r="X49" s="1"/>
  <c r="V54"/>
  <c r="X54" s="1"/>
  <c r="V58"/>
  <c r="V103"/>
  <c r="V4"/>
  <c r="X4" s="1"/>
  <c r="V60"/>
  <c r="V12"/>
  <c r="X12" s="1"/>
  <c r="V16"/>
  <c r="X16" s="1"/>
  <c r="V66"/>
  <c r="V24"/>
  <c r="V31"/>
  <c r="V18"/>
  <c r="V26"/>
  <c r="V11"/>
  <c r="V40"/>
  <c r="X40" s="1"/>
  <c r="V44"/>
  <c r="V48"/>
  <c r="V53"/>
  <c r="X53" s="1"/>
  <c r="V57"/>
  <c r="V61"/>
  <c r="X61" s="1"/>
  <c r="V65"/>
  <c r="X65" s="1"/>
  <c r="V7"/>
  <c r="X7" s="1"/>
  <c r="V10"/>
  <c r="X10" s="1"/>
  <c r="V15"/>
  <c r="X15" s="1"/>
  <c r="V19"/>
  <c r="X19" s="1"/>
  <c r="V23"/>
  <c r="X23" s="1"/>
  <c r="V55"/>
  <c r="V28"/>
  <c r="X28" s="1"/>
  <c r="V68"/>
  <c r="V36"/>
  <c r="X36" s="1"/>
  <c r="V39"/>
  <c r="X39" s="1"/>
  <c r="V43"/>
  <c r="V47"/>
  <c r="X47" s="1"/>
  <c r="V52"/>
  <c r="X52" s="1"/>
  <c r="V21"/>
  <c r="X21" s="1"/>
  <c r="V59"/>
  <c r="X59" s="1"/>
  <c r="V62"/>
  <c r="V6"/>
  <c r="X6" s="1"/>
  <c r="V9"/>
  <c r="X9" s="1"/>
  <c r="V64"/>
  <c r="V27"/>
  <c r="X27" s="1"/>
  <c r="V20"/>
  <c r="X20" s="1"/>
  <c r="V102"/>
  <c r="V30"/>
  <c r="X30" s="1"/>
  <c r="AM27"/>
  <c r="AM42"/>
  <c r="AM52"/>
  <c r="AM5"/>
  <c r="AM6"/>
  <c r="AM7"/>
  <c r="AM34"/>
  <c r="AM36"/>
  <c r="AM67"/>
  <c r="AM50"/>
  <c r="AM63"/>
  <c r="AM31"/>
  <c r="AM28"/>
  <c r="AM38"/>
  <c r="AM40"/>
  <c r="AM43"/>
  <c r="X51"/>
  <c r="AM30"/>
  <c r="AM9"/>
  <c r="AM12"/>
  <c r="AM19"/>
  <c r="AM26"/>
  <c r="AM46"/>
  <c r="AM48"/>
  <c r="AM51"/>
  <c r="AM53"/>
  <c r="AM21"/>
  <c r="AM59"/>
  <c r="AM8"/>
  <c r="AM13"/>
  <c r="AM14"/>
  <c r="AM17"/>
  <c r="AM64"/>
  <c r="AM66"/>
  <c r="AM23"/>
  <c r="AM32"/>
  <c r="AM20"/>
  <c r="AM58"/>
  <c r="AM102"/>
  <c r="AM61"/>
  <c r="AM62"/>
  <c r="AM55"/>
  <c r="AM33"/>
  <c r="AM68"/>
  <c r="AM37"/>
  <c r="AM39"/>
  <c r="AM45"/>
  <c r="AM47"/>
  <c r="AM57"/>
  <c r="AM65"/>
  <c r="AM16"/>
  <c r="AM4"/>
  <c r="AM10"/>
  <c r="AM22"/>
  <c r="AM25"/>
  <c r="AM35"/>
  <c r="AM41"/>
  <c r="AM49"/>
  <c r="AM60"/>
  <c r="AM15"/>
  <c r="AM24"/>
  <c r="AM18"/>
  <c r="AM11"/>
  <c r="AM44"/>
  <c r="AM54"/>
  <c r="AM103"/>
  <c r="W35" i="14"/>
  <c r="X35" s="1"/>
  <c r="W51"/>
  <c r="X51" s="1"/>
  <c r="W22"/>
  <c r="X22" s="1"/>
  <c r="AK24"/>
  <c r="W41" i="1" s="1"/>
  <c r="W49" i="14"/>
  <c r="X49" s="1"/>
  <c r="W54"/>
  <c r="X54" s="1"/>
  <c r="W13"/>
  <c r="X13" s="1"/>
  <c r="W50"/>
  <c r="X50" s="1"/>
  <c r="AK26"/>
  <c r="W11" i="1" s="1"/>
  <c r="W32" i="14"/>
  <c r="X32" s="1"/>
  <c r="AK37"/>
  <c r="W26" i="1" s="1"/>
  <c r="W63" i="14"/>
  <c r="X63" s="1"/>
  <c r="AK53"/>
  <c r="W61" i="1" s="1"/>
  <c r="W20" i="14"/>
  <c r="X20" s="1"/>
  <c r="W10"/>
  <c r="X10" s="1"/>
  <c r="W12"/>
  <c r="X12" s="1"/>
  <c r="AK11"/>
  <c r="W17" i="1" s="1"/>
  <c r="W38" i="14"/>
  <c r="X38" s="1"/>
  <c r="AK66"/>
  <c r="W24" i="1" s="1"/>
  <c r="W67" i="14"/>
  <c r="X67" s="1"/>
  <c r="AK50"/>
  <c r="W10" i="1" s="1"/>
  <c r="W37" i="14"/>
  <c r="X37" s="1"/>
  <c r="AK48"/>
  <c r="W38" i="1" s="1"/>
  <c r="AK54" i="14"/>
  <c r="W21" i="1" s="1"/>
  <c r="W17" i="14"/>
  <c r="X17" s="1"/>
  <c r="W16"/>
  <c r="X16" s="1"/>
  <c r="W27"/>
  <c r="X27" s="1"/>
  <c r="W28"/>
  <c r="X28" s="1"/>
  <c r="W33"/>
  <c r="X33" s="1"/>
  <c r="W42"/>
  <c r="X42" s="1"/>
  <c r="W43"/>
  <c r="X43" s="1"/>
  <c r="W45"/>
  <c r="X45" s="1"/>
  <c r="W102"/>
  <c r="X102" s="1"/>
  <c r="W59"/>
  <c r="X59" s="1"/>
  <c r="W103"/>
  <c r="X103" s="1"/>
  <c r="AK22"/>
  <c r="W43" i="1" s="1"/>
  <c r="AK35" i="14"/>
  <c r="W66" i="1" s="1"/>
  <c r="AK49" i="14"/>
  <c r="W5" i="1" s="1"/>
  <c r="AK65" i="14"/>
  <c r="W53" i="1" s="1"/>
  <c r="W60" i="14"/>
  <c r="X60" s="1"/>
  <c r="AK19"/>
  <c r="W65" i="1" s="1"/>
  <c r="AK68" i="14"/>
  <c r="W34" i="1" s="1"/>
  <c r="W44" i="14"/>
  <c r="X44" s="1"/>
  <c r="W4"/>
  <c r="X4" s="1"/>
  <c r="W7"/>
  <c r="X7" s="1"/>
  <c r="AK23"/>
  <c r="W56" i="1" s="1"/>
  <c r="AK55" i="14"/>
  <c r="W39" i="1" s="1"/>
  <c r="W18" i="14"/>
  <c r="X18" s="1"/>
  <c r="AK34"/>
  <c r="W58" i="1" s="1"/>
  <c r="AK36" i="14"/>
  <c r="W23" i="1" s="1"/>
  <c r="AK39" i="14"/>
  <c r="W49" i="1" s="1"/>
  <c r="AK46" i="14"/>
  <c r="W48" i="1" s="1"/>
  <c r="AK47" i="14"/>
  <c r="W64" i="1" s="1"/>
  <c r="AK52" i="14"/>
  <c r="W59" i="1" s="1"/>
  <c r="AK21" i="14"/>
  <c r="W22" i="1" s="1"/>
  <c r="W61" i="14"/>
  <c r="X61" s="1"/>
  <c r="AK30"/>
  <c r="W7" i="1" s="1"/>
  <c r="AK62" i="14"/>
  <c r="W37" i="1" s="1"/>
  <c r="AK5" i="14"/>
  <c r="W55" i="1" s="1"/>
  <c r="AK9" i="14"/>
  <c r="W33" i="1" s="1"/>
  <c r="AK10" i="14"/>
  <c r="W62" i="1" s="1"/>
  <c r="AK12" i="14"/>
  <c r="W3" i="1" s="1"/>
  <c r="AK15" i="14"/>
  <c r="W30" i="1" s="1"/>
  <c r="AK16" i="14"/>
  <c r="W54" i="1" s="1"/>
  <c r="AK64" i="14"/>
  <c r="W50" i="1" s="1"/>
  <c r="W25" i="14"/>
  <c r="X25" s="1"/>
  <c r="W34"/>
  <c r="X34" s="1"/>
  <c r="W68"/>
  <c r="X68" s="1"/>
  <c r="W41"/>
  <c r="X41" s="1"/>
  <c r="W46"/>
  <c r="X46" s="1"/>
  <c r="W47"/>
  <c r="X47" s="1"/>
  <c r="W58"/>
  <c r="X58" s="1"/>
  <c r="W30"/>
  <c r="X30" s="1"/>
  <c r="W62"/>
  <c r="X62" s="1"/>
  <c r="W5"/>
  <c r="X5" s="1"/>
  <c r="W6"/>
  <c r="X6" s="1"/>
  <c r="AK6"/>
  <c r="W15" i="1" s="1"/>
  <c r="AK7" i="14"/>
  <c r="W42" i="1" s="1"/>
  <c r="W8" i="14"/>
  <c r="X8" s="1"/>
  <c r="AK14"/>
  <c r="W52" i="1" s="1"/>
  <c r="W66" i="14"/>
  <c r="X66" s="1"/>
  <c r="W24"/>
  <c r="X24" s="1"/>
  <c r="W31"/>
  <c r="X31" s="1"/>
  <c r="AK27"/>
  <c r="W36" i="1" s="1"/>
  <c r="AK28" i="14"/>
  <c r="W25" i="1" s="1"/>
  <c r="W26" i="14"/>
  <c r="X26" s="1"/>
  <c r="W11"/>
  <c r="Q11" i="18" s="1"/>
  <c r="W40" i="14"/>
  <c r="X40" s="1"/>
  <c r="AK42"/>
  <c r="W40" i="1" s="1"/>
  <c r="AK43" i="14"/>
  <c r="W14" i="1" s="1"/>
  <c r="W48" i="14"/>
  <c r="X48" s="1"/>
  <c r="W53"/>
  <c r="X53" s="1"/>
  <c r="W57"/>
  <c r="X57" s="1"/>
  <c r="AK102"/>
  <c r="AK59"/>
  <c r="W45" i="1" s="1"/>
  <c r="W65" i="14"/>
  <c r="X65" s="1"/>
  <c r="W15"/>
  <c r="X15" s="1"/>
  <c r="W19"/>
  <c r="X19" s="1"/>
  <c r="AK32"/>
  <c r="W4" i="1" s="1"/>
  <c r="AK4" i="14"/>
  <c r="W60" i="1" s="1"/>
  <c r="W9" i="14"/>
  <c r="X9" s="1"/>
  <c r="AK13"/>
  <c r="W16" i="1" s="1"/>
  <c r="AK17" i="14"/>
  <c r="W19" i="1" s="1"/>
  <c r="W23" i="14"/>
  <c r="X23" s="1"/>
  <c r="AK63"/>
  <c r="W18" i="1" s="1"/>
  <c r="AK31" i="14"/>
  <c r="W8" i="1" s="1"/>
  <c r="AK25" i="14"/>
  <c r="W67" i="1" s="1"/>
  <c r="W36" i="14"/>
  <c r="X36" s="1"/>
  <c r="AK38"/>
  <c r="W63" i="1" s="1"/>
  <c r="AK40" i="14"/>
  <c r="W46" i="1" s="1"/>
  <c r="AK41" i="14"/>
  <c r="W31" i="1" s="1"/>
  <c r="W52" i="14"/>
  <c r="X52" s="1"/>
  <c r="AK20"/>
  <c r="W20" i="1" s="1"/>
  <c r="AK57" i="14"/>
  <c r="W35" i="1" s="1"/>
  <c r="AK58" i="14"/>
  <c r="W51" i="1" s="1"/>
  <c r="AK8" i="14"/>
  <c r="W29" i="1" s="1"/>
  <c r="AK67" i="14"/>
  <c r="W28" i="1" s="1"/>
  <c r="AK51" i="14"/>
  <c r="W12" i="1" s="1"/>
  <c r="AK60" i="14"/>
  <c r="W32" i="1" s="1"/>
  <c r="W14" i="14"/>
  <c r="X14" s="1"/>
  <c r="W64"/>
  <c r="X64" s="1"/>
  <c r="W55"/>
  <c r="X55" s="1"/>
  <c r="AK18"/>
  <c r="W9" i="1" s="1"/>
  <c r="AK33" i="14"/>
  <c r="W57" i="1" s="1"/>
  <c r="W39" i="14"/>
  <c r="X39" s="1"/>
  <c r="AK44"/>
  <c r="W6" i="1" s="1"/>
  <c r="AK45" i="14"/>
  <c r="W44" i="1" s="1"/>
  <c r="W21" i="14"/>
  <c r="X21" s="1"/>
  <c r="AK61"/>
  <c r="W47" i="1" s="1"/>
  <c r="AK103" i="14"/>
  <c r="Y5" i="3"/>
  <c r="Y6"/>
  <c r="Y7"/>
  <c r="Y60"/>
  <c r="Y8"/>
  <c r="Y9"/>
  <c r="Y10"/>
  <c r="Y12"/>
  <c r="Y13"/>
  <c r="Y14"/>
  <c r="Y15"/>
  <c r="Y16"/>
  <c r="Y17"/>
  <c r="Y64"/>
  <c r="Y19"/>
  <c r="Y66"/>
  <c r="Y22"/>
  <c r="Y67"/>
  <c r="Y23"/>
  <c r="Y24"/>
  <c r="Y50"/>
  <c r="Y63"/>
  <c r="Y55"/>
  <c r="Y31"/>
  <c r="Y25"/>
  <c r="Y27"/>
  <c r="Y28"/>
  <c r="Y18"/>
  <c r="Y33"/>
  <c r="Y34"/>
  <c r="Y68"/>
  <c r="Y26"/>
  <c r="Y35"/>
  <c r="Y32"/>
  <c r="Y36"/>
  <c r="Y11"/>
  <c r="Y37"/>
  <c r="Y38"/>
  <c r="Y39"/>
  <c r="Y40"/>
  <c r="Y41"/>
  <c r="Y42"/>
  <c r="Y43"/>
  <c r="Y44"/>
  <c r="Y45"/>
  <c r="Y46"/>
  <c r="Y47"/>
  <c r="Y48"/>
  <c r="Y49"/>
  <c r="Y51"/>
  <c r="Y52"/>
  <c r="Y53"/>
  <c r="Y54"/>
  <c r="Y20"/>
  <c r="Y21"/>
  <c r="Y57"/>
  <c r="Y58"/>
  <c r="Y102"/>
  <c r="Y59"/>
  <c r="Y61"/>
  <c r="Y103"/>
  <c r="Y30"/>
  <c r="Y62"/>
  <c r="Y65"/>
  <c r="Y4"/>
  <c r="Z65"/>
  <c r="Z62"/>
  <c r="Z30"/>
  <c r="Z103"/>
  <c r="Z61"/>
  <c r="Z59"/>
  <c r="Z102"/>
  <c r="Z58"/>
  <c r="Z57"/>
  <c r="Z21"/>
  <c r="Z20"/>
  <c r="Z54"/>
  <c r="Z53"/>
  <c r="Z52"/>
  <c r="Z51"/>
  <c r="Z49"/>
  <c r="Z48"/>
  <c r="Z47"/>
  <c r="Z46"/>
  <c r="Z45"/>
  <c r="Z44"/>
  <c r="Z43"/>
  <c r="Z42"/>
  <c r="Z41"/>
  <c r="Z40"/>
  <c r="Z39"/>
  <c r="Z38"/>
  <c r="Z37"/>
  <c r="Z11"/>
  <c r="Z36"/>
  <c r="Z32"/>
  <c r="Z35"/>
  <c r="Z26"/>
  <c r="Z68"/>
  <c r="Z34"/>
  <c r="Z33"/>
  <c r="Z18"/>
  <c r="Z28"/>
  <c r="Z27"/>
  <c r="Z25"/>
  <c r="Z31"/>
  <c r="Z55"/>
  <c r="Z63"/>
  <c r="Z50"/>
  <c r="Z24"/>
  <c r="Z23"/>
  <c r="Z67"/>
  <c r="Z22"/>
  <c r="Z66"/>
  <c r="Z19"/>
  <c r="Z64"/>
  <c r="Z17"/>
  <c r="Z16"/>
  <c r="Z15"/>
  <c r="Z14"/>
  <c r="Z13"/>
  <c r="Z12"/>
  <c r="Z10"/>
  <c r="Z9"/>
  <c r="Z8"/>
  <c r="Z60"/>
  <c r="Z7"/>
  <c r="Z6"/>
  <c r="Z5"/>
  <c r="Z4"/>
  <c r="AA65"/>
  <c r="AA62"/>
  <c r="AA30"/>
  <c r="AA103"/>
  <c r="AA61"/>
  <c r="AA59"/>
  <c r="AA102"/>
  <c r="AA58"/>
  <c r="AA57"/>
  <c r="AA21"/>
  <c r="AA20"/>
  <c r="AA54"/>
  <c r="AA53"/>
  <c r="AA52"/>
  <c r="AA51"/>
  <c r="AA49"/>
  <c r="AA48"/>
  <c r="AA47"/>
  <c r="AA46"/>
  <c r="AA45"/>
  <c r="AA44"/>
  <c r="AA43"/>
  <c r="AA42"/>
  <c r="AA41"/>
  <c r="AA40"/>
  <c r="AA39"/>
  <c r="AA38"/>
  <c r="AA37"/>
  <c r="AA11"/>
  <c r="AA36"/>
  <c r="AA32"/>
  <c r="AA35"/>
  <c r="AA26"/>
  <c r="AA68"/>
  <c r="AA34"/>
  <c r="AA33"/>
  <c r="AA18"/>
  <c r="AA28"/>
  <c r="AA27"/>
  <c r="AA25"/>
  <c r="AA31"/>
  <c r="AA55"/>
  <c r="AA63"/>
  <c r="AA50"/>
  <c r="AA24"/>
  <c r="AA23"/>
  <c r="AA67"/>
  <c r="AA22"/>
  <c r="AA66"/>
  <c r="AA19"/>
  <c r="AA64"/>
  <c r="AA17"/>
  <c r="AA16"/>
  <c r="AA15"/>
  <c r="AA14"/>
  <c r="AA13"/>
  <c r="AA12"/>
  <c r="AA10"/>
  <c r="AA9"/>
  <c r="AA8"/>
  <c r="AA60"/>
  <c r="AA7"/>
  <c r="AA6"/>
  <c r="AA5"/>
  <c r="AA4"/>
  <c r="Y2"/>
  <c r="Z2"/>
  <c r="AA2"/>
  <c r="S5"/>
  <c r="AE55" i="1" s="1"/>
  <c r="S6" i="3"/>
  <c r="AE15" i="1" s="1"/>
  <c r="S7" i="3"/>
  <c r="AE42" i="1" s="1"/>
  <c r="S60" i="3"/>
  <c r="AE32" i="1" s="1"/>
  <c r="S8" i="3"/>
  <c r="AE29" i="1" s="1"/>
  <c r="S9" i="3"/>
  <c r="AE33" i="1" s="1"/>
  <c r="S10" i="3"/>
  <c r="AE62" i="1" s="1"/>
  <c r="S12" i="3"/>
  <c r="AE3" i="1" s="1"/>
  <c r="S13" i="3"/>
  <c r="AE16" i="1" s="1"/>
  <c r="S14" i="3"/>
  <c r="AE52" i="1" s="1"/>
  <c r="S15" i="3"/>
  <c r="AE30" i="1" s="1"/>
  <c r="S16" i="3"/>
  <c r="AE54" i="1" s="1"/>
  <c r="S17" i="3"/>
  <c r="AE19" i="1" s="1"/>
  <c r="S64" i="3"/>
  <c r="AE50" i="1" s="1"/>
  <c r="S19" i="3"/>
  <c r="AE65" i="1" s="1"/>
  <c r="S66" i="3"/>
  <c r="AE24" i="1" s="1"/>
  <c r="S22" i="3"/>
  <c r="AE43" i="1" s="1"/>
  <c r="S67" i="3"/>
  <c r="AE28" i="1" s="1"/>
  <c r="S23" i="3"/>
  <c r="AE56" i="1" s="1"/>
  <c r="S24" i="3"/>
  <c r="AE41" i="1" s="1"/>
  <c r="S50" i="3"/>
  <c r="AE10" i="1" s="1"/>
  <c r="S63" i="3"/>
  <c r="AE18" i="1" s="1"/>
  <c r="S55" i="3"/>
  <c r="AE39" i="1" s="1"/>
  <c r="S31" i="3"/>
  <c r="AE8" i="1" s="1"/>
  <c r="S25" i="3"/>
  <c r="AE67" i="1" s="1"/>
  <c r="S27" i="3"/>
  <c r="AE36" i="1" s="1"/>
  <c r="S28" i="3"/>
  <c r="AE25" i="1" s="1"/>
  <c r="S18" i="3"/>
  <c r="AE9" i="1" s="1"/>
  <c r="S33" i="3"/>
  <c r="AE57" i="1" s="1"/>
  <c r="S34" i="3"/>
  <c r="AE58" i="1" s="1"/>
  <c r="S68" i="3"/>
  <c r="AE34" i="1" s="1"/>
  <c r="S26" i="3"/>
  <c r="AE11" i="1" s="1"/>
  <c r="S35" i="3"/>
  <c r="AE66" i="1" s="1"/>
  <c r="S32" i="3"/>
  <c r="AE4" i="1" s="1"/>
  <c r="S36" i="3"/>
  <c r="AE23" i="1" s="1"/>
  <c r="S11" i="3"/>
  <c r="AE17" i="1" s="1"/>
  <c r="S37" i="3"/>
  <c r="AE26" i="1" s="1"/>
  <c r="S38" i="3"/>
  <c r="AE63" i="1" s="1"/>
  <c r="S39" i="3"/>
  <c r="AE49" i="1" s="1"/>
  <c r="S40" i="3"/>
  <c r="AE46" i="1" s="1"/>
  <c r="S41" i="3"/>
  <c r="AE31" i="1" s="1"/>
  <c r="S42" i="3"/>
  <c r="AE40" i="1" s="1"/>
  <c r="S43" i="3"/>
  <c r="AE14" i="1" s="1"/>
  <c r="S44" i="3"/>
  <c r="AE6" i="1" s="1"/>
  <c r="S45" i="3"/>
  <c r="AE44" i="1" s="1"/>
  <c r="S46" i="3"/>
  <c r="AE48" i="1" s="1"/>
  <c r="S47" i="3"/>
  <c r="AE64" i="1" s="1"/>
  <c r="S48" i="3"/>
  <c r="AE38" i="1" s="1"/>
  <c r="S49" i="3"/>
  <c r="AE5" i="1" s="1"/>
  <c r="S51" i="3"/>
  <c r="AE12" i="1" s="1"/>
  <c r="S52" i="3"/>
  <c r="AE59" i="1" s="1"/>
  <c r="S53" i="3"/>
  <c r="AE61" i="1" s="1"/>
  <c r="S54" i="3"/>
  <c r="AE21" i="1" s="1"/>
  <c r="S20" i="3"/>
  <c r="AE20" i="1" s="1"/>
  <c r="S21" i="3"/>
  <c r="AE22" i="1" s="1"/>
  <c r="S57" i="3"/>
  <c r="AE35" i="1" s="1"/>
  <c r="S58" i="3"/>
  <c r="AE51" i="1" s="1"/>
  <c r="S102" i="3"/>
  <c r="S59"/>
  <c r="AE45" i="1" s="1"/>
  <c r="S61" i="3"/>
  <c r="AE47" i="1" s="1"/>
  <c r="S103" i="3"/>
  <c r="S30"/>
  <c r="AE7" i="1" s="1"/>
  <c r="S62" i="3"/>
  <c r="AE37" i="1" s="1"/>
  <c r="S65" i="3"/>
  <c r="AE53" i="1" s="1"/>
  <c r="S4" i="3"/>
  <c r="AE60" i="1" s="1"/>
  <c r="U13" i="15" l="1"/>
  <c r="X13" s="1"/>
  <c r="U24"/>
  <c r="X24" s="1"/>
  <c r="U43"/>
  <c r="X43" s="1"/>
  <c r="Q39" i="16"/>
  <c r="Y39" i="15"/>
  <c r="Q10" i="16"/>
  <c r="Y10" i="15"/>
  <c r="Q40" i="16"/>
  <c r="Y40" i="15"/>
  <c r="Q12" i="16"/>
  <c r="Y12" i="15"/>
  <c r="Q42" i="16"/>
  <c r="AX40" i="1" s="1"/>
  <c r="Y42" i="15"/>
  <c r="Q20" i="16"/>
  <c r="Y20" i="15"/>
  <c r="Q6" i="16"/>
  <c r="Y6" i="15"/>
  <c r="Q52" i="16"/>
  <c r="Y52" i="15"/>
  <c r="Q36" i="16"/>
  <c r="Y36" i="15"/>
  <c r="Q23" i="16"/>
  <c r="Y23" i="15"/>
  <c r="Q7" i="16"/>
  <c r="Y7" i="15"/>
  <c r="Q53" i="16"/>
  <c r="Y53" i="15"/>
  <c r="Q54" i="16"/>
  <c r="Y54" i="15"/>
  <c r="Q37" i="16"/>
  <c r="Y37" i="15"/>
  <c r="Q8" i="16"/>
  <c r="Y8" i="15"/>
  <c r="Q38" i="16"/>
  <c r="Y38" i="15"/>
  <c r="Q9" i="16"/>
  <c r="Y9" i="15"/>
  <c r="Q21" i="16"/>
  <c r="Y21" i="15"/>
  <c r="Q51" i="16"/>
  <c r="Y51" i="15"/>
  <c r="Q27" i="16"/>
  <c r="Y27" i="15"/>
  <c r="Q47" i="16"/>
  <c r="Y47" i="15"/>
  <c r="Q19" i="16"/>
  <c r="Y19" i="15"/>
  <c r="Q65" i="16"/>
  <c r="Y65" i="15"/>
  <c r="Q49" i="16"/>
  <c r="Y49" i="15"/>
  <c r="Q35" i="16"/>
  <c r="Y35" i="15"/>
  <c r="Q22" i="16"/>
  <c r="Y22" i="15"/>
  <c r="Q5" i="16"/>
  <c r="Y5" i="15"/>
  <c r="Q14" i="16"/>
  <c r="Y14" i="15"/>
  <c r="Q30" i="16"/>
  <c r="Y30" i="15"/>
  <c r="Q59" i="16"/>
  <c r="Y59" i="15"/>
  <c r="Q28" i="16"/>
  <c r="Y28" i="15"/>
  <c r="Q15" i="16"/>
  <c r="Y15" i="15"/>
  <c r="Q61" i="16"/>
  <c r="Y61" i="15"/>
  <c r="Q16" i="16"/>
  <c r="Y16" i="15"/>
  <c r="Q45" i="16"/>
  <c r="Y45" i="15"/>
  <c r="Q33" i="16"/>
  <c r="Y33" i="15"/>
  <c r="Q17" i="16"/>
  <c r="Y17" i="15"/>
  <c r="Q46" i="16"/>
  <c r="Y46" i="15"/>
  <c r="Q34" i="16"/>
  <c r="Y34" i="15"/>
  <c r="Q4" i="16"/>
  <c r="Y4" i="15"/>
  <c r="R11" i="18"/>
  <c r="N17" i="1" s="1"/>
  <c r="L17"/>
  <c r="O17" s="1"/>
  <c r="P17" s="1"/>
  <c r="AQ17"/>
  <c r="AU17" s="1"/>
  <c r="X11" i="14"/>
  <c r="V17" i="1" s="1"/>
  <c r="T17"/>
  <c r="U57" i="15"/>
  <c r="X57" s="1"/>
  <c r="Y57" s="1"/>
  <c r="U41"/>
  <c r="X41" s="1"/>
  <c r="U48"/>
  <c r="X48" s="1"/>
  <c r="Y48" s="1"/>
  <c r="U62"/>
  <c r="X62" s="1"/>
  <c r="Y62" s="1"/>
  <c r="U44"/>
  <c r="X44" s="1"/>
  <c r="Y44" s="1"/>
  <c r="T49" i="1"/>
  <c r="Q39" i="18"/>
  <c r="T33" i="1"/>
  <c r="Q9" i="18"/>
  <c r="T35" i="1"/>
  <c r="Q57" i="18"/>
  <c r="T31" i="1"/>
  <c r="Q41" i="18"/>
  <c r="T22" i="1"/>
  <c r="Q21" i="18"/>
  <c r="T52" i="1"/>
  <c r="Q14" i="18"/>
  <c r="T59" i="1"/>
  <c r="Q52" i="18"/>
  <c r="T23" i="1"/>
  <c r="Q36" i="18"/>
  <c r="T56" i="1"/>
  <c r="Q23" i="18"/>
  <c r="T53" i="1"/>
  <c r="Q65" i="18"/>
  <c r="T61" i="1"/>
  <c r="Q53" i="18"/>
  <c r="T46" i="1"/>
  <c r="Q40" i="18"/>
  <c r="T15" i="1"/>
  <c r="Q6" i="18"/>
  <c r="T51" i="1"/>
  <c r="Q58" i="18"/>
  <c r="T34" i="1"/>
  <c r="Q68" i="18"/>
  <c r="T47" i="1"/>
  <c r="Q61" i="18"/>
  <c r="T9" i="1"/>
  <c r="Q18" i="18"/>
  <c r="T60" i="1"/>
  <c r="Q4" i="18"/>
  <c r="T32" i="1"/>
  <c r="Q60" i="18"/>
  <c r="T44" i="1"/>
  <c r="Q45" i="18"/>
  <c r="T25" i="1"/>
  <c r="Q28" i="18"/>
  <c r="T28" i="1"/>
  <c r="Q67" i="18"/>
  <c r="T3" i="1"/>
  <c r="Q12" i="18"/>
  <c r="T18" i="1"/>
  <c r="Q63" i="18"/>
  <c r="T10" i="1"/>
  <c r="Q50" i="18"/>
  <c r="T39" i="1"/>
  <c r="Q55" i="18"/>
  <c r="T65" i="1"/>
  <c r="Q19" i="18"/>
  <c r="T11" i="1"/>
  <c r="Q26" i="18"/>
  <c r="T41" i="1"/>
  <c r="Q24" i="18"/>
  <c r="T37" i="1"/>
  <c r="Q62" i="18"/>
  <c r="T48" i="1"/>
  <c r="Q46" i="18"/>
  <c r="T67" i="1"/>
  <c r="Q25" i="18"/>
  <c r="T45" i="1"/>
  <c r="Q59" i="18"/>
  <c r="T40" i="1"/>
  <c r="Q42" i="18"/>
  <c r="T54" i="1"/>
  <c r="Q16" i="18"/>
  <c r="T26" i="1"/>
  <c r="Q37" i="18"/>
  <c r="T63" i="1"/>
  <c r="Q38" i="18"/>
  <c r="T20" i="1"/>
  <c r="Q20" i="18"/>
  <c r="T4" i="1"/>
  <c r="Q32" i="18"/>
  <c r="T21" i="1"/>
  <c r="Q54" i="18"/>
  <c r="T12" i="1"/>
  <c r="Q51" i="18"/>
  <c r="T50" i="1"/>
  <c r="Q64" i="18"/>
  <c r="T30" i="1"/>
  <c r="Q15" i="18"/>
  <c r="T24" i="1"/>
  <c r="Q66" i="18"/>
  <c r="T7" i="1"/>
  <c r="Q30" i="18"/>
  <c r="T42" i="1"/>
  <c r="Q7" i="18"/>
  <c r="T57" i="1"/>
  <c r="Q33" i="18"/>
  <c r="T19" i="1"/>
  <c r="Q17" i="18"/>
  <c r="T5" i="1"/>
  <c r="Q49" i="18"/>
  <c r="T66" i="1"/>
  <c r="Q35" i="18"/>
  <c r="T38" i="1"/>
  <c r="Q48" i="18"/>
  <c r="T8" i="1"/>
  <c r="Q31" i="18"/>
  <c r="T29" i="1"/>
  <c r="Q8" i="18"/>
  <c r="T55" i="1"/>
  <c r="Q5" i="18"/>
  <c r="T64" i="1"/>
  <c r="Q47" i="18"/>
  <c r="T58" i="1"/>
  <c r="Q34" i="18"/>
  <c r="T6" i="1"/>
  <c r="Q44" i="18"/>
  <c r="T14" i="1"/>
  <c r="Q43" i="18"/>
  <c r="T36" i="1"/>
  <c r="Q27" i="18"/>
  <c r="T62" i="1"/>
  <c r="Q10" i="18"/>
  <c r="T16" i="1"/>
  <c r="Q13" i="18"/>
  <c r="T43" i="1"/>
  <c r="Q22" i="18"/>
  <c r="AQ12" i="1"/>
  <c r="AU12" s="1"/>
  <c r="AQ34"/>
  <c r="AU34" s="1"/>
  <c r="AQ47"/>
  <c r="AU47" s="1"/>
  <c r="AQ4"/>
  <c r="AU4" s="1"/>
  <c r="AQ45"/>
  <c r="AU45" s="1"/>
  <c r="AQ8"/>
  <c r="AU8" s="1"/>
  <c r="AQ22"/>
  <c r="AU22" s="1"/>
  <c r="AQ59"/>
  <c r="AU59" s="1"/>
  <c r="AQ9"/>
  <c r="AU9" s="1"/>
  <c r="AQ53"/>
  <c r="AU53" s="1"/>
  <c r="AQ39"/>
  <c r="AU39" s="1"/>
  <c r="AQ51"/>
  <c r="AU51" s="1"/>
  <c r="AQ24"/>
  <c r="AU24" s="1"/>
  <c r="AQ61"/>
  <c r="AU61" s="1"/>
  <c r="AQ11"/>
  <c r="AU11" s="1"/>
  <c r="AQ10"/>
  <c r="AU10" s="1"/>
  <c r="AQ32"/>
  <c r="AU32" s="1"/>
  <c r="AQ18"/>
  <c r="AU18" s="1"/>
  <c r="AQ21"/>
  <c r="AU21" s="1"/>
  <c r="AQ35"/>
  <c r="AU35" s="1"/>
  <c r="AQ37"/>
  <c r="AU37" s="1"/>
  <c r="AQ20"/>
  <c r="AU20" s="1"/>
  <c r="AQ50"/>
  <c r="AU50" s="1"/>
  <c r="AQ28"/>
  <c r="AU28" s="1"/>
  <c r="AQ30"/>
  <c r="AU30" s="1"/>
  <c r="AQ60"/>
  <c r="AU60" s="1"/>
  <c r="AQ19"/>
  <c r="AU19" s="1"/>
  <c r="AQ38"/>
  <c r="AU38" s="1"/>
  <c r="AQ3"/>
  <c r="AU3" s="1"/>
  <c r="AQ14"/>
  <c r="AU14" s="1"/>
  <c r="AQ23"/>
  <c r="AU23" s="1"/>
  <c r="AQ55"/>
  <c r="AU55" s="1"/>
  <c r="AQ67"/>
  <c r="AU67" s="1"/>
  <c r="AQ54"/>
  <c r="AU54" s="1"/>
  <c r="AQ44"/>
  <c r="AU44" s="1"/>
  <c r="AQ57"/>
  <c r="AU57" s="1"/>
  <c r="AQ56"/>
  <c r="AU56" s="1"/>
  <c r="AQ52"/>
  <c r="AU52" s="1"/>
  <c r="AQ48"/>
  <c r="AU48" s="1"/>
  <c r="AQ33"/>
  <c r="AU33" s="1"/>
  <c r="AQ46"/>
  <c r="AU46" s="1"/>
  <c r="AQ58"/>
  <c r="AU58" s="1"/>
  <c r="AQ6"/>
  <c r="AU6" s="1"/>
  <c r="AQ5"/>
  <c r="AU5" s="1"/>
  <c r="AQ43"/>
  <c r="AU43" s="1"/>
  <c r="AQ49"/>
  <c r="AU49" s="1"/>
  <c r="AQ16"/>
  <c r="AU16" s="1"/>
  <c r="AQ7"/>
  <c r="AU7" s="1"/>
  <c r="AQ63"/>
  <c r="AU63" s="1"/>
  <c r="AQ42"/>
  <c r="AU42" s="1"/>
  <c r="AQ40"/>
  <c r="AU40" s="1"/>
  <c r="AQ66"/>
  <c r="AU66" s="1"/>
  <c r="AQ64"/>
  <c r="AU64" s="1"/>
  <c r="AQ41"/>
  <c r="AU41" s="1"/>
  <c r="AQ31"/>
  <c r="AU31" s="1"/>
  <c r="AQ62"/>
  <c r="AU62" s="1"/>
  <c r="AQ26"/>
  <c r="AU26" s="1"/>
  <c r="AQ29"/>
  <c r="AU29" s="1"/>
  <c r="AQ65"/>
  <c r="AU65" s="1"/>
  <c r="AQ25"/>
  <c r="AU25" s="1"/>
  <c r="AQ15"/>
  <c r="AU15" s="1"/>
  <c r="AQ36"/>
  <c r="AU36" s="1"/>
  <c r="AN7"/>
  <c r="AN45"/>
  <c r="AN25"/>
  <c r="AN30"/>
  <c r="AN47"/>
  <c r="AN54"/>
  <c r="AN44"/>
  <c r="AN57"/>
  <c r="AN19"/>
  <c r="AN48"/>
  <c r="AN58"/>
  <c r="AN33"/>
  <c r="AN22"/>
  <c r="AN49"/>
  <c r="AN62"/>
  <c r="AN46"/>
  <c r="AN3"/>
  <c r="AN40"/>
  <c r="AN20"/>
  <c r="AN15"/>
  <c r="AN59"/>
  <c r="AN23"/>
  <c r="AN56"/>
  <c r="AN42"/>
  <c r="AN61"/>
  <c r="AN21"/>
  <c r="AN26"/>
  <c r="AN29"/>
  <c r="AN63"/>
  <c r="AN12"/>
  <c r="AN36"/>
  <c r="AN64"/>
  <c r="AN65"/>
  <c r="AN53"/>
  <c r="AN60"/>
  <c r="AN5"/>
  <c r="AN66"/>
  <c r="AN43"/>
  <c r="AN55"/>
  <c r="AN52"/>
  <c r="U58" i="15"/>
  <c r="X58" s="1"/>
  <c r="U25"/>
  <c r="X25" s="1"/>
  <c r="U103"/>
  <c r="X103" s="1"/>
  <c r="U102"/>
  <c r="X102" s="1"/>
  <c r="U11"/>
  <c r="X11" s="1"/>
  <c r="U32"/>
  <c r="X32" s="1"/>
  <c r="U68"/>
  <c r="X68" s="1"/>
  <c r="U26"/>
  <c r="X26" s="1"/>
  <c r="U18"/>
  <c r="X18" s="1"/>
  <c r="U55"/>
  <c r="X55" s="1"/>
  <c r="U31"/>
  <c r="X31" s="1"/>
  <c r="U63"/>
  <c r="X63" s="1"/>
  <c r="U50"/>
  <c r="X50" s="1"/>
  <c r="U67"/>
  <c r="X67" s="1"/>
  <c r="U66"/>
  <c r="X66" s="1"/>
  <c r="U64"/>
  <c r="X64" s="1"/>
  <c r="U60"/>
  <c r="X60" s="1"/>
  <c r="V4" i="1"/>
  <c r="V22"/>
  <c r="V52"/>
  <c r="V59"/>
  <c r="V23"/>
  <c r="V56"/>
  <c r="V53"/>
  <c r="V61"/>
  <c r="V46"/>
  <c r="V15"/>
  <c r="V51"/>
  <c r="V34"/>
  <c r="V47"/>
  <c r="V9"/>
  <c r="V60"/>
  <c r="V32"/>
  <c r="V57"/>
  <c r="V19"/>
  <c r="V5"/>
  <c r="V66"/>
  <c r="V38"/>
  <c r="V8"/>
  <c r="V29"/>
  <c r="V55"/>
  <c r="V64"/>
  <c r="V58"/>
  <c r="V6"/>
  <c r="V44"/>
  <c r="V25"/>
  <c r="V28"/>
  <c r="V3"/>
  <c r="V18"/>
  <c r="V10"/>
  <c r="V39"/>
  <c r="V65"/>
  <c r="V11"/>
  <c r="V41"/>
  <c r="V37"/>
  <c r="V48"/>
  <c r="V67"/>
  <c r="V14"/>
  <c r="V36"/>
  <c r="V62"/>
  <c r="V16"/>
  <c r="V43"/>
  <c r="V49"/>
  <c r="V50"/>
  <c r="V33"/>
  <c r="V30"/>
  <c r="V35"/>
  <c r="V24"/>
  <c r="V7"/>
  <c r="V31"/>
  <c r="V42"/>
  <c r="V45"/>
  <c r="V40"/>
  <c r="V54"/>
  <c r="V26"/>
  <c r="V63"/>
  <c r="V20"/>
  <c r="V21"/>
  <c r="V12"/>
  <c r="H9" i="13"/>
  <c r="H10"/>
  <c r="H11"/>
  <c r="H37"/>
  <c r="H12"/>
  <c r="H13"/>
  <c r="H14"/>
  <c r="H18"/>
  <c r="H19"/>
  <c r="H20"/>
  <c r="H21"/>
  <c r="H22"/>
  <c r="H23"/>
  <c r="H52"/>
  <c r="H25"/>
  <c r="H55"/>
  <c r="H28"/>
  <c r="H61"/>
  <c r="H31"/>
  <c r="H32"/>
  <c r="H69"/>
  <c r="H49"/>
  <c r="H17"/>
  <c r="H24"/>
  <c r="H35"/>
  <c r="H38"/>
  <c r="H39"/>
  <c r="H36"/>
  <c r="H45"/>
  <c r="H46"/>
  <c r="H44"/>
  <c r="H15"/>
  <c r="H47"/>
  <c r="H104"/>
  <c r="H50"/>
  <c r="H105"/>
  <c r="H51"/>
  <c r="H54"/>
  <c r="H56"/>
  <c r="H57"/>
  <c r="H58"/>
  <c r="H59"/>
  <c r="H60"/>
  <c r="H62"/>
  <c r="H63"/>
  <c r="H64"/>
  <c r="H65"/>
  <c r="H66"/>
  <c r="H68"/>
  <c r="H70"/>
  <c r="H6"/>
  <c r="H7"/>
  <c r="H16"/>
  <c r="H26"/>
  <c r="H27"/>
  <c r="H30"/>
  <c r="H33"/>
  <c r="H43"/>
  <c r="H34"/>
  <c r="H41"/>
  <c r="H67"/>
  <c r="H42"/>
  <c r="H48"/>
  <c r="H53"/>
  <c r="H8"/>
  <c r="Q24" i="16" l="1"/>
  <c r="AX41" i="1" s="1"/>
  <c r="Y24" i="15"/>
  <c r="AP41" i="1" s="1"/>
  <c r="AT41" s="1"/>
  <c r="AN41"/>
  <c r="Y13" i="15"/>
  <c r="AP16" i="1" s="1"/>
  <c r="AT16" s="1"/>
  <c r="AN16"/>
  <c r="Q13" i="16"/>
  <c r="AX16" i="1" s="1"/>
  <c r="Q43" i="16"/>
  <c r="AX14" i="1" s="1"/>
  <c r="AN14"/>
  <c r="Y43" i="15"/>
  <c r="AP14" i="1" s="1"/>
  <c r="AT14" s="1"/>
  <c r="AX58"/>
  <c r="AX45"/>
  <c r="AX36"/>
  <c r="AX48"/>
  <c r="AX7"/>
  <c r="AX64"/>
  <c r="AX12"/>
  <c r="AX22"/>
  <c r="AX63"/>
  <c r="AX23"/>
  <c r="AX15"/>
  <c r="AX49"/>
  <c r="Q26" i="16"/>
  <c r="Y26" i="15"/>
  <c r="Q63" i="16"/>
  <c r="Y63" i="15"/>
  <c r="Q66" i="16"/>
  <c r="Y66" i="15"/>
  <c r="Q55" i="16"/>
  <c r="Y55" i="15"/>
  <c r="Q64" i="16"/>
  <c r="Y64" i="15"/>
  <c r="Q31" i="16"/>
  <c r="AX8" i="1" s="1"/>
  <c r="Y31" i="15"/>
  <c r="Q68" i="16"/>
  <c r="Y68" i="15"/>
  <c r="Q67" i="16"/>
  <c r="Y67" i="15"/>
  <c r="Q32" i="16"/>
  <c r="Y32" i="15"/>
  <c r="Q25" i="16"/>
  <c r="Y25" i="15"/>
  <c r="Q60" i="16"/>
  <c r="Y60" i="15"/>
  <c r="Q50" i="16"/>
  <c r="Y50" i="15"/>
  <c r="Q18" i="16"/>
  <c r="Y18" i="15"/>
  <c r="Q11" i="16"/>
  <c r="Y11" i="15"/>
  <c r="Q58" i="16"/>
  <c r="Y58" i="15"/>
  <c r="Q41" i="16"/>
  <c r="Y41" i="15"/>
  <c r="AP31" i="1" s="1"/>
  <c r="AT31" s="1"/>
  <c r="AN17"/>
  <c r="Q57" i="16"/>
  <c r="AN35" i="1"/>
  <c r="AP35"/>
  <c r="AT35" s="1"/>
  <c r="Q48" i="16"/>
  <c r="AN38" i="1"/>
  <c r="AP38"/>
  <c r="AT38" s="1"/>
  <c r="AN31"/>
  <c r="Q44" i="16"/>
  <c r="AN6" i="1"/>
  <c r="AP6"/>
  <c r="AT6" s="1"/>
  <c r="Q62" i="16"/>
  <c r="AP37" i="1"/>
  <c r="AT37" s="1"/>
  <c r="AN37"/>
  <c r="R43" i="18"/>
  <c r="N14" i="1" s="1"/>
  <c r="L14"/>
  <c r="O14" s="1"/>
  <c r="P14" s="1"/>
  <c r="R34" i="18"/>
  <c r="N58" i="1" s="1"/>
  <c r="L58"/>
  <c r="O58" s="1"/>
  <c r="P58" s="1"/>
  <c r="R5" i="18"/>
  <c r="N55" i="1" s="1"/>
  <c r="L55"/>
  <c r="O55" s="1"/>
  <c r="P55" s="1"/>
  <c r="R35" i="18"/>
  <c r="N66" i="1" s="1"/>
  <c r="L66"/>
  <c r="O66" s="1"/>
  <c r="P66" s="1"/>
  <c r="R66" i="18"/>
  <c r="N24" i="1" s="1"/>
  <c r="L24"/>
  <c r="O24" s="1"/>
  <c r="P24" s="1"/>
  <c r="R54" i="18"/>
  <c r="N21" i="1" s="1"/>
  <c r="L21"/>
  <c r="O21" s="1"/>
  <c r="P21" s="1"/>
  <c r="R42" i="18"/>
  <c r="N40" i="1" s="1"/>
  <c r="L40"/>
  <c r="O40" s="1"/>
  <c r="P40" s="1"/>
  <c r="R25" i="18"/>
  <c r="N67" i="1" s="1"/>
  <c r="L67"/>
  <c r="O67" s="1"/>
  <c r="P67" s="1"/>
  <c r="R55" i="18"/>
  <c r="N39" i="1" s="1"/>
  <c r="L39"/>
  <c r="O39" s="1"/>
  <c r="P39" s="1"/>
  <c r="R63" i="18"/>
  <c r="N18" i="1" s="1"/>
  <c r="L18"/>
  <c r="O18" s="1"/>
  <c r="P18" s="1"/>
  <c r="R45" i="18"/>
  <c r="N44" i="1" s="1"/>
  <c r="L44"/>
  <c r="O44" s="1"/>
  <c r="P44" s="1"/>
  <c r="R58" i="18"/>
  <c r="N51" i="1" s="1"/>
  <c r="L51"/>
  <c r="O51" s="1"/>
  <c r="P51" s="1"/>
  <c r="R65" i="18"/>
  <c r="N53" i="1" s="1"/>
  <c r="L53"/>
  <c r="O53" s="1"/>
  <c r="P53" s="1"/>
  <c r="R41" i="18"/>
  <c r="N31" i="1" s="1"/>
  <c r="L31"/>
  <c r="O31" s="1"/>
  <c r="P31" s="1"/>
  <c r="R13" i="18"/>
  <c r="N16" i="1" s="1"/>
  <c r="L16"/>
  <c r="O16" s="1"/>
  <c r="P16" s="1"/>
  <c r="R27" i="18"/>
  <c r="N36" i="1" s="1"/>
  <c r="L36"/>
  <c r="O36" s="1"/>
  <c r="P36" s="1"/>
  <c r="R44" i="18"/>
  <c r="N6" i="1" s="1"/>
  <c r="L6"/>
  <c r="O6" s="1"/>
  <c r="P6" s="1"/>
  <c r="R47" i="18"/>
  <c r="N64" i="1" s="1"/>
  <c r="L64"/>
  <c r="O64" s="1"/>
  <c r="P64" s="1"/>
  <c r="R8" i="18"/>
  <c r="N29" i="1" s="1"/>
  <c r="L29"/>
  <c r="O29" s="1"/>
  <c r="P29" s="1"/>
  <c r="R48" i="18"/>
  <c r="N38" i="1" s="1"/>
  <c r="L38"/>
  <c r="O38" s="1"/>
  <c r="P38" s="1"/>
  <c r="R49" i="18"/>
  <c r="N5" i="1" s="1"/>
  <c r="L5"/>
  <c r="O5" s="1"/>
  <c r="P5" s="1"/>
  <c r="R33" i="18"/>
  <c r="N57" i="1" s="1"/>
  <c r="L57"/>
  <c r="O57" s="1"/>
  <c r="P57" s="1"/>
  <c r="R30" i="18"/>
  <c r="N7" i="1" s="1"/>
  <c r="L7"/>
  <c r="O7" s="1"/>
  <c r="P7" s="1"/>
  <c r="R15" i="18"/>
  <c r="N30" i="1" s="1"/>
  <c r="Q30" s="1"/>
  <c r="L30"/>
  <c r="O30" s="1"/>
  <c r="P30" s="1"/>
  <c r="R30" s="1"/>
  <c r="R51" i="18"/>
  <c r="N12" i="1" s="1"/>
  <c r="L12"/>
  <c r="O12" s="1"/>
  <c r="P12" s="1"/>
  <c r="R32" i="18"/>
  <c r="N4" i="1" s="1"/>
  <c r="L4"/>
  <c r="O4" s="1"/>
  <c r="P4" s="1"/>
  <c r="R38" i="18"/>
  <c r="N63" i="1" s="1"/>
  <c r="L63"/>
  <c r="O63" s="1"/>
  <c r="P63" s="1"/>
  <c r="R16" i="18"/>
  <c r="N54" i="1" s="1"/>
  <c r="L54"/>
  <c r="O54" s="1"/>
  <c r="P54" s="1"/>
  <c r="R59" i="18"/>
  <c r="N45" i="1" s="1"/>
  <c r="L45"/>
  <c r="O45" s="1"/>
  <c r="P45" s="1"/>
  <c r="R46" i="18"/>
  <c r="N48" i="1" s="1"/>
  <c r="L48"/>
  <c r="O48" s="1"/>
  <c r="P48" s="1"/>
  <c r="R24" i="18"/>
  <c r="N41" i="1" s="1"/>
  <c r="L41"/>
  <c r="O41" s="1"/>
  <c r="P41" s="1"/>
  <c r="R19" i="18"/>
  <c r="N65" i="1" s="1"/>
  <c r="L65"/>
  <c r="O65" s="1"/>
  <c r="P65" s="1"/>
  <c r="R50" i="18"/>
  <c r="N10" i="1" s="1"/>
  <c r="L10"/>
  <c r="O10" s="1"/>
  <c r="P10" s="1"/>
  <c r="R12" i="18"/>
  <c r="N3" i="1" s="1"/>
  <c r="L3"/>
  <c r="O3" s="1"/>
  <c r="P3" s="1"/>
  <c r="R28" i="18"/>
  <c r="N25" i="1" s="1"/>
  <c r="L25"/>
  <c r="O25" s="1"/>
  <c r="P25" s="1"/>
  <c r="R60" i="18"/>
  <c r="N32" i="1" s="1"/>
  <c r="L32"/>
  <c r="O32" s="1"/>
  <c r="P32" s="1"/>
  <c r="R18" i="18"/>
  <c r="N9" i="1" s="1"/>
  <c r="L9"/>
  <c r="O9" s="1"/>
  <c r="P9" s="1"/>
  <c r="R68" i="18"/>
  <c r="N34" i="1" s="1"/>
  <c r="L34"/>
  <c r="O34" s="1"/>
  <c r="P34" s="1"/>
  <c r="R6" i="18"/>
  <c r="N15" i="1" s="1"/>
  <c r="L15"/>
  <c r="O15" s="1"/>
  <c r="P15" s="1"/>
  <c r="R53" i="18"/>
  <c r="N61" i="1" s="1"/>
  <c r="L61"/>
  <c r="O61" s="1"/>
  <c r="P61" s="1"/>
  <c r="R23" i="18"/>
  <c r="N56" i="1" s="1"/>
  <c r="L56"/>
  <c r="O56" s="1"/>
  <c r="P56" s="1"/>
  <c r="R52" i="18"/>
  <c r="N59" i="1" s="1"/>
  <c r="L59"/>
  <c r="O59" s="1"/>
  <c r="P59" s="1"/>
  <c r="R21" i="18"/>
  <c r="N22" i="1" s="1"/>
  <c r="L22"/>
  <c r="O22" s="1"/>
  <c r="P22" s="1"/>
  <c r="R57" i="18"/>
  <c r="N35" i="1" s="1"/>
  <c r="L35"/>
  <c r="O35" s="1"/>
  <c r="P35" s="1"/>
  <c r="R39" i="18"/>
  <c r="N49" i="1" s="1"/>
  <c r="L49"/>
  <c r="O49" s="1"/>
  <c r="P49" s="1"/>
  <c r="R22" i="18"/>
  <c r="N43" i="1" s="1"/>
  <c r="L43"/>
  <c r="O43" s="1"/>
  <c r="P43" s="1"/>
  <c r="R10" i="18"/>
  <c r="N62" i="1" s="1"/>
  <c r="L62"/>
  <c r="O62" s="1"/>
  <c r="P62" s="1"/>
  <c r="R31" i="18"/>
  <c r="N8" i="1" s="1"/>
  <c r="L8"/>
  <c r="O8" s="1"/>
  <c r="P8" s="1"/>
  <c r="R17" i="18"/>
  <c r="N19" i="1" s="1"/>
  <c r="L19"/>
  <c r="O19" s="1"/>
  <c r="P19" s="1"/>
  <c r="R7" i="18"/>
  <c r="N42" i="1" s="1"/>
  <c r="L42"/>
  <c r="O42" s="1"/>
  <c r="P42" s="1"/>
  <c r="R64" i="18"/>
  <c r="N50" i="1" s="1"/>
  <c r="L50"/>
  <c r="O50" s="1"/>
  <c r="P50" s="1"/>
  <c r="R20" i="18"/>
  <c r="N20" i="1" s="1"/>
  <c r="L20"/>
  <c r="O20" s="1"/>
  <c r="P20" s="1"/>
  <c r="R37" i="18"/>
  <c r="N26" i="1" s="1"/>
  <c r="L26"/>
  <c r="O26" s="1"/>
  <c r="P26" s="1"/>
  <c r="R62" i="18"/>
  <c r="N37" i="1" s="1"/>
  <c r="L37"/>
  <c r="O37" s="1"/>
  <c r="P37" s="1"/>
  <c r="R26" i="18"/>
  <c r="N11" i="1" s="1"/>
  <c r="L11"/>
  <c r="O11" s="1"/>
  <c r="P11" s="1"/>
  <c r="R67" i="18"/>
  <c r="N28" i="1" s="1"/>
  <c r="L28"/>
  <c r="O28" s="1"/>
  <c r="P28" s="1"/>
  <c r="R61" i="18"/>
  <c r="N47" i="1" s="1"/>
  <c r="L47"/>
  <c r="O47" s="1"/>
  <c r="P47" s="1"/>
  <c r="R40" i="18"/>
  <c r="N46" i="1" s="1"/>
  <c r="L46"/>
  <c r="O46" s="1"/>
  <c r="P46" s="1"/>
  <c r="R36" i="18"/>
  <c r="N23" i="1" s="1"/>
  <c r="L23"/>
  <c r="O23" s="1"/>
  <c r="P23" s="1"/>
  <c r="R14" i="18"/>
  <c r="N52" i="1" s="1"/>
  <c r="Q52" s="1"/>
  <c r="L52"/>
  <c r="O52" s="1"/>
  <c r="P52" s="1"/>
  <c r="R52" s="1"/>
  <c r="R9" i="18"/>
  <c r="N33" i="1" s="1"/>
  <c r="L33"/>
  <c r="O33" s="1"/>
  <c r="P33" s="1"/>
  <c r="R4" i="18"/>
  <c r="N60" i="1" s="1"/>
  <c r="L60"/>
  <c r="AN67"/>
  <c r="AN51"/>
  <c r="AP43"/>
  <c r="AT43" s="1"/>
  <c r="AP29"/>
  <c r="AT29" s="1"/>
  <c r="AP42"/>
  <c r="AT42" s="1"/>
  <c r="AP22"/>
  <c r="AT22" s="1"/>
  <c r="AP48"/>
  <c r="AT48" s="1"/>
  <c r="AP54"/>
  <c r="AT54" s="1"/>
  <c r="AP61"/>
  <c r="AT61" s="1"/>
  <c r="AP40"/>
  <c r="AT40" s="1"/>
  <c r="AP49"/>
  <c r="AT49" s="1"/>
  <c r="AP66"/>
  <c r="AT66" s="1"/>
  <c r="AP53"/>
  <c r="AT53" s="1"/>
  <c r="AP36"/>
  <c r="AT36" s="1"/>
  <c r="AP26"/>
  <c r="AT26" s="1"/>
  <c r="AP33"/>
  <c r="AT33" s="1"/>
  <c r="AP19"/>
  <c r="AT19" s="1"/>
  <c r="AP45"/>
  <c r="AT45" s="1"/>
  <c r="AP56"/>
  <c r="AT56" s="1"/>
  <c r="AP3"/>
  <c r="AT3" s="1"/>
  <c r="AP30"/>
  <c r="AT30" s="1"/>
  <c r="AP5"/>
  <c r="AT5" s="1"/>
  <c r="AP65"/>
  <c r="AT65" s="1"/>
  <c r="AP55"/>
  <c r="AT55" s="1"/>
  <c r="AP23"/>
  <c r="AT23" s="1"/>
  <c r="AP12"/>
  <c r="AT12" s="1"/>
  <c r="AP57"/>
  <c r="AT57" s="1"/>
  <c r="AP47"/>
  <c r="AT47" s="1"/>
  <c r="AP7"/>
  <c r="AT7" s="1"/>
  <c r="AP20"/>
  <c r="AT20" s="1"/>
  <c r="AP46"/>
  <c r="AT46" s="1"/>
  <c r="AP52"/>
  <c r="AT52" s="1"/>
  <c r="AP64"/>
  <c r="AT64" s="1"/>
  <c r="AP63"/>
  <c r="AT63" s="1"/>
  <c r="AP15"/>
  <c r="AT15" s="1"/>
  <c r="AP58"/>
  <c r="AT58" s="1"/>
  <c r="AP44"/>
  <c r="AT44" s="1"/>
  <c r="AP25"/>
  <c r="AT25" s="1"/>
  <c r="AP21"/>
  <c r="AT21" s="1"/>
  <c r="AP59"/>
  <c r="AT59" s="1"/>
  <c r="AP62"/>
  <c r="AT62" s="1"/>
  <c r="AP60"/>
  <c r="AT60" s="1"/>
  <c r="AN50"/>
  <c r="AN18"/>
  <c r="AN11"/>
  <c r="AN24"/>
  <c r="AN8"/>
  <c r="AN34"/>
  <c r="AN28"/>
  <c r="AN39"/>
  <c r="AN4"/>
  <c r="AN32"/>
  <c r="AN10"/>
  <c r="AN9"/>
  <c r="AX44"/>
  <c r="AX26"/>
  <c r="AX66"/>
  <c r="AX57"/>
  <c r="AX43"/>
  <c r="AX19"/>
  <c r="AX5"/>
  <c r="AX60"/>
  <c r="AX21"/>
  <c r="AX29"/>
  <c r="AX53"/>
  <c r="AX47"/>
  <c r="AX61"/>
  <c r="AX46"/>
  <c r="AX54"/>
  <c r="AX3"/>
  <c r="AX55"/>
  <c r="AX59"/>
  <c r="AX65"/>
  <c r="AX52"/>
  <c r="AX42"/>
  <c r="AX56"/>
  <c r="AX20"/>
  <c r="AX30"/>
  <c r="AX62"/>
  <c r="AX33"/>
  <c r="AX25"/>
  <c r="C3" i="12"/>
  <c r="C4"/>
  <c r="C5"/>
  <c r="C6"/>
  <c r="C7"/>
  <c r="C8"/>
  <c r="C9"/>
  <c r="C11"/>
  <c r="C12"/>
  <c r="C13"/>
  <c r="C14"/>
  <c r="C15"/>
  <c r="C16"/>
  <c r="C18"/>
  <c r="C21"/>
  <c r="C22"/>
  <c r="C23"/>
  <c r="C24"/>
  <c r="C26"/>
  <c r="C27"/>
  <c r="C32"/>
  <c r="C33"/>
  <c r="C34"/>
  <c r="C35"/>
  <c r="C36"/>
  <c r="C37"/>
  <c r="C38"/>
  <c r="C39"/>
  <c r="C40"/>
  <c r="C41"/>
  <c r="C42"/>
  <c r="C43"/>
  <c r="C44"/>
  <c r="C45"/>
  <c r="C46"/>
  <c r="C47"/>
  <c r="C48"/>
  <c r="C50"/>
  <c r="C51"/>
  <c r="C52"/>
  <c r="C53"/>
  <c r="C19"/>
  <c r="C20"/>
  <c r="C56"/>
  <c r="C57"/>
  <c r="C58"/>
  <c r="C60"/>
  <c r="C29"/>
  <c r="C61"/>
  <c r="C64"/>
  <c r="AX37" i="1" l="1"/>
  <c r="AX31"/>
  <c r="AX17"/>
  <c r="AX10"/>
  <c r="AX67"/>
  <c r="AX28"/>
  <c r="AX39"/>
  <c r="AX18"/>
  <c r="AX35"/>
  <c r="AX6"/>
  <c r="AX38"/>
  <c r="AX51"/>
  <c r="AX9"/>
  <c r="AX32"/>
  <c r="AX4"/>
  <c r="AX34"/>
  <c r="AX50"/>
  <c r="AX24"/>
  <c r="AX11"/>
  <c r="AP17"/>
  <c r="AT17" s="1"/>
  <c r="AP10"/>
  <c r="AT10" s="1"/>
  <c r="AP4"/>
  <c r="AT4" s="1"/>
  <c r="AP28"/>
  <c r="AT28" s="1"/>
  <c r="AP8"/>
  <c r="AT8" s="1"/>
  <c r="AP11"/>
  <c r="AT11" s="1"/>
  <c r="AP50"/>
  <c r="AT50" s="1"/>
  <c r="AP67"/>
  <c r="AT67" s="1"/>
  <c r="AP9"/>
  <c r="AT9" s="1"/>
  <c r="AP32"/>
  <c r="AT32" s="1"/>
  <c r="AP39"/>
  <c r="AT39" s="1"/>
  <c r="AP34"/>
  <c r="AT34" s="1"/>
  <c r="AP24"/>
  <c r="AT24" s="1"/>
  <c r="AP18"/>
  <c r="AT18" s="1"/>
  <c r="AP51"/>
  <c r="AT51" s="1"/>
  <c r="P31" i="2"/>
  <c r="H8" i="1" s="1"/>
  <c r="P14" i="16"/>
  <c r="P55" i="2"/>
  <c r="H39" i="1" s="1"/>
  <c r="P52" i="2"/>
  <c r="H59" i="1" s="1"/>
  <c r="P30" i="2"/>
  <c r="H7" i="1" s="1"/>
  <c r="P22" i="2"/>
  <c r="H43" i="1" s="1"/>
  <c r="P51" i="2"/>
  <c r="H12" i="1" s="1"/>
  <c r="P23" i="2"/>
  <c r="H56" i="1" s="1"/>
  <c r="P53" i="2"/>
  <c r="H61" i="1" s="1"/>
  <c r="P17" i="2"/>
  <c r="H19" i="1" s="1"/>
  <c r="P38" i="2"/>
  <c r="H63" i="1" s="1"/>
  <c r="P64" i="2"/>
  <c r="H50" i="1" s="1"/>
  <c r="P32" i="2"/>
  <c r="H4" i="1" s="1"/>
  <c r="P49" i="2"/>
  <c r="H5" i="1" s="1"/>
  <c r="P35" i="2"/>
  <c r="H66" i="1" s="1"/>
  <c r="P5" i="2"/>
  <c r="H55" i="1" s="1"/>
  <c r="P52" i="16"/>
  <c r="P7"/>
  <c r="P39" i="2"/>
  <c r="H49" i="1" s="1"/>
  <c r="P67" i="2"/>
  <c r="H28" i="1" s="1"/>
  <c r="P42" i="2"/>
  <c r="H40" i="1" s="1"/>
  <c r="P20" i="2"/>
  <c r="H20" i="1" s="1"/>
  <c r="P34" i="2"/>
  <c r="H58" i="1" s="1"/>
  <c r="P57" i="2"/>
  <c r="H35" i="1" s="1"/>
  <c r="P25" i="2"/>
  <c r="H67" i="1" s="1"/>
  <c r="P23" i="16"/>
  <c r="P63" i="2"/>
  <c r="H18" i="1" s="1"/>
  <c r="P9" i="2"/>
  <c r="H33" i="1" s="1"/>
  <c r="P68" i="2"/>
  <c r="H34" i="1" s="1"/>
  <c r="P10" i="2"/>
  <c r="H62" i="1" s="1"/>
  <c r="P66" i="2"/>
  <c r="H24" i="1" s="1"/>
  <c r="P58" i="2"/>
  <c r="H51" i="1" s="1"/>
  <c r="P41" i="2"/>
  <c r="H31" i="1" s="1"/>
  <c r="P6" i="2"/>
  <c r="H15" i="1" s="1"/>
  <c r="P102" i="2"/>
  <c r="P14"/>
  <c r="H52" i="1" s="1"/>
  <c r="P59" i="2"/>
  <c r="H45" i="1" s="1"/>
  <c r="P43" i="2"/>
  <c r="H14" i="1" s="1"/>
  <c r="P36" i="2"/>
  <c r="H23" i="1" s="1"/>
  <c r="P28" i="2"/>
  <c r="H25" i="1" s="1"/>
  <c r="P15" i="2"/>
  <c r="H30" i="1" s="1"/>
  <c r="P7" i="2"/>
  <c r="H42" i="1" s="1"/>
  <c r="P11" i="2"/>
  <c r="H17" i="1" s="1"/>
  <c r="P103" i="2"/>
  <c r="P54"/>
  <c r="H21" i="1" s="1"/>
  <c r="P37" i="2"/>
  <c r="H26" i="1" s="1"/>
  <c r="P33" i="2"/>
  <c r="H57" i="1" s="1"/>
  <c r="P50" i="2"/>
  <c r="H10" i="1" s="1"/>
  <c r="P8" i="2"/>
  <c r="H29" i="1" s="1"/>
  <c r="P28" i="16"/>
  <c r="P27" i="2"/>
  <c r="H36" i="1" s="1"/>
  <c r="P46" i="2"/>
  <c r="H48" i="1" s="1"/>
  <c r="P62" i="2"/>
  <c r="H37" i="1" s="1"/>
  <c r="P24" i="2"/>
  <c r="H41" i="1" s="1"/>
  <c r="P26" i="2"/>
  <c r="H11" i="1" s="1"/>
  <c r="P4" i="2"/>
  <c r="H60" i="1" s="1"/>
  <c r="P13" i="2"/>
  <c r="H16" i="1" s="1"/>
  <c r="P45" i="2"/>
  <c r="H44" i="1" s="1"/>
  <c r="P9" i="16"/>
  <c r="P47" i="2"/>
  <c r="H64" i="1" s="1"/>
  <c r="P19" i="2"/>
  <c r="H65" i="1" s="1"/>
  <c r="P20" i="16"/>
  <c r="P19"/>
  <c r="P59"/>
  <c r="P50"/>
  <c r="AY10" i="1" s="1"/>
  <c r="P10" i="16"/>
  <c r="P21" i="2"/>
  <c r="H22" i="1" s="1"/>
  <c r="P67" i="16"/>
  <c r="AY28" i="1" s="1"/>
  <c r="P43" i="16"/>
  <c r="P44" i="2"/>
  <c r="H6" i="1" s="1"/>
  <c r="P65" i="16"/>
  <c r="P16" i="2"/>
  <c r="H54" i="1" s="1"/>
  <c r="P60" i="16"/>
  <c r="AY32" i="1" s="1"/>
  <c r="P12" i="2"/>
  <c r="H3" i="1" s="1"/>
  <c r="P66" i="16"/>
  <c r="AY24" i="1" s="1"/>
  <c r="P31" i="16"/>
  <c r="AY8" i="1" s="1"/>
  <c r="P18" i="2"/>
  <c r="H9" i="1" s="1"/>
  <c r="P40" i="16"/>
  <c r="P48"/>
  <c r="AY38" i="1" s="1"/>
  <c r="P61" i="16"/>
  <c r="P65" i="2"/>
  <c r="H53" i="1" s="1"/>
  <c r="P8" i="16"/>
  <c r="P54"/>
  <c r="P35"/>
  <c r="P49"/>
  <c r="P42"/>
  <c r="P15"/>
  <c r="P36"/>
  <c r="P12"/>
  <c r="P18"/>
  <c r="AY9" i="1" s="1"/>
  <c r="P22" i="16"/>
  <c r="P37"/>
  <c r="P57"/>
  <c r="AY35" i="1" s="1"/>
  <c r="P46" i="16"/>
  <c r="P21"/>
  <c r="P62"/>
  <c r="AY37" i="1" s="1"/>
  <c r="P55" i="16"/>
  <c r="AY39" i="1" s="1"/>
  <c r="P68" i="16"/>
  <c r="AY34" i="1" s="1"/>
  <c r="P39" i="16"/>
  <c r="P5"/>
  <c r="P60" i="2"/>
  <c r="H32" i="1" s="1"/>
  <c r="P11" i="16"/>
  <c r="AY17" i="1" s="1"/>
  <c r="P40" i="2"/>
  <c r="H46" i="1" s="1"/>
  <c r="P48" i="2"/>
  <c r="H38" i="1" s="1"/>
  <c r="P61" i="2"/>
  <c r="H47" i="1" s="1"/>
  <c r="P41" i="16"/>
  <c r="AY31" i="1" s="1"/>
  <c r="P17" i="16"/>
  <c r="P33"/>
  <c r="P27"/>
  <c r="P32"/>
  <c r="AY4" i="1" s="1"/>
  <c r="P51" i="16"/>
  <c r="P47"/>
  <c r="P58"/>
  <c r="AY51" i="1" s="1"/>
  <c r="P30" i="16"/>
  <c r="P6"/>
  <c r="P64"/>
  <c r="AY50" i="1" s="1"/>
  <c r="P63" i="16"/>
  <c r="AY18" i="1" s="1"/>
  <c r="P34" i="16"/>
  <c r="P38"/>
  <c r="P102"/>
  <c r="R102" s="1"/>
  <c r="P53"/>
  <c r="P16"/>
  <c r="P24"/>
  <c r="P26"/>
  <c r="AY11" i="1" s="1"/>
  <c r="P44" i="16"/>
  <c r="AY6" i="1" s="1"/>
  <c r="P25" i="16"/>
  <c r="AY67" i="1" s="1"/>
  <c r="P4" i="16"/>
  <c r="P13"/>
  <c r="P45"/>
  <c r="P103"/>
  <c r="R103" s="1"/>
  <c r="AJ5" i="6"/>
  <c r="AJ6"/>
  <c r="AJ7"/>
  <c r="AJ60"/>
  <c r="AJ8"/>
  <c r="AJ9"/>
  <c r="AJ10"/>
  <c r="AJ12"/>
  <c r="AJ13"/>
  <c r="AJ14"/>
  <c r="AJ15"/>
  <c r="AJ16"/>
  <c r="AJ17"/>
  <c r="AJ64"/>
  <c r="AJ19"/>
  <c r="AJ66"/>
  <c r="AJ22"/>
  <c r="AJ67"/>
  <c r="AJ23"/>
  <c r="AJ24"/>
  <c r="AJ50"/>
  <c r="AJ63"/>
  <c r="AJ55"/>
  <c r="AJ31"/>
  <c r="AJ25"/>
  <c r="AJ27"/>
  <c r="AJ28"/>
  <c r="AJ18"/>
  <c r="AJ33"/>
  <c r="AJ34"/>
  <c r="AJ68"/>
  <c r="AJ26"/>
  <c r="AJ35"/>
  <c r="AJ32"/>
  <c r="AJ36"/>
  <c r="AJ11"/>
  <c r="AJ37"/>
  <c r="AJ38"/>
  <c r="AJ39"/>
  <c r="AJ40"/>
  <c r="AJ41"/>
  <c r="AJ42"/>
  <c r="AJ43"/>
  <c r="AJ44"/>
  <c r="AJ45"/>
  <c r="AJ46"/>
  <c r="AJ47"/>
  <c r="AJ48"/>
  <c r="AJ49"/>
  <c r="AJ51"/>
  <c r="AJ52"/>
  <c r="AJ53"/>
  <c r="AJ54"/>
  <c r="AJ20"/>
  <c r="AJ21"/>
  <c r="AJ57"/>
  <c r="AJ58"/>
  <c r="AJ102"/>
  <c r="AJ59"/>
  <c r="AJ61"/>
  <c r="AJ103"/>
  <c r="AJ30"/>
  <c r="AJ62"/>
  <c r="AJ65"/>
  <c r="AJ4"/>
  <c r="AB13" i="10"/>
  <c r="BE16" i="1" s="1"/>
  <c r="AB67" i="10"/>
  <c r="BE28" i="1" s="1"/>
  <c r="AB25" i="10"/>
  <c r="BE67" i="1" s="1"/>
  <c r="AB41" i="10"/>
  <c r="BE31" i="1" s="1"/>
  <c r="AB44" i="10"/>
  <c r="BE6" i="1" s="1"/>
  <c r="AB51" i="10"/>
  <c r="BE12" i="1" s="1"/>
  <c r="AB58" i="10"/>
  <c r="BE51" i="1" s="1"/>
  <c r="AB62" i="10"/>
  <c r="BE37" i="1" s="1"/>
  <c r="V5" i="3"/>
  <c r="V6"/>
  <c r="V7"/>
  <c r="V60"/>
  <c r="V8"/>
  <c r="V9"/>
  <c r="V10"/>
  <c r="V12"/>
  <c r="V13"/>
  <c r="V14"/>
  <c r="V15"/>
  <c r="V16"/>
  <c r="V17"/>
  <c r="V64"/>
  <c r="V19"/>
  <c r="V66"/>
  <c r="V22"/>
  <c r="V67"/>
  <c r="V23"/>
  <c r="V24"/>
  <c r="V50"/>
  <c r="V63"/>
  <c r="V55"/>
  <c r="V31"/>
  <c r="V25"/>
  <c r="V27"/>
  <c r="V28"/>
  <c r="V18"/>
  <c r="V33"/>
  <c r="V34"/>
  <c r="V68"/>
  <c r="V26"/>
  <c r="V35"/>
  <c r="V32"/>
  <c r="V36"/>
  <c r="V11"/>
  <c r="V37"/>
  <c r="V38"/>
  <c r="V39"/>
  <c r="V40"/>
  <c r="V41"/>
  <c r="V42"/>
  <c r="V43"/>
  <c r="V44"/>
  <c r="V45"/>
  <c r="V46"/>
  <c r="V47"/>
  <c r="V48"/>
  <c r="V49"/>
  <c r="V51"/>
  <c r="V52"/>
  <c r="V53"/>
  <c r="V54"/>
  <c r="V20"/>
  <c r="V21"/>
  <c r="V57"/>
  <c r="V58"/>
  <c r="V102"/>
  <c r="V59"/>
  <c r="V61"/>
  <c r="V103"/>
  <c r="V30"/>
  <c r="V62"/>
  <c r="V65"/>
  <c r="V4"/>
  <c r="AY7" i="1" l="1"/>
  <c r="R30" i="16"/>
  <c r="AY36" i="1"/>
  <c r="R27" i="16"/>
  <c r="AY3" i="1"/>
  <c r="R12" i="16"/>
  <c r="AY5" i="1"/>
  <c r="R49" i="16"/>
  <c r="AY14" i="1"/>
  <c r="R43" i="16"/>
  <c r="AY59" i="1"/>
  <c r="R52" i="16"/>
  <c r="R26"/>
  <c r="R64"/>
  <c r="R32"/>
  <c r="R18"/>
  <c r="R48"/>
  <c r="R57"/>
  <c r="R55"/>
  <c r="R25"/>
  <c r="R11"/>
  <c r="R62"/>
  <c r="AY48" i="1"/>
  <c r="R46" i="16"/>
  <c r="AY56" i="1"/>
  <c r="R23" i="16"/>
  <c r="AY26" i="1"/>
  <c r="R37" i="16"/>
  <c r="AY23" i="1"/>
  <c r="R36" i="16"/>
  <c r="AY66" i="1"/>
  <c r="R35" i="16"/>
  <c r="AY47" i="1"/>
  <c r="R61" i="16"/>
  <c r="AY54" i="1"/>
  <c r="R16" i="16"/>
  <c r="AY58" i="1"/>
  <c r="R34" i="16"/>
  <c r="AY40" i="1"/>
  <c r="R42" i="16"/>
  <c r="AY29" i="1"/>
  <c r="R8" i="16"/>
  <c r="AY46" i="1"/>
  <c r="R40" i="16"/>
  <c r="AY62" i="1"/>
  <c r="R10" i="16"/>
  <c r="AY20" i="1"/>
  <c r="R20" i="16"/>
  <c r="AY25" i="1"/>
  <c r="R28" i="16"/>
  <c r="AY42" i="1"/>
  <c r="R7" i="16"/>
  <c r="AY52" i="1"/>
  <c r="R14" i="16"/>
  <c r="AY44" i="1"/>
  <c r="R45" i="16"/>
  <c r="AY61" i="1"/>
  <c r="R53" i="16"/>
  <c r="AY16" i="1"/>
  <c r="R13" i="16"/>
  <c r="AY64" i="1"/>
  <c r="R47" i="16"/>
  <c r="AY57" i="1"/>
  <c r="R33" i="16"/>
  <c r="AY55" i="1"/>
  <c r="R5" i="16"/>
  <c r="AY45" i="1"/>
  <c r="R59" i="16"/>
  <c r="AY60" i="1"/>
  <c r="R4" i="16"/>
  <c r="AY41" i="1"/>
  <c r="R24" i="16"/>
  <c r="AY63" i="1"/>
  <c r="R38" i="16"/>
  <c r="AY15" i="1"/>
  <c r="R6" i="16"/>
  <c r="AY12" i="1"/>
  <c r="R51" i="16"/>
  <c r="AY19" i="1"/>
  <c r="R17" i="16"/>
  <c r="AY49" i="1"/>
  <c r="R39" i="16"/>
  <c r="AY22" i="1"/>
  <c r="R21" i="16"/>
  <c r="AY43" i="1"/>
  <c r="R22" i="16"/>
  <c r="AY30" i="1"/>
  <c r="R15" i="16"/>
  <c r="AY21" i="1"/>
  <c r="R54" i="16"/>
  <c r="AY53" i="1"/>
  <c r="R65" i="16"/>
  <c r="AY65" i="1"/>
  <c r="R19" i="16"/>
  <c r="AY33" i="1"/>
  <c r="R9" i="16"/>
  <c r="R66"/>
  <c r="R68"/>
  <c r="R60"/>
  <c r="R58"/>
  <c r="R44"/>
  <c r="R63"/>
  <c r="R67"/>
  <c r="R50"/>
  <c r="R41"/>
  <c r="R31"/>
  <c r="AB43" i="10"/>
  <c r="BE14" i="1" s="1"/>
  <c r="AB57" i="10"/>
  <c r="BE35" i="1" s="1"/>
  <c r="AB48" i="10"/>
  <c r="BE38" i="1" s="1"/>
  <c r="AH2" i="6" l="1"/>
  <c r="O2" i="10"/>
  <c r="T2" i="3"/>
  <c r="AJ65" l="1"/>
  <c r="AJ62"/>
  <c r="AJ30"/>
  <c r="AJ103"/>
  <c r="AJ61"/>
  <c r="AJ59"/>
  <c r="AJ102"/>
  <c r="AJ58"/>
  <c r="AJ57"/>
  <c r="AJ21"/>
  <c r="AJ20"/>
  <c r="AJ54"/>
  <c r="AJ4"/>
  <c r="AJ53"/>
  <c r="AJ52"/>
  <c r="AJ51"/>
  <c r="AJ49"/>
  <c r="AJ48"/>
  <c r="AJ47"/>
  <c r="AJ46"/>
  <c r="AJ45"/>
  <c r="AJ44"/>
  <c r="AJ43"/>
  <c r="AJ42"/>
  <c r="AJ41"/>
  <c r="AJ40"/>
  <c r="AJ39"/>
  <c r="AJ38"/>
  <c r="AJ37"/>
  <c r="AJ11"/>
  <c r="AJ36"/>
  <c r="AJ32"/>
  <c r="AJ35"/>
  <c r="AJ26"/>
  <c r="AJ68"/>
  <c r="AJ34"/>
  <c r="AJ33"/>
  <c r="AJ18"/>
  <c r="AJ28"/>
  <c r="AJ27"/>
  <c r="AJ25"/>
  <c r="AJ31"/>
  <c r="AJ55"/>
  <c r="AJ63"/>
  <c r="AJ50"/>
  <c r="AJ24"/>
  <c r="AJ23"/>
  <c r="AJ67"/>
  <c r="AJ22"/>
  <c r="AJ66"/>
  <c r="AJ19"/>
  <c r="AJ64"/>
  <c r="AJ17"/>
  <c r="AJ16"/>
  <c r="AJ15"/>
  <c r="AJ14"/>
  <c r="AJ13"/>
  <c r="AJ12"/>
  <c r="AJ10"/>
  <c r="AJ9"/>
  <c r="AJ8"/>
  <c r="AJ60"/>
  <c r="AJ7"/>
  <c r="AJ6"/>
  <c r="AJ5"/>
  <c r="AI65"/>
  <c r="AI62"/>
  <c r="AI30"/>
  <c r="AI103"/>
  <c r="AI61"/>
  <c r="AI59"/>
  <c r="AI102"/>
  <c r="AI58"/>
  <c r="AI57"/>
  <c r="AI21"/>
  <c r="AI20"/>
  <c r="AI54"/>
  <c r="AI4"/>
  <c r="AI53"/>
  <c r="AI52"/>
  <c r="AI51"/>
  <c r="AI49"/>
  <c r="AI48"/>
  <c r="AI47"/>
  <c r="AI46"/>
  <c r="AI45"/>
  <c r="AI44"/>
  <c r="AI43"/>
  <c r="AI42"/>
  <c r="AI41"/>
  <c r="AI40"/>
  <c r="AI39"/>
  <c r="AI38"/>
  <c r="AI37"/>
  <c r="AI11"/>
  <c r="AI36"/>
  <c r="AI32"/>
  <c r="AI35"/>
  <c r="AI26"/>
  <c r="AI68"/>
  <c r="AI34"/>
  <c r="AI33"/>
  <c r="AI18"/>
  <c r="AI28"/>
  <c r="AI27"/>
  <c r="AI25"/>
  <c r="AI31"/>
  <c r="AI55"/>
  <c r="AI63"/>
  <c r="AI50"/>
  <c r="AI24"/>
  <c r="AI23"/>
  <c r="AI67"/>
  <c r="AI22"/>
  <c r="AI66"/>
  <c r="AI19"/>
  <c r="AI64"/>
  <c r="AI17"/>
  <c r="AI16"/>
  <c r="AI15"/>
  <c r="AI14"/>
  <c r="AI13"/>
  <c r="AI12"/>
  <c r="AI10"/>
  <c r="AI9"/>
  <c r="AI8"/>
  <c r="AI60"/>
  <c r="AI7"/>
  <c r="AI6"/>
  <c r="AI5"/>
  <c r="AH65"/>
  <c r="AH62"/>
  <c r="AH30"/>
  <c r="AH103"/>
  <c r="AH61"/>
  <c r="AH59"/>
  <c r="AH102"/>
  <c r="AH58"/>
  <c r="AH57"/>
  <c r="AH21"/>
  <c r="AH20"/>
  <c r="AH54"/>
  <c r="AH4"/>
  <c r="AH53"/>
  <c r="AH52"/>
  <c r="AH51"/>
  <c r="AH49"/>
  <c r="AH48"/>
  <c r="AH47"/>
  <c r="AH46"/>
  <c r="AH45"/>
  <c r="AH44"/>
  <c r="AH43"/>
  <c r="AH42"/>
  <c r="AH41"/>
  <c r="AH40"/>
  <c r="AH39"/>
  <c r="AH38"/>
  <c r="AH37"/>
  <c r="AH11"/>
  <c r="AH36"/>
  <c r="AH32"/>
  <c r="AH35"/>
  <c r="AH26"/>
  <c r="AH68"/>
  <c r="AH34"/>
  <c r="AH33"/>
  <c r="AH18"/>
  <c r="AH28"/>
  <c r="AH27"/>
  <c r="AH25"/>
  <c r="AH31"/>
  <c r="AH55"/>
  <c r="AH63"/>
  <c r="AH50"/>
  <c r="AH24"/>
  <c r="AH23"/>
  <c r="AH67"/>
  <c r="AH22"/>
  <c r="AH66"/>
  <c r="AH19"/>
  <c r="AH64"/>
  <c r="AH17"/>
  <c r="AH16"/>
  <c r="AH15"/>
  <c r="AH14"/>
  <c r="AH13"/>
  <c r="AH12"/>
  <c r="AH10"/>
  <c r="AH9"/>
  <c r="AH8"/>
  <c r="AH60"/>
  <c r="AH7"/>
  <c r="AH6"/>
  <c r="AH5"/>
  <c r="AG65"/>
  <c r="AG62"/>
  <c r="AG30"/>
  <c r="AG103"/>
  <c r="AG61"/>
  <c r="AG59"/>
  <c r="AG102"/>
  <c r="AG58"/>
  <c r="AG57"/>
  <c r="AG21"/>
  <c r="AG20"/>
  <c r="AG54"/>
  <c r="AG4"/>
  <c r="AG53"/>
  <c r="AG52"/>
  <c r="AG51"/>
  <c r="AG49"/>
  <c r="AG48"/>
  <c r="AG47"/>
  <c r="AG46"/>
  <c r="AG45"/>
  <c r="AG44"/>
  <c r="AG43"/>
  <c r="AG42"/>
  <c r="AG41"/>
  <c r="AG40"/>
  <c r="AG39"/>
  <c r="AG38"/>
  <c r="AG37"/>
  <c r="AG11"/>
  <c r="AG36"/>
  <c r="AG32"/>
  <c r="AG35"/>
  <c r="AG26"/>
  <c r="AG68"/>
  <c r="AG34"/>
  <c r="AG33"/>
  <c r="AG18"/>
  <c r="AG28"/>
  <c r="AG27"/>
  <c r="AG25"/>
  <c r="AG31"/>
  <c r="AG55"/>
  <c r="AG63"/>
  <c r="AG50"/>
  <c r="AG24"/>
  <c r="AG23"/>
  <c r="AG67"/>
  <c r="AG22"/>
  <c r="AG66"/>
  <c r="AG19"/>
  <c r="AG64"/>
  <c r="AG17"/>
  <c r="AG16"/>
  <c r="AG15"/>
  <c r="AG14"/>
  <c r="AG13"/>
  <c r="AG12"/>
  <c r="AG10"/>
  <c r="AG9"/>
  <c r="AG8"/>
  <c r="AG60"/>
  <c r="AG7"/>
  <c r="AG6"/>
  <c r="AG5"/>
  <c r="AF65"/>
  <c r="AF62"/>
  <c r="AF30"/>
  <c r="AF103"/>
  <c r="AF61"/>
  <c r="AF59"/>
  <c r="AF102"/>
  <c r="AF58"/>
  <c r="AF57"/>
  <c r="AF21"/>
  <c r="AF20"/>
  <c r="AF54"/>
  <c r="AF4"/>
  <c r="AF53"/>
  <c r="AF52"/>
  <c r="AF51"/>
  <c r="AF49"/>
  <c r="AF48"/>
  <c r="AF47"/>
  <c r="AF46"/>
  <c r="AF45"/>
  <c r="AF44"/>
  <c r="AF43"/>
  <c r="AF42"/>
  <c r="AF41"/>
  <c r="AF40"/>
  <c r="AF39"/>
  <c r="AF38"/>
  <c r="AF37"/>
  <c r="AF11"/>
  <c r="AF36"/>
  <c r="AF32"/>
  <c r="AF35"/>
  <c r="AF26"/>
  <c r="AF68"/>
  <c r="AF34"/>
  <c r="AF33"/>
  <c r="AF18"/>
  <c r="AF28"/>
  <c r="AF27"/>
  <c r="AF25"/>
  <c r="AF31"/>
  <c r="AF55"/>
  <c r="AF63"/>
  <c r="AF50"/>
  <c r="AF24"/>
  <c r="AF23"/>
  <c r="AF67"/>
  <c r="AF22"/>
  <c r="AF66"/>
  <c r="AF19"/>
  <c r="AF64"/>
  <c r="AF17"/>
  <c r="AF16"/>
  <c r="AF15"/>
  <c r="AF14"/>
  <c r="AF13"/>
  <c r="AF12"/>
  <c r="AF10"/>
  <c r="AF9"/>
  <c r="AF8"/>
  <c r="AF60"/>
  <c r="AF7"/>
  <c r="AF6"/>
  <c r="AF5"/>
  <c r="AE65"/>
  <c r="AE62"/>
  <c r="AE30"/>
  <c r="AE103"/>
  <c r="AE61"/>
  <c r="AE59"/>
  <c r="AE102"/>
  <c r="AE58"/>
  <c r="AE57"/>
  <c r="AE21"/>
  <c r="AE20"/>
  <c r="AE54"/>
  <c r="AE4"/>
  <c r="AE53"/>
  <c r="AE52"/>
  <c r="AE51"/>
  <c r="AE49"/>
  <c r="AE48"/>
  <c r="AE47"/>
  <c r="AE46"/>
  <c r="AE45"/>
  <c r="AE44"/>
  <c r="AE43"/>
  <c r="AE42"/>
  <c r="AE41"/>
  <c r="AE40"/>
  <c r="AE39"/>
  <c r="AE38"/>
  <c r="AE37"/>
  <c r="AE11"/>
  <c r="AE36"/>
  <c r="AE32"/>
  <c r="AE35"/>
  <c r="AE26"/>
  <c r="AE68"/>
  <c r="AE34"/>
  <c r="AE33"/>
  <c r="AE18"/>
  <c r="AE28"/>
  <c r="AE27"/>
  <c r="AE25"/>
  <c r="AE31"/>
  <c r="AE55"/>
  <c r="AE63"/>
  <c r="AE50"/>
  <c r="AE24"/>
  <c r="AE23"/>
  <c r="AE67"/>
  <c r="AE22"/>
  <c r="AE66"/>
  <c r="AE19"/>
  <c r="AE64"/>
  <c r="AE17"/>
  <c r="AE16"/>
  <c r="AE15"/>
  <c r="AE14"/>
  <c r="AE13"/>
  <c r="AE12"/>
  <c r="AE10"/>
  <c r="AE9"/>
  <c r="AE8"/>
  <c r="AE60"/>
  <c r="AE7"/>
  <c r="AE6"/>
  <c r="AE5"/>
  <c r="AD65"/>
  <c r="AD62"/>
  <c r="AD30"/>
  <c r="AD103"/>
  <c r="AD61"/>
  <c r="AD59"/>
  <c r="AD102"/>
  <c r="AD58"/>
  <c r="AD57"/>
  <c r="AD21"/>
  <c r="AD20"/>
  <c r="AD54"/>
  <c r="AD4"/>
  <c r="AD53"/>
  <c r="AD52"/>
  <c r="AD51"/>
  <c r="AD49"/>
  <c r="AD48"/>
  <c r="AD47"/>
  <c r="AD46"/>
  <c r="AD45"/>
  <c r="AD44"/>
  <c r="AD43"/>
  <c r="AD42"/>
  <c r="AD41"/>
  <c r="AD40"/>
  <c r="AD39"/>
  <c r="AD38"/>
  <c r="AD37"/>
  <c r="AD11"/>
  <c r="AD36"/>
  <c r="AD32"/>
  <c r="AD35"/>
  <c r="AD26"/>
  <c r="AD68"/>
  <c r="AD34"/>
  <c r="AD33"/>
  <c r="AD18"/>
  <c r="AD28"/>
  <c r="AD27"/>
  <c r="AD25"/>
  <c r="AD31"/>
  <c r="AD55"/>
  <c r="AD63"/>
  <c r="AD50"/>
  <c r="AD24"/>
  <c r="AD23"/>
  <c r="AD67"/>
  <c r="AD22"/>
  <c r="AD66"/>
  <c r="AD19"/>
  <c r="AD64"/>
  <c r="AD17"/>
  <c r="AD16"/>
  <c r="AD15"/>
  <c r="AD14"/>
  <c r="AD13"/>
  <c r="AD12"/>
  <c r="AD10"/>
  <c r="AD9"/>
  <c r="AD8"/>
  <c r="AD60"/>
  <c r="AD7"/>
  <c r="AD6"/>
  <c r="AD5"/>
  <c r="AC65"/>
  <c r="AC62"/>
  <c r="AC30"/>
  <c r="AC103"/>
  <c r="AC61"/>
  <c r="AC59"/>
  <c r="AC102"/>
  <c r="AC58"/>
  <c r="AC57"/>
  <c r="AC21"/>
  <c r="AC20"/>
  <c r="AC54"/>
  <c r="AC4"/>
  <c r="AC53"/>
  <c r="AC52"/>
  <c r="AC51"/>
  <c r="AC49"/>
  <c r="AC48"/>
  <c r="AC47"/>
  <c r="AC46"/>
  <c r="AC45"/>
  <c r="AC44"/>
  <c r="AC43"/>
  <c r="AC42"/>
  <c r="AC41"/>
  <c r="AC40"/>
  <c r="AC39"/>
  <c r="AC38"/>
  <c r="AC37"/>
  <c r="AC11"/>
  <c r="AC36"/>
  <c r="AC32"/>
  <c r="AC35"/>
  <c r="AC26"/>
  <c r="AC68"/>
  <c r="AC34"/>
  <c r="AC33"/>
  <c r="AC18"/>
  <c r="AC28"/>
  <c r="AC27"/>
  <c r="AC25"/>
  <c r="AC31"/>
  <c r="AC55"/>
  <c r="AC63"/>
  <c r="AC50"/>
  <c r="AC24"/>
  <c r="AC23"/>
  <c r="AC67"/>
  <c r="AC22"/>
  <c r="AC66"/>
  <c r="AC19"/>
  <c r="AC64"/>
  <c r="AC17"/>
  <c r="AC16"/>
  <c r="AC15"/>
  <c r="AC14"/>
  <c r="AC13"/>
  <c r="AC12"/>
  <c r="AC10"/>
  <c r="AC9"/>
  <c r="AC8"/>
  <c r="AC60"/>
  <c r="AC7"/>
  <c r="AC6"/>
  <c r="AC5"/>
  <c r="AB6"/>
  <c r="AB7"/>
  <c r="AB60"/>
  <c r="AB8"/>
  <c r="AB9"/>
  <c r="AB10"/>
  <c r="AB12"/>
  <c r="AB13"/>
  <c r="AB14"/>
  <c r="AB15"/>
  <c r="AB16"/>
  <c r="AB17"/>
  <c r="AB64"/>
  <c r="AB19"/>
  <c r="AB66"/>
  <c r="AB22"/>
  <c r="AB67"/>
  <c r="AB23"/>
  <c r="AB24"/>
  <c r="AB50"/>
  <c r="AB63"/>
  <c r="AB55"/>
  <c r="AB31"/>
  <c r="AB25"/>
  <c r="AB27"/>
  <c r="AB28"/>
  <c r="AB18"/>
  <c r="AB33"/>
  <c r="AB34"/>
  <c r="AB68"/>
  <c r="AB26"/>
  <c r="AB35"/>
  <c r="AB32"/>
  <c r="AB36"/>
  <c r="AB11"/>
  <c r="AB37"/>
  <c r="AB38"/>
  <c r="AB39"/>
  <c r="AB40"/>
  <c r="AB41"/>
  <c r="AB42"/>
  <c r="AB43"/>
  <c r="AB44"/>
  <c r="AB45"/>
  <c r="AB46"/>
  <c r="AB47"/>
  <c r="AB48"/>
  <c r="AB49"/>
  <c r="AB51"/>
  <c r="AB52"/>
  <c r="AB53"/>
  <c r="AB4"/>
  <c r="AB54"/>
  <c r="AB20"/>
  <c r="AB21"/>
  <c r="AB57"/>
  <c r="AB58"/>
  <c r="AB102"/>
  <c r="AB59"/>
  <c r="AB61"/>
  <c r="AB103"/>
  <c r="AB30"/>
  <c r="AB62"/>
  <c r="AB65"/>
  <c r="AB5"/>
  <c r="AK5" l="1"/>
  <c r="AG55" i="1" s="1"/>
  <c r="AK8" i="3"/>
  <c r="AG29" i="1" s="1"/>
  <c r="AK13" i="3"/>
  <c r="AG16" i="1" s="1"/>
  <c r="AK17" i="3"/>
  <c r="AG19" i="1" s="1"/>
  <c r="AK22" i="3"/>
  <c r="AG43" i="1" s="1"/>
  <c r="AK50" i="3"/>
  <c r="AG10" i="1" s="1"/>
  <c r="AK25" i="3"/>
  <c r="AG67" i="1" s="1"/>
  <c r="AK33" i="3"/>
  <c r="AG57" i="1" s="1"/>
  <c r="AK35" i="3"/>
  <c r="AG66" i="1" s="1"/>
  <c r="AK37" i="3"/>
  <c r="AG26" i="1" s="1"/>
  <c r="AK41" i="3"/>
  <c r="AG31" i="1" s="1"/>
  <c r="AK45" i="3"/>
  <c r="AG44" i="1" s="1"/>
  <c r="AK49" i="3"/>
  <c r="AG5" i="1" s="1"/>
  <c r="AK4" i="3"/>
  <c r="AG60" i="1" s="1"/>
  <c r="AK57" i="3"/>
  <c r="AG35" i="1" s="1"/>
  <c r="AK61" i="3"/>
  <c r="AG47" i="1" s="1"/>
  <c r="AK65" i="3"/>
  <c r="AG53" i="1" s="1"/>
  <c r="AK6" i="3"/>
  <c r="AG15" i="1" s="1"/>
  <c r="AK9" i="3"/>
  <c r="AG33" i="1" s="1"/>
  <c r="AK14" i="3"/>
  <c r="AG52" i="1" s="1"/>
  <c r="AK64" i="3"/>
  <c r="AG50" i="1" s="1"/>
  <c r="AK67" i="3"/>
  <c r="AG28" i="1" s="1"/>
  <c r="AK63" i="3"/>
  <c r="AG18" i="1" s="1"/>
  <c r="AK27" i="3"/>
  <c r="AG36" i="1" s="1"/>
  <c r="AK34" i="3"/>
  <c r="AG58" i="1" s="1"/>
  <c r="AK32" i="3"/>
  <c r="AG4" i="1" s="1"/>
  <c r="AK38" i="3"/>
  <c r="AG63" i="1" s="1"/>
  <c r="AK42" i="3"/>
  <c r="AG40" i="1" s="1"/>
  <c r="AK46" i="3"/>
  <c r="AG48" i="1" s="1"/>
  <c r="AK51" i="3"/>
  <c r="AG12" i="1" s="1"/>
  <c r="AK54" i="3"/>
  <c r="AG21" i="1" s="1"/>
  <c r="AK58" i="3"/>
  <c r="AG51" i="1" s="1"/>
  <c r="AK103" i="3"/>
  <c r="AK7"/>
  <c r="AG42" i="1" s="1"/>
  <c r="AK10" i="3"/>
  <c r="AG62" i="1" s="1"/>
  <c r="AK15" i="3"/>
  <c r="AG30" i="1" s="1"/>
  <c r="AK19" i="3"/>
  <c r="AG65" i="1" s="1"/>
  <c r="AK23" i="3"/>
  <c r="AG56" i="1" s="1"/>
  <c r="AK55" i="3"/>
  <c r="AG39" i="1" s="1"/>
  <c r="AK28" i="3"/>
  <c r="AG25" i="1" s="1"/>
  <c r="AK68" i="3"/>
  <c r="AG34" i="1" s="1"/>
  <c r="AK36" i="3"/>
  <c r="AG23" i="1" s="1"/>
  <c r="AK39" i="3"/>
  <c r="AG49" i="1" s="1"/>
  <c r="AK43" i="3"/>
  <c r="AG14" i="1" s="1"/>
  <c r="AK47" i="3"/>
  <c r="AG64" i="1" s="1"/>
  <c r="AK52" i="3"/>
  <c r="AG59" i="1" s="1"/>
  <c r="AK20" i="3"/>
  <c r="AG20" i="1" s="1"/>
  <c r="AK102" i="3"/>
  <c r="AK30"/>
  <c r="AG7" i="1" s="1"/>
  <c r="AK60" i="3"/>
  <c r="AG32" i="1" s="1"/>
  <c r="AK12" i="3"/>
  <c r="AG3" i="1" s="1"/>
  <c r="AK16" i="3"/>
  <c r="AG54" i="1" s="1"/>
  <c r="AK66" i="3"/>
  <c r="AG24" i="1" s="1"/>
  <c r="AK24" i="3"/>
  <c r="AG41" i="1" s="1"/>
  <c r="AK31" i="3"/>
  <c r="AG8" i="1" s="1"/>
  <c r="AK18" i="3"/>
  <c r="AG9" i="1" s="1"/>
  <c r="AK26" i="3"/>
  <c r="AG11" i="1" s="1"/>
  <c r="AK11" i="3"/>
  <c r="AG17" i="1" s="1"/>
  <c r="AK40" i="3"/>
  <c r="AG46" i="1" s="1"/>
  <c r="AK44" i="3"/>
  <c r="AG6" i="1" s="1"/>
  <c r="AK48" i="3"/>
  <c r="AG38" i="1" s="1"/>
  <c r="AK53" i="3"/>
  <c r="AG61" i="1" s="1"/>
  <c r="AK21" i="3"/>
  <c r="AG22" i="1" s="1"/>
  <c r="AK59" i="3"/>
  <c r="AG45" i="1" s="1"/>
  <c r="AK62" i="3"/>
  <c r="AG37" i="1" s="1"/>
  <c r="AA32" l="1"/>
  <c r="AA62"/>
  <c r="AA56"/>
  <c r="AA10"/>
  <c r="AA39"/>
  <c r="AA9"/>
  <c r="AA11"/>
  <c r="AA26"/>
  <c r="AA49"/>
  <c r="AA14"/>
  <c r="AA44"/>
  <c r="AA64"/>
  <c r="AA59"/>
  <c r="AA60"/>
  <c r="AA20"/>
  <c r="AA47"/>
  <c r="AA53"/>
  <c r="AA16"/>
  <c r="AA24"/>
  <c r="AA25"/>
  <c r="AA42"/>
  <c r="AA30"/>
  <c r="AA41"/>
  <c r="AA8"/>
  <c r="AA57"/>
  <c r="AA34"/>
  <c r="AA46"/>
  <c r="AA6"/>
  <c r="AA38"/>
  <c r="AA61"/>
  <c r="AA22"/>
  <c r="AA45"/>
  <c r="AA37"/>
  <c r="AA15"/>
  <c r="AA29"/>
  <c r="AA19"/>
  <c r="AA65"/>
  <c r="AA23"/>
  <c r="AA7"/>
  <c r="AA3"/>
  <c r="AA17"/>
  <c r="AA55"/>
  <c r="AA54"/>
  <c r="AA43"/>
  <c r="AA67"/>
  <c r="AA66"/>
  <c r="AA31"/>
  <c r="AA5"/>
  <c r="AA35"/>
  <c r="AA33"/>
  <c r="AA50"/>
  <c r="AA18"/>
  <c r="AA58"/>
  <c r="AA63"/>
  <c r="AA48"/>
  <c r="AA21"/>
  <c r="AA52"/>
  <c r="AA28"/>
  <c r="AA36"/>
  <c r="AA4"/>
  <c r="AA40"/>
  <c r="AA12"/>
  <c r="AA51"/>
  <c r="AB7" i="10"/>
  <c r="BE42" i="1" s="1"/>
  <c r="AB60" i="10"/>
  <c r="BE32" i="1" s="1"/>
  <c r="AB10" i="10"/>
  <c r="BE62" i="1" s="1"/>
  <c r="AB12" i="10"/>
  <c r="BE3" i="1" s="1"/>
  <c r="BH16"/>
  <c r="AB15" i="10"/>
  <c r="BE30" i="1" s="1"/>
  <c r="AB16" i="10"/>
  <c r="BE54" i="1" s="1"/>
  <c r="AB19" i="10"/>
  <c r="BE65" i="1" s="1"/>
  <c r="BH28"/>
  <c r="AB23" i="10"/>
  <c r="BE56" i="1" s="1"/>
  <c r="AB24" i="10"/>
  <c r="BE41" i="1" s="1"/>
  <c r="AB55" i="10"/>
  <c r="BE39" i="1" s="1"/>
  <c r="AB31" i="10"/>
  <c r="BE8" i="1" s="1"/>
  <c r="BH67"/>
  <c r="AB28" i="10"/>
  <c r="BE25" i="1" s="1"/>
  <c r="AB18" i="10"/>
  <c r="BE9" i="1" s="1"/>
  <c r="AB68" i="10"/>
  <c r="BE34" i="1" s="1"/>
  <c r="AB40" i="10"/>
  <c r="BE46" i="1" s="1"/>
  <c r="BH31"/>
  <c r="BH14"/>
  <c r="BH12"/>
  <c r="AB53" i="10"/>
  <c r="BE61" i="1" s="1"/>
  <c r="AB21" i="10"/>
  <c r="BE22" i="1" s="1"/>
  <c r="BH35"/>
  <c r="BH51"/>
  <c r="AB59" i="10"/>
  <c r="BE45" i="1" s="1"/>
  <c r="X2" i="10"/>
  <c r="W2"/>
  <c r="V2"/>
  <c r="U2"/>
  <c r="T2"/>
  <c r="S2"/>
  <c r="R2"/>
  <c r="Q2"/>
  <c r="P2"/>
  <c r="AB5" l="1"/>
  <c r="BE55" i="1" s="1"/>
  <c r="AB103" i="10"/>
  <c r="AB46"/>
  <c r="BE48" i="1" s="1"/>
  <c r="AB42" i="10"/>
  <c r="BE40" i="1" s="1"/>
  <c r="AB38" i="10"/>
  <c r="BE63" i="1" s="1"/>
  <c r="AB32" i="10"/>
  <c r="BE4" i="1" s="1"/>
  <c r="AB34" i="10"/>
  <c r="BE58" i="1" s="1"/>
  <c r="AB27" i="10"/>
  <c r="BE36" i="1" s="1"/>
  <c r="AB63" i="10"/>
  <c r="BE18" i="1" s="1"/>
  <c r="AB64" i="10"/>
  <c r="BE50" i="1" s="1"/>
  <c r="AB14" i="10"/>
  <c r="BE52" i="1" s="1"/>
  <c r="AB6" i="10"/>
  <c r="BE15" i="1" s="1"/>
  <c r="AB54" i="10"/>
  <c r="BE21" i="1" s="1"/>
  <c r="AB9" i="10"/>
  <c r="BE33" i="1" s="1"/>
  <c r="BJ58"/>
  <c r="BI36"/>
  <c r="BJ50"/>
  <c r="BI52"/>
  <c r="AB65" i="10"/>
  <c r="BE53" i="1" s="1"/>
  <c r="AB61" i="10"/>
  <c r="BE47" i="1" s="1"/>
  <c r="AB4" i="10"/>
  <c r="BE60" i="1" s="1"/>
  <c r="AB49" i="10"/>
  <c r="BE5" i="1" s="1"/>
  <c r="AB45" i="10"/>
  <c r="BE44" i="1" s="1"/>
  <c r="AB37" i="10"/>
  <c r="BE26" i="1" s="1"/>
  <c r="AB35" i="10"/>
  <c r="BE66" i="1" s="1"/>
  <c r="AB33" i="10"/>
  <c r="BE57" i="1" s="1"/>
  <c r="AB50" i="10"/>
  <c r="BE10" i="1" s="1"/>
  <c r="AB22" i="10"/>
  <c r="BE43" i="1" s="1"/>
  <c r="AB17" i="10"/>
  <c r="BE19" i="1" s="1"/>
  <c r="AB8" i="10"/>
  <c r="BE29" i="1" s="1"/>
  <c r="BJ47"/>
  <c r="BI35"/>
  <c r="BI60"/>
  <c r="BJ5"/>
  <c r="BJ44"/>
  <c r="BI31"/>
  <c r="BJ67"/>
  <c r="BI10"/>
  <c r="BI16"/>
  <c r="BJ29"/>
  <c r="AB11" i="10"/>
  <c r="AB26"/>
  <c r="BE11" i="1" s="1"/>
  <c r="AB66" i="10"/>
  <c r="BE24" i="1" s="1"/>
  <c r="BI45"/>
  <c r="BJ61"/>
  <c r="BJ6"/>
  <c r="BI9"/>
  <c r="BI41"/>
  <c r="BJ54"/>
  <c r="BI32"/>
  <c r="AB30" i="10"/>
  <c r="BE7" i="1" s="1"/>
  <c r="AB102" i="10"/>
  <c r="AB20"/>
  <c r="BE20" i="1" s="1"/>
  <c r="AB52" i="10"/>
  <c r="BE59" i="1" s="1"/>
  <c r="AB47" i="10"/>
  <c r="BE64" i="1" s="1"/>
  <c r="AB39" i="10"/>
  <c r="BE49" i="1" s="1"/>
  <c r="AB36" i="10"/>
  <c r="BE23" i="1" s="1"/>
  <c r="X62"/>
  <c r="Y62" s="1"/>
  <c r="AB62" s="1"/>
  <c r="Z62"/>
  <c r="X9"/>
  <c r="Y9" s="1"/>
  <c r="AB9" s="1"/>
  <c r="Z9"/>
  <c r="X17"/>
  <c r="Y17" s="1"/>
  <c r="AB17" s="1"/>
  <c r="Z17"/>
  <c r="X25"/>
  <c r="Y25" s="1"/>
  <c r="AB25" s="1"/>
  <c r="Z25"/>
  <c r="X3"/>
  <c r="Y3" s="1"/>
  <c r="AB3" s="1"/>
  <c r="Z3"/>
  <c r="BH3"/>
  <c r="BH54"/>
  <c r="BH9"/>
  <c r="BH6"/>
  <c r="BH45"/>
  <c r="BH8"/>
  <c r="BH32"/>
  <c r="BH41"/>
  <c r="BH61"/>
  <c r="BH37"/>
  <c r="BH22"/>
  <c r="BH38"/>
  <c r="BH46"/>
  <c r="BH34"/>
  <c r="BH39"/>
  <c r="BH65"/>
  <c r="BH62"/>
  <c r="BH25"/>
  <c r="BH56"/>
  <c r="BH30"/>
  <c r="BH42"/>
  <c r="X56"/>
  <c r="X29"/>
  <c r="Y29" s="1"/>
  <c r="AB29" s="1"/>
  <c r="X54"/>
  <c r="Y54" s="1"/>
  <c r="AB54" s="1"/>
  <c r="X23"/>
  <c r="X30"/>
  <c r="Y30" s="1"/>
  <c r="AB30" s="1"/>
  <c r="BE17" l="1"/>
  <c r="BH17" s="1"/>
  <c r="BH49"/>
  <c r="BH43"/>
  <c r="BH15"/>
  <c r="BH40"/>
  <c r="BH64"/>
  <c r="BH7"/>
  <c r="BH24"/>
  <c r="BH10"/>
  <c r="BH44"/>
  <c r="BH53"/>
  <c r="BH52"/>
  <c r="BH58"/>
  <c r="BH48"/>
  <c r="BH59"/>
  <c r="BH11"/>
  <c r="BH29"/>
  <c r="BH57"/>
  <c r="BH5"/>
  <c r="BH33"/>
  <c r="BH50"/>
  <c r="BH4"/>
  <c r="BH26"/>
  <c r="BH47"/>
  <c r="BH36"/>
  <c r="BH23"/>
  <c r="BH20"/>
  <c r="BH19"/>
  <c r="BH66"/>
  <c r="BH60"/>
  <c r="BH21"/>
  <c r="BH18"/>
  <c r="BH63"/>
  <c r="BH55"/>
  <c r="BJ52"/>
  <c r="BI15"/>
  <c r="BI37"/>
  <c r="BJ46"/>
  <c r="BI3"/>
  <c r="BJ56"/>
  <c r="BJ42"/>
  <c r="BJ24"/>
  <c r="BI29"/>
  <c r="BJ60"/>
  <c r="BI8"/>
  <c r="BJ22"/>
  <c r="BI67"/>
  <c r="BJ36"/>
  <c r="BI40"/>
  <c r="BJ59"/>
  <c r="BJ35"/>
  <c r="BJ31"/>
  <c r="BI53"/>
  <c r="BI55"/>
  <c r="BJ23"/>
  <c r="BJ66"/>
  <c r="BJ43"/>
  <c r="BI33"/>
  <c r="BJ48"/>
  <c r="BI25"/>
  <c r="BI38"/>
  <c r="BI5"/>
  <c r="BJ12"/>
  <c r="BI11"/>
  <c r="BJ16"/>
  <c r="BI21"/>
  <c r="BI28"/>
  <c r="BI4"/>
  <c r="BJ30"/>
  <c r="BI54"/>
  <c r="BJ9"/>
  <c r="BI6"/>
  <c r="BJ45"/>
  <c r="BJ19"/>
  <c r="BI44"/>
  <c r="BI18"/>
  <c r="BJ14"/>
  <c r="BJ26"/>
  <c r="BI50"/>
  <c r="BI58"/>
  <c r="BJ10"/>
  <c r="BI47"/>
  <c r="BJ65"/>
  <c r="BJ34"/>
  <c r="BI64"/>
  <c r="BI7"/>
  <c r="BI57"/>
  <c r="BI63"/>
  <c r="BI39"/>
  <c r="BJ20"/>
  <c r="BJ32"/>
  <c r="BJ17"/>
  <c r="BJ62"/>
  <c r="BI49"/>
  <c r="BJ41"/>
  <c r="BI61"/>
  <c r="X44"/>
  <c r="Y44" s="1"/>
  <c r="AB44" s="1"/>
  <c r="Z44"/>
  <c r="X63"/>
  <c r="Y63" s="1"/>
  <c r="AB63" s="1"/>
  <c r="Z63"/>
  <c r="X4"/>
  <c r="Y4" s="1"/>
  <c r="AB4" s="1"/>
  <c r="Z4"/>
  <c r="X49"/>
  <c r="Y49" s="1"/>
  <c r="AB49" s="1"/>
  <c r="Z49"/>
  <c r="X50"/>
  <c r="Y50" s="1"/>
  <c r="AB50" s="1"/>
  <c r="Z50"/>
  <c r="X52"/>
  <c r="Y52" s="1"/>
  <c r="AB52" s="1"/>
  <c r="Z52"/>
  <c r="X64"/>
  <c r="Y64" s="1"/>
  <c r="AB64" s="1"/>
  <c r="Z64"/>
  <c r="X18"/>
  <c r="Y18" s="1"/>
  <c r="AB18" s="1"/>
  <c r="Z18"/>
  <c r="X15"/>
  <c r="Y15" s="1"/>
  <c r="AB15" s="1"/>
  <c r="Z15"/>
  <c r="X65"/>
  <c r="Y65" s="1"/>
  <c r="AB65" s="1"/>
  <c r="Z65"/>
  <c r="X33"/>
  <c r="Y33" s="1"/>
  <c r="AB33" s="1"/>
  <c r="Z33"/>
  <c r="X46"/>
  <c r="Y46" s="1"/>
  <c r="AB46" s="1"/>
  <c r="Z46"/>
  <c r="X60"/>
  <c r="Y60" s="1"/>
  <c r="AB60" s="1"/>
  <c r="Z60"/>
  <c r="X21"/>
  <c r="Y21" s="1"/>
  <c r="AB21" s="1"/>
  <c r="Z21"/>
  <c r="X8"/>
  <c r="Y8" s="1"/>
  <c r="AB8" s="1"/>
  <c r="Z8"/>
  <c r="X20"/>
  <c r="Y20" s="1"/>
  <c r="AB20" s="1"/>
  <c r="Z20"/>
  <c r="X37"/>
  <c r="Y37" s="1"/>
  <c r="AB37" s="1"/>
  <c r="Z37"/>
  <c r="X31"/>
  <c r="Y31" s="1"/>
  <c r="AB31" s="1"/>
  <c r="Z31"/>
  <c r="X51"/>
  <c r="Y51" s="1"/>
  <c r="AB51" s="1"/>
  <c r="Z51"/>
  <c r="X16"/>
  <c r="Y16" s="1"/>
  <c r="AB16" s="1"/>
  <c r="Z16"/>
  <c r="X14"/>
  <c r="Y14" s="1"/>
  <c r="AB14" s="1"/>
  <c r="Z14"/>
  <c r="X28"/>
  <c r="Y28" s="1"/>
  <c r="AB28" s="1"/>
  <c r="Z28"/>
  <c r="Z23"/>
  <c r="Y23"/>
  <c r="AB23" s="1"/>
  <c r="Z56"/>
  <c r="Y56"/>
  <c r="AB56" s="1"/>
  <c r="BJ53"/>
  <c r="BI66"/>
  <c r="BJ49"/>
  <c r="BJ63"/>
  <c r="BJ33"/>
  <c r="BJ40"/>
  <c r="BI51"/>
  <c r="BJ51"/>
  <c r="BI42"/>
  <c r="BI56"/>
  <c r="BJ15"/>
  <c r="BI14"/>
  <c r="BI46"/>
  <c r="BJ38"/>
  <c r="BI22"/>
  <c r="BJ37"/>
  <c r="BJ28"/>
  <c r="BJ64"/>
  <c r="BJ7"/>
  <c r="BI65"/>
  <c r="BI34"/>
  <c r="BJ57"/>
  <c r="BI24"/>
  <c r="BJ18"/>
  <c r="BI12"/>
  <c r="BJ55"/>
  <c r="BI30"/>
  <c r="BJ25"/>
  <c r="BJ4"/>
  <c r="BI59"/>
  <c r="BI23"/>
  <c r="BI26"/>
  <c r="BI17"/>
  <c r="BJ3"/>
  <c r="BI20"/>
  <c r="BI62"/>
  <c r="BJ39"/>
  <c r="BJ11"/>
  <c r="BJ21"/>
  <c r="BI19"/>
  <c r="BI43"/>
  <c r="BI48"/>
  <c r="BJ8"/>
  <c r="X53"/>
  <c r="X42"/>
  <c r="Y42" s="1"/>
  <c r="AB42" s="1"/>
  <c r="X34"/>
  <c r="X35"/>
  <c r="Y35" s="1"/>
  <c r="AB35" s="1"/>
  <c r="X12"/>
  <c r="X39"/>
  <c r="Y39" s="1"/>
  <c r="AB39" s="1"/>
  <c r="X10"/>
  <c r="X38"/>
  <c r="Y38" s="1"/>
  <c r="AB38" s="1"/>
  <c r="X66"/>
  <c r="X36"/>
  <c r="Y36" s="1"/>
  <c r="AB36" s="1"/>
  <c r="X32"/>
  <c r="X19"/>
  <c r="Y19" s="1"/>
  <c r="AB19" s="1"/>
  <c r="X22"/>
  <c r="X67"/>
  <c r="Y67" s="1"/>
  <c r="AB67" s="1"/>
  <c r="X48"/>
  <c r="X45"/>
  <c r="Y45" s="1"/>
  <c r="AB45" s="1"/>
  <c r="X24"/>
  <c r="X43"/>
  <c r="Y43" s="1"/>
  <c r="AB43" s="1"/>
  <c r="X47"/>
  <c r="X26"/>
  <c r="Y26" s="1"/>
  <c r="AB26" s="1"/>
  <c r="X58"/>
  <c r="X6"/>
  <c r="Y6" s="1"/>
  <c r="AB6" s="1"/>
  <c r="X5"/>
  <c r="X40"/>
  <c r="Y40" s="1"/>
  <c r="AB40" s="1"/>
  <c r="X57"/>
  <c r="Y57" s="1"/>
  <c r="AB57" s="1"/>
  <c r="X59"/>
  <c r="X41"/>
  <c r="Y41" s="1"/>
  <c r="AB41" s="1"/>
  <c r="X7"/>
  <c r="Y7" s="1"/>
  <c r="AB7" s="1"/>
  <c r="X11"/>
  <c r="X61"/>
  <c r="Y61" s="1"/>
  <c r="AB61" s="1"/>
  <c r="X55"/>
  <c r="Z30"/>
  <c r="Z29"/>
  <c r="Z54"/>
  <c r="Y55" l="1"/>
  <c r="AB55" s="1"/>
  <c r="Y11"/>
  <c r="AB11" s="1"/>
  <c r="Y59"/>
  <c r="AB59" s="1"/>
  <c r="Y5"/>
  <c r="AB5" s="1"/>
  <c r="Y58"/>
  <c r="AB58" s="1"/>
  <c r="Y47"/>
  <c r="AB47" s="1"/>
  <c r="Y24"/>
  <c r="AB24" s="1"/>
  <c r="Y48"/>
  <c r="AB48" s="1"/>
  <c r="Y22"/>
  <c r="AB22" s="1"/>
  <c r="Y32"/>
  <c r="AB32" s="1"/>
  <c r="Y66"/>
  <c r="AB66" s="1"/>
  <c r="Y10"/>
  <c r="AB10" s="1"/>
  <c r="Y12"/>
  <c r="AB12" s="1"/>
  <c r="Y34"/>
  <c r="AB34" s="1"/>
  <c r="Y53"/>
  <c r="AB53" s="1"/>
  <c r="Z59"/>
  <c r="Z5"/>
  <c r="Z34"/>
  <c r="Z35"/>
  <c r="Z42"/>
  <c r="Z11"/>
  <c r="Z67"/>
  <c r="Z6"/>
  <c r="Z12"/>
  <c r="Z53"/>
  <c r="Z19"/>
  <c r="Z26"/>
  <c r="Z10"/>
  <c r="Z61"/>
  <c r="Z58"/>
  <c r="Z40"/>
  <c r="Z43"/>
  <c r="Z45"/>
  <c r="Z36"/>
  <c r="Z66"/>
  <c r="Z22"/>
  <c r="Z57"/>
  <c r="Z55"/>
  <c r="Z24"/>
  <c r="Z38"/>
  <c r="Z7"/>
  <c r="Z32"/>
  <c r="Z48"/>
  <c r="Z41"/>
  <c r="Z39"/>
  <c r="Z47"/>
  <c r="AI65" i="6"/>
  <c r="AI62"/>
  <c r="AI30"/>
  <c r="AI103"/>
  <c r="AI61"/>
  <c r="AI59"/>
  <c r="AI102"/>
  <c r="AI58"/>
  <c r="AI57"/>
  <c r="AI21"/>
  <c r="AI20"/>
  <c r="AI54"/>
  <c r="AI4"/>
  <c r="AI53"/>
  <c r="AI52"/>
  <c r="AI51"/>
  <c r="AI49"/>
  <c r="AI48"/>
  <c r="AI47"/>
  <c r="AI46"/>
  <c r="AI45"/>
  <c r="AI44"/>
  <c r="AI43"/>
  <c r="AI42"/>
  <c r="AI41"/>
  <c r="AI40"/>
  <c r="AI39"/>
  <c r="AI38"/>
  <c r="AI37"/>
  <c r="AI11"/>
  <c r="AI36"/>
  <c r="AI32"/>
  <c r="AI35"/>
  <c r="AI26"/>
  <c r="AI68"/>
  <c r="AI34"/>
  <c r="AI33"/>
  <c r="AI18"/>
  <c r="AI28"/>
  <c r="AI27"/>
  <c r="AI25"/>
  <c r="AI31"/>
  <c r="AI55"/>
  <c r="AI63"/>
  <c r="AI50"/>
  <c r="AI24"/>
  <c r="AI23"/>
  <c r="AI67"/>
  <c r="AI22"/>
  <c r="AI66"/>
  <c r="AI19"/>
  <c r="AI64"/>
  <c r="AI17"/>
  <c r="AI16"/>
  <c r="AI15"/>
  <c r="AI14"/>
  <c r="AI13"/>
  <c r="AI12"/>
  <c r="AI10"/>
  <c r="AI9"/>
  <c r="AI8"/>
  <c r="AI60"/>
  <c r="AI7"/>
  <c r="AI6"/>
  <c r="AI5"/>
  <c r="U65" i="3"/>
  <c r="U62"/>
  <c r="U30"/>
  <c r="U103"/>
  <c r="U61"/>
  <c r="U59"/>
  <c r="U102"/>
  <c r="U58"/>
  <c r="U57"/>
  <c r="U21"/>
  <c r="U20"/>
  <c r="U54"/>
  <c r="U4"/>
  <c r="U53"/>
  <c r="U52"/>
  <c r="U51"/>
  <c r="U49"/>
  <c r="U48"/>
  <c r="U47"/>
  <c r="U46"/>
  <c r="U45"/>
  <c r="U44"/>
  <c r="U43"/>
  <c r="U42"/>
  <c r="U41"/>
  <c r="U40"/>
  <c r="U39"/>
  <c r="U38"/>
  <c r="U37"/>
  <c r="U11"/>
  <c r="U36"/>
  <c r="U32"/>
  <c r="U35"/>
  <c r="U26"/>
  <c r="U68"/>
  <c r="U34"/>
  <c r="U33"/>
  <c r="U18"/>
  <c r="U28"/>
  <c r="U27"/>
  <c r="U25"/>
  <c r="U31"/>
  <c r="U55"/>
  <c r="U63"/>
  <c r="U50"/>
  <c r="U24"/>
  <c r="U23"/>
  <c r="U67"/>
  <c r="U22"/>
  <c r="U66"/>
  <c r="U19"/>
  <c r="U64"/>
  <c r="U17"/>
  <c r="U16"/>
  <c r="U15"/>
  <c r="U14"/>
  <c r="U13"/>
  <c r="U12"/>
  <c r="U10"/>
  <c r="U9"/>
  <c r="U8"/>
  <c r="U60"/>
  <c r="U7"/>
  <c r="U6"/>
  <c r="U5"/>
  <c r="T10" l="1"/>
  <c r="T19"/>
  <c r="T23"/>
  <c r="T28"/>
  <c r="T36"/>
  <c r="T47"/>
  <c r="T20"/>
  <c r="T30"/>
  <c r="AH12" i="6"/>
  <c r="AK12" s="1"/>
  <c r="AL12" s="1"/>
  <c r="AH66"/>
  <c r="AK66" s="1"/>
  <c r="AL66" s="1"/>
  <c r="AH18"/>
  <c r="AK18" s="1"/>
  <c r="AL18" s="1"/>
  <c r="AH11"/>
  <c r="AK11" s="1"/>
  <c r="AL11" s="1"/>
  <c r="AH21"/>
  <c r="AK21" s="1"/>
  <c r="AL21" s="1"/>
  <c r="T60" i="3"/>
  <c r="T16"/>
  <c r="T31"/>
  <c r="T26"/>
  <c r="T40"/>
  <c r="T53"/>
  <c r="T59"/>
  <c r="AH5" i="6"/>
  <c r="AK5" s="1"/>
  <c r="AL5" s="1"/>
  <c r="AH8"/>
  <c r="AK8" s="1"/>
  <c r="AL8" s="1"/>
  <c r="AH17"/>
  <c r="AK17" s="1"/>
  <c r="AL17" s="1"/>
  <c r="AH22"/>
  <c r="AK22" s="1"/>
  <c r="AL22" s="1"/>
  <c r="AH50"/>
  <c r="AK50" s="1"/>
  <c r="AL50" s="1"/>
  <c r="AH33"/>
  <c r="AK33" s="1"/>
  <c r="AL33" s="1"/>
  <c r="AH35"/>
  <c r="AK35" s="1"/>
  <c r="AL35" s="1"/>
  <c r="AH37"/>
  <c r="AK37" s="1"/>
  <c r="AL37" s="1"/>
  <c r="AH45"/>
  <c r="AK45" s="1"/>
  <c r="AL45" s="1"/>
  <c r="AH49"/>
  <c r="AK49" s="1"/>
  <c r="AL49" s="1"/>
  <c r="AH4"/>
  <c r="AK4" s="1"/>
  <c r="AL4" s="1"/>
  <c r="AH61"/>
  <c r="AK61" s="1"/>
  <c r="AL61" s="1"/>
  <c r="AH65"/>
  <c r="AK65" s="1"/>
  <c r="AL65" s="1"/>
  <c r="T5" i="3"/>
  <c r="T8"/>
  <c r="T17"/>
  <c r="T22"/>
  <c r="T50"/>
  <c r="T33"/>
  <c r="T35"/>
  <c r="T37"/>
  <c r="T45"/>
  <c r="T49"/>
  <c r="T4"/>
  <c r="T61"/>
  <c r="T65"/>
  <c r="AH6" i="6"/>
  <c r="AK6" s="1"/>
  <c r="AL6" s="1"/>
  <c r="AH9"/>
  <c r="AK9" s="1"/>
  <c r="AL9" s="1"/>
  <c r="AH14"/>
  <c r="AK14" s="1"/>
  <c r="AL14" s="1"/>
  <c r="AH64"/>
  <c r="AK64" s="1"/>
  <c r="AL64" s="1"/>
  <c r="AH63"/>
  <c r="AK63" s="1"/>
  <c r="AL63" s="1"/>
  <c r="AH27"/>
  <c r="AK27" s="1"/>
  <c r="AL27" s="1"/>
  <c r="AH34"/>
  <c r="AK34" s="1"/>
  <c r="AL34" s="1"/>
  <c r="AH32"/>
  <c r="AK32" s="1"/>
  <c r="AL32" s="1"/>
  <c r="AH38"/>
  <c r="AK38" s="1"/>
  <c r="AL38" s="1"/>
  <c r="AH42"/>
  <c r="AK42" s="1"/>
  <c r="AL42" s="1"/>
  <c r="AH46"/>
  <c r="AK46" s="1"/>
  <c r="AL46" s="1"/>
  <c r="AH54"/>
  <c r="AK54" s="1"/>
  <c r="AL54" s="1"/>
  <c r="AH103"/>
  <c r="AK103" s="1"/>
  <c r="T7" i="3"/>
  <c r="T15"/>
  <c r="T55"/>
  <c r="T68"/>
  <c r="T39"/>
  <c r="T52"/>
  <c r="T102"/>
  <c r="AH60" i="6"/>
  <c r="AK60" s="1"/>
  <c r="AL60" s="1"/>
  <c r="AH16"/>
  <c r="AK16" s="1"/>
  <c r="AL16" s="1"/>
  <c r="AH31"/>
  <c r="AK31" s="1"/>
  <c r="AL31" s="1"/>
  <c r="AH26"/>
  <c r="AK26" s="1"/>
  <c r="AL26" s="1"/>
  <c r="AH40"/>
  <c r="AK40" s="1"/>
  <c r="AL40" s="1"/>
  <c r="AH53"/>
  <c r="AK53" s="1"/>
  <c r="AL53" s="1"/>
  <c r="AH59"/>
  <c r="AK59" s="1"/>
  <c r="AL59" s="1"/>
  <c r="T12" i="3"/>
  <c r="T66"/>
  <c r="T18"/>
  <c r="T11"/>
  <c r="T21"/>
  <c r="T6"/>
  <c r="T9"/>
  <c r="T14"/>
  <c r="T64"/>
  <c r="T63"/>
  <c r="T27"/>
  <c r="T34"/>
  <c r="T32"/>
  <c r="T38"/>
  <c r="T42"/>
  <c r="T46"/>
  <c r="T54"/>
  <c r="T103"/>
  <c r="AH7" i="6"/>
  <c r="AK7" s="1"/>
  <c r="AL7" s="1"/>
  <c r="AH10"/>
  <c r="AK10" s="1"/>
  <c r="AL10" s="1"/>
  <c r="AH15"/>
  <c r="AK15" s="1"/>
  <c r="AL15" s="1"/>
  <c r="AH19"/>
  <c r="AK19" s="1"/>
  <c r="AL19" s="1"/>
  <c r="AH23"/>
  <c r="AK23" s="1"/>
  <c r="AL23" s="1"/>
  <c r="AH55"/>
  <c r="AK55" s="1"/>
  <c r="AL55" s="1"/>
  <c r="AH28"/>
  <c r="AK28" s="1"/>
  <c r="AL28" s="1"/>
  <c r="AH68"/>
  <c r="AK68" s="1"/>
  <c r="AL68" s="1"/>
  <c r="AH36"/>
  <c r="AK36" s="1"/>
  <c r="AL36" s="1"/>
  <c r="AH39"/>
  <c r="AK39" s="1"/>
  <c r="AL39" s="1"/>
  <c r="AH47"/>
  <c r="AK47" s="1"/>
  <c r="AL47" s="1"/>
  <c r="AH52"/>
  <c r="AK52" s="1"/>
  <c r="AL52" s="1"/>
  <c r="AH20"/>
  <c r="AK20" s="1"/>
  <c r="AL20" s="1"/>
  <c r="AH102"/>
  <c r="AK102" s="1"/>
  <c r="AH30"/>
  <c r="AK30" s="1"/>
  <c r="AL30" s="1"/>
  <c r="AH24"/>
  <c r="AK24" s="1"/>
  <c r="AL24" s="1"/>
  <c r="AH44"/>
  <c r="AK44" s="1"/>
  <c r="AL44" s="1"/>
  <c r="AH48"/>
  <c r="AK48" s="1"/>
  <c r="AL48" s="1"/>
  <c r="AH62"/>
  <c r="AK62" s="1"/>
  <c r="AL62" s="1"/>
  <c r="AH13"/>
  <c r="AK13" s="1"/>
  <c r="AL13" s="1"/>
  <c r="AH25"/>
  <c r="AK25" s="1"/>
  <c r="AL25" s="1"/>
  <c r="AH41"/>
  <c r="AK41" s="1"/>
  <c r="AL41" s="1"/>
  <c r="AH57"/>
  <c r="AK57" s="1"/>
  <c r="AL57" s="1"/>
  <c r="AH67"/>
  <c r="AK67" s="1"/>
  <c r="AL67" s="1"/>
  <c r="AH51"/>
  <c r="AK51" s="1"/>
  <c r="AL51" s="1"/>
  <c r="AH58"/>
  <c r="AK58" s="1"/>
  <c r="AL58" s="1"/>
  <c r="AH43"/>
  <c r="AK43" s="1"/>
  <c r="AL43" s="1"/>
  <c r="T43" i="3"/>
  <c r="T24"/>
  <c r="T44"/>
  <c r="T48"/>
  <c r="T62"/>
  <c r="T13"/>
  <c r="T25"/>
  <c r="T41"/>
  <c r="T57"/>
  <c r="T67"/>
  <c r="T51"/>
  <c r="T58"/>
  <c r="AJ2" i="6"/>
  <c r="AI2"/>
  <c r="AE2" i="3"/>
  <c r="AF2"/>
  <c r="AG2"/>
  <c r="AH2"/>
  <c r="AI2"/>
  <c r="AJ2"/>
  <c r="AD2"/>
  <c r="AC2"/>
  <c r="AB2"/>
  <c r="AK55" i="1"/>
  <c r="AK59"/>
  <c r="V2" i="3"/>
  <c r="U2"/>
  <c r="BB53" i="1"/>
  <c r="BB16"/>
  <c r="BB29"/>
  <c r="BB15"/>
  <c r="BB42"/>
  <c r="BB32"/>
  <c r="BB33"/>
  <c r="BB62"/>
  <c r="BB3"/>
  <c r="BB52"/>
  <c r="BB30"/>
  <c r="BB54"/>
  <c r="BB19"/>
  <c r="BB50"/>
  <c r="BB65"/>
  <c r="BB24"/>
  <c r="BB43"/>
  <c r="BB28"/>
  <c r="BB56"/>
  <c r="BB41"/>
  <c r="BB10"/>
  <c r="BB18"/>
  <c r="BB39"/>
  <c r="BB8"/>
  <c r="BB67"/>
  <c r="BB36"/>
  <c r="BB25"/>
  <c r="BB9"/>
  <c r="BB57"/>
  <c r="BB58"/>
  <c r="BB34"/>
  <c r="BB11"/>
  <c r="BB66"/>
  <c r="BB4"/>
  <c r="BB23"/>
  <c r="BB17"/>
  <c r="BB26"/>
  <c r="BB63"/>
  <c r="BB49"/>
  <c r="BB46"/>
  <c r="BB31"/>
  <c r="BB40"/>
  <c r="BB14"/>
  <c r="BB6"/>
  <c r="BB44"/>
  <c r="BB48"/>
  <c r="BB64"/>
  <c r="BB38"/>
  <c r="BB5"/>
  <c r="BB12"/>
  <c r="BB59"/>
  <c r="BB61"/>
  <c r="BB60"/>
  <c r="BB21"/>
  <c r="BB20"/>
  <c r="BB22"/>
  <c r="BB35"/>
  <c r="BB51"/>
  <c r="BB45"/>
  <c r="BB47"/>
  <c r="BB7"/>
  <c r="BB37"/>
  <c r="BB55"/>
  <c r="BN17" l="1"/>
  <c r="BL17"/>
  <c r="BN67"/>
  <c r="BL67"/>
  <c r="BN20"/>
  <c r="BL20"/>
  <c r="BN56"/>
  <c r="BL56"/>
  <c r="BN61"/>
  <c r="BL61"/>
  <c r="BN40"/>
  <c r="BL40"/>
  <c r="BN33"/>
  <c r="BL33"/>
  <c r="BN26"/>
  <c r="BL26"/>
  <c r="BN16"/>
  <c r="BL16"/>
  <c r="BN59"/>
  <c r="BL59"/>
  <c r="BN65"/>
  <c r="BL65"/>
  <c r="BN46"/>
  <c r="BL46"/>
  <c r="BN18"/>
  <c r="BL18"/>
  <c r="BN15"/>
  <c r="BL15"/>
  <c r="BN66"/>
  <c r="BL66"/>
  <c r="BN19"/>
  <c r="BL19"/>
  <c r="BN9"/>
  <c r="BL9"/>
  <c r="BN14"/>
  <c r="BL14"/>
  <c r="BN35"/>
  <c r="BL35"/>
  <c r="BN37"/>
  <c r="BL37"/>
  <c r="BN7"/>
  <c r="BL7"/>
  <c r="BN64"/>
  <c r="BL64"/>
  <c r="BN25"/>
  <c r="BL25"/>
  <c r="BN30"/>
  <c r="BL30"/>
  <c r="BN11"/>
  <c r="BL11"/>
  <c r="BN21"/>
  <c r="BL21"/>
  <c r="BN4"/>
  <c r="BL4"/>
  <c r="BN50"/>
  <c r="BL50"/>
  <c r="BN5"/>
  <c r="BL5"/>
  <c r="BN57"/>
  <c r="BL57"/>
  <c r="BN29"/>
  <c r="BL29"/>
  <c r="BN24"/>
  <c r="BL24"/>
  <c r="BN12"/>
  <c r="BL12"/>
  <c r="BN6"/>
  <c r="BL6"/>
  <c r="BN23"/>
  <c r="BL23"/>
  <c r="BN42"/>
  <c r="BL42"/>
  <c r="BN54"/>
  <c r="BL54"/>
  <c r="BN36"/>
  <c r="BL36"/>
  <c r="BN47"/>
  <c r="BL47"/>
  <c r="BN43"/>
  <c r="BL43"/>
  <c r="BN28"/>
  <c r="BL28"/>
  <c r="BN41"/>
  <c r="BL41"/>
  <c r="BN34"/>
  <c r="BL34"/>
  <c r="BN32"/>
  <c r="BL32"/>
  <c r="BN63"/>
  <c r="BL63"/>
  <c r="BN51"/>
  <c r="BL51"/>
  <c r="BN31"/>
  <c r="BL31"/>
  <c r="BN38"/>
  <c r="BL38"/>
  <c r="BN49"/>
  <c r="BL49"/>
  <c r="BN39"/>
  <c r="BL39"/>
  <c r="BN62"/>
  <c r="BL62"/>
  <c r="BN45"/>
  <c r="BL45"/>
  <c r="BN8"/>
  <c r="BL8"/>
  <c r="BN48"/>
  <c r="BL48"/>
  <c r="BN58"/>
  <c r="BL58"/>
  <c r="BN52"/>
  <c r="BL52"/>
  <c r="BN53"/>
  <c r="BL53"/>
  <c r="BN44"/>
  <c r="BL44"/>
  <c r="BN10"/>
  <c r="BL10"/>
  <c r="BN55"/>
  <c r="BL55"/>
  <c r="BN22"/>
  <c r="BL22"/>
  <c r="BN3"/>
  <c r="BL3"/>
  <c r="BN60"/>
  <c r="BL60"/>
  <c r="BP14"/>
  <c r="BP35"/>
  <c r="BP37"/>
  <c r="BP7"/>
  <c r="BP25"/>
  <c r="BP45"/>
  <c r="BP8"/>
  <c r="BP48"/>
  <c r="BP52"/>
  <c r="BP47"/>
  <c r="BP26"/>
  <c r="BP24"/>
  <c r="BP51"/>
  <c r="BP49"/>
  <c r="BP54"/>
  <c r="BP40"/>
  <c r="BP36"/>
  <c r="BP33"/>
  <c r="BP66"/>
  <c r="BP22"/>
  <c r="BP12"/>
  <c r="BP67"/>
  <c r="BP6"/>
  <c r="BP23"/>
  <c r="BP42"/>
  <c r="BP32"/>
  <c r="BP63"/>
  <c r="BP18"/>
  <c r="BP15"/>
  <c r="BP57"/>
  <c r="BP29"/>
  <c r="BP17"/>
  <c r="BP16"/>
  <c r="BP59"/>
  <c r="BP34"/>
  <c r="BP65"/>
  <c r="BP11"/>
  <c r="BP21"/>
  <c r="BP50"/>
  <c r="BP44"/>
  <c r="BP10"/>
  <c r="BP55"/>
  <c r="BP9"/>
  <c r="W48" i="3"/>
  <c r="W38"/>
  <c r="W6"/>
  <c r="W11"/>
  <c r="W15"/>
  <c r="W40"/>
  <c r="W25"/>
  <c r="W54"/>
  <c r="W32"/>
  <c r="W64"/>
  <c r="W18"/>
  <c r="W39"/>
  <c r="W7"/>
  <c r="W49"/>
  <c r="W33"/>
  <c r="W8"/>
  <c r="W26"/>
  <c r="W20"/>
  <c r="W23"/>
  <c r="W58"/>
  <c r="W103"/>
  <c r="W52"/>
  <c r="W35"/>
  <c r="W60"/>
  <c r="W28"/>
  <c r="W44"/>
  <c r="W67"/>
  <c r="W13"/>
  <c r="W24"/>
  <c r="W46"/>
  <c r="W34"/>
  <c r="W14"/>
  <c r="W66"/>
  <c r="W68"/>
  <c r="W65"/>
  <c r="W45"/>
  <c r="W50"/>
  <c r="W5"/>
  <c r="W59"/>
  <c r="W31"/>
  <c r="W47"/>
  <c r="W19"/>
  <c r="W41"/>
  <c r="W63"/>
  <c r="W4"/>
  <c r="W17"/>
  <c r="W30"/>
  <c r="W51"/>
  <c r="W57"/>
  <c r="W62"/>
  <c r="W43"/>
  <c r="W42"/>
  <c r="W27"/>
  <c r="W9"/>
  <c r="W21"/>
  <c r="W12"/>
  <c r="W102"/>
  <c r="W55"/>
  <c r="W61"/>
  <c r="W37"/>
  <c r="W22"/>
  <c r="W53"/>
  <c r="W16"/>
  <c r="W36"/>
  <c r="W10"/>
  <c r="BA10" i="1"/>
  <c r="BA11"/>
  <c r="BA26"/>
  <c r="BA55"/>
  <c r="BA32"/>
  <c r="BA16"/>
  <c r="BA41"/>
  <c r="BA67"/>
  <c r="BA17"/>
  <c r="BA31"/>
  <c r="BA29"/>
  <c r="BA24"/>
  <c r="BA19"/>
  <c r="BA57"/>
  <c r="BA44"/>
  <c r="AK54"/>
  <c r="AK30"/>
  <c r="AK52"/>
  <c r="AK16"/>
  <c r="AK62"/>
  <c r="AK33"/>
  <c r="AK29"/>
  <c r="AK32"/>
  <c r="AK4"/>
  <c r="AK66"/>
  <c r="AK11"/>
  <c r="AK34"/>
  <c r="AK38"/>
  <c r="AK64"/>
  <c r="AK48"/>
  <c r="AK44"/>
  <c r="AK20"/>
  <c r="AK21"/>
  <c r="AK60"/>
  <c r="AK61"/>
  <c r="AK22"/>
  <c r="AK45"/>
  <c r="AK51"/>
  <c r="AK31"/>
  <c r="AK46"/>
  <c r="AK49"/>
  <c r="AK56"/>
  <c r="AK28"/>
  <c r="AK43"/>
  <c r="AK9"/>
  <c r="AK25"/>
  <c r="AK67"/>
  <c r="AK17"/>
  <c r="AK39"/>
  <c r="AK18"/>
  <c r="AK65"/>
  <c r="AK50"/>
  <c r="AK19"/>
  <c r="AK14"/>
  <c r="AK15"/>
  <c r="AK42"/>
  <c r="AK7"/>
  <c r="AK6"/>
  <c r="AK23"/>
  <c r="AK37"/>
  <c r="AK53"/>
  <c r="AK35"/>
  <c r="AK40"/>
  <c r="AK58"/>
  <c r="AK57"/>
  <c r="AK26"/>
  <c r="AK12"/>
  <c r="AK63"/>
  <c r="AK8"/>
  <c r="AK24"/>
  <c r="AK10"/>
  <c r="BP62"/>
  <c r="BP30"/>
  <c r="BP39"/>
  <c r="BP3"/>
  <c r="BP41"/>
  <c r="BP38"/>
  <c r="BP61"/>
  <c r="BP19"/>
  <c r="BP43"/>
  <c r="BP31"/>
  <c r="BP5"/>
  <c r="BP53"/>
  <c r="BP56"/>
  <c r="BP64"/>
  <c r="BP20"/>
  <c r="BP46"/>
  <c r="BP28"/>
  <c r="BP58"/>
  <c r="BP4"/>
  <c r="AK41"/>
  <c r="AK36"/>
  <c r="AK5"/>
  <c r="AK47"/>
  <c r="BA15"/>
  <c r="BA28"/>
  <c r="BA4"/>
  <c r="BA58"/>
  <c r="BA52"/>
  <c r="BA36"/>
  <c r="BA40"/>
  <c r="BA50"/>
  <c r="BA18"/>
  <c r="BA63"/>
  <c r="BA3"/>
  <c r="BA54"/>
  <c r="BA8"/>
  <c r="BA9"/>
  <c r="BA46"/>
  <c r="BA6"/>
  <c r="BA33"/>
  <c r="BA43"/>
  <c r="BA66"/>
  <c r="AD17" l="1"/>
  <c r="Q11" i="2"/>
  <c r="G17" i="1" s="1"/>
  <c r="Q53" i="2"/>
  <c r="G61" i="1" s="1"/>
  <c r="Q55" i="2"/>
  <c r="G39" i="1" s="1"/>
  <c r="Q9" i="2"/>
  <c r="G33" i="1" s="1"/>
  <c r="Q62" i="2"/>
  <c r="G37" i="1" s="1"/>
  <c r="Q17" i="2"/>
  <c r="G19" i="1" s="1"/>
  <c r="Q19" i="2"/>
  <c r="G65" i="1" s="1"/>
  <c r="Q5" i="2"/>
  <c r="G55" i="1" s="1"/>
  <c r="Q68" i="2"/>
  <c r="G34" i="1" s="1"/>
  <c r="Q46" i="2"/>
  <c r="G48" i="1" s="1"/>
  <c r="Q44" i="2"/>
  <c r="G6" i="1" s="1"/>
  <c r="Q52" i="2"/>
  <c r="G59" i="1" s="1"/>
  <c r="Q20" i="2"/>
  <c r="G20" i="1" s="1"/>
  <c r="Q49" i="2"/>
  <c r="G5" i="1" s="1"/>
  <c r="Q64" i="2"/>
  <c r="G50" i="1" s="1"/>
  <c r="Q40" i="2"/>
  <c r="G46" i="1" s="1"/>
  <c r="Q38" i="2"/>
  <c r="G63" i="1" s="1"/>
  <c r="Q10" i="2"/>
  <c r="G62" i="1" s="1"/>
  <c r="Q22" i="2"/>
  <c r="G43" i="1" s="1"/>
  <c r="Q27" i="2"/>
  <c r="G36" i="1" s="1"/>
  <c r="Q57" i="2"/>
  <c r="G35" i="1" s="1"/>
  <c r="Q4" i="2"/>
  <c r="Q47"/>
  <c r="G64" i="1" s="1"/>
  <c r="Q50" i="2"/>
  <c r="G10" i="1" s="1"/>
  <c r="Q66" i="2"/>
  <c r="G24" i="1" s="1"/>
  <c r="Q24" i="2"/>
  <c r="G41" i="1" s="1"/>
  <c r="Q28" i="2"/>
  <c r="G25" i="1" s="1"/>
  <c r="Q26" i="2"/>
  <c r="G11" i="1" s="1"/>
  <c r="Q7" i="2"/>
  <c r="G42" i="1" s="1"/>
  <c r="Q32" i="2"/>
  <c r="G4" i="1" s="1"/>
  <c r="Q15" i="2"/>
  <c r="G30" i="1" s="1"/>
  <c r="Q48" i="2"/>
  <c r="G38" i="1" s="1"/>
  <c r="Q36" i="2"/>
  <c r="G23" i="1" s="1"/>
  <c r="Q37" i="2"/>
  <c r="G26" i="1" s="1"/>
  <c r="Q12" i="2"/>
  <c r="G3" i="1" s="1"/>
  <c r="Q42" i="2"/>
  <c r="G40" i="1" s="1"/>
  <c r="Q51" i="2"/>
  <c r="G12" i="1" s="1"/>
  <c r="Q63" i="2"/>
  <c r="G18" i="1" s="1"/>
  <c r="Q31" i="2"/>
  <c r="G8" i="1" s="1"/>
  <c r="Q45" i="2"/>
  <c r="G44" i="1" s="1"/>
  <c r="Q14" i="2"/>
  <c r="G52" i="1" s="1"/>
  <c r="Q13" i="2"/>
  <c r="G16" i="1" s="1"/>
  <c r="Q60" i="2"/>
  <c r="G32" i="1" s="1"/>
  <c r="Q58" i="2"/>
  <c r="G51" i="1" s="1"/>
  <c r="Q8" i="2"/>
  <c r="G29" i="1" s="1"/>
  <c r="Q39" i="2"/>
  <c r="G49" i="1" s="1"/>
  <c r="Q54" i="2"/>
  <c r="G21" i="1" s="1"/>
  <c r="Q16" i="2"/>
  <c r="G54" i="1" s="1"/>
  <c r="Q61" i="2"/>
  <c r="G47" i="1" s="1"/>
  <c r="Q21" i="2"/>
  <c r="G22" i="1" s="1"/>
  <c r="Q43" i="2"/>
  <c r="G14" i="1" s="1"/>
  <c r="Q30" i="2"/>
  <c r="G7" i="1" s="1"/>
  <c r="Q41" i="2"/>
  <c r="G31" i="1" s="1"/>
  <c r="Q59" i="2"/>
  <c r="G45" i="1" s="1"/>
  <c r="Q65" i="2"/>
  <c r="G53" i="1" s="1"/>
  <c r="Q34" i="2"/>
  <c r="G58" i="1" s="1"/>
  <c r="Q67" i="2"/>
  <c r="G28" i="1" s="1"/>
  <c r="Q35" i="2"/>
  <c r="G66" i="1" s="1"/>
  <c r="Q23" i="2"/>
  <c r="G56" i="1" s="1"/>
  <c r="Q33" i="2"/>
  <c r="G57" i="1" s="1"/>
  <c r="Q18" i="2"/>
  <c r="G9" i="1" s="1"/>
  <c r="Q25" i="2"/>
  <c r="G67" i="1" s="1"/>
  <c r="Q6" i="2"/>
  <c r="G15" i="1" s="1"/>
  <c r="AD61"/>
  <c r="AD39"/>
  <c r="AD33"/>
  <c r="AD37"/>
  <c r="AD19"/>
  <c r="AD65"/>
  <c r="AD55"/>
  <c r="AD34"/>
  <c r="AD48"/>
  <c r="AD6"/>
  <c r="AD59"/>
  <c r="AD20"/>
  <c r="AD5"/>
  <c r="AD50"/>
  <c r="AD46"/>
  <c r="AD63"/>
  <c r="AD43"/>
  <c r="AD36"/>
  <c r="AD60"/>
  <c r="AD10"/>
  <c r="AD41"/>
  <c r="AD25"/>
  <c r="AD11"/>
  <c r="AD4"/>
  <c r="AD30"/>
  <c r="AD38"/>
  <c r="AD23"/>
  <c r="AD26"/>
  <c r="AD3"/>
  <c r="AD40"/>
  <c r="AD12"/>
  <c r="AD18"/>
  <c r="AD8"/>
  <c r="AD44"/>
  <c r="AD52"/>
  <c r="AD16"/>
  <c r="AD32"/>
  <c r="AH32" s="1"/>
  <c r="AI32" s="1"/>
  <c r="AL32" s="1"/>
  <c r="AD51"/>
  <c r="AD29"/>
  <c r="AD49"/>
  <c r="AD21"/>
  <c r="AD62"/>
  <c r="AD35"/>
  <c r="AD64"/>
  <c r="AD24"/>
  <c r="AD42"/>
  <c r="AD54"/>
  <c r="AH54" s="1"/>
  <c r="AI54" s="1"/>
  <c r="AL54" s="1"/>
  <c r="AD47"/>
  <c r="AD22"/>
  <c r="AD14"/>
  <c r="AD7"/>
  <c r="AD31"/>
  <c r="AD45"/>
  <c r="AH45" s="1"/>
  <c r="AI45" s="1"/>
  <c r="AL45" s="1"/>
  <c r="AD53"/>
  <c r="AD58"/>
  <c r="AD28"/>
  <c r="AD66"/>
  <c r="AD56"/>
  <c r="AD57"/>
  <c r="AD9"/>
  <c r="AD67"/>
  <c r="AD15"/>
  <c r="AZ56"/>
  <c r="AZ39"/>
  <c r="AZ37"/>
  <c r="AZ65"/>
  <c r="AZ48"/>
  <c r="AZ20"/>
  <c r="AZ62"/>
  <c r="AZ35"/>
  <c r="AZ64"/>
  <c r="AZ25"/>
  <c r="AZ42"/>
  <c r="AZ30"/>
  <c r="AZ38"/>
  <c r="AZ23"/>
  <c r="AZ12"/>
  <c r="AZ51"/>
  <c r="AZ49"/>
  <c r="AZ21"/>
  <c r="AZ61"/>
  <c r="AZ34"/>
  <c r="AZ59"/>
  <c r="AZ5"/>
  <c r="AZ60"/>
  <c r="AZ47"/>
  <c r="AZ22"/>
  <c r="AZ14"/>
  <c r="AZ7"/>
  <c r="AZ45"/>
  <c r="AZ53"/>
  <c r="BO63"/>
  <c r="BO6"/>
  <c r="BO53"/>
  <c r="BO49"/>
  <c r="X23" i="3"/>
  <c r="AF56" i="1" s="1"/>
  <c r="X55" i="3"/>
  <c r="AF39" i="1" s="1"/>
  <c r="X19" i="3"/>
  <c r="AF65" i="1" s="1"/>
  <c r="X11" i="3"/>
  <c r="AF17" i="1" s="1"/>
  <c r="X68" i="3"/>
  <c r="AF34" i="1" s="1"/>
  <c r="X60" i="3"/>
  <c r="AF32" i="1" s="1"/>
  <c r="X10" i="3"/>
  <c r="AF62" i="1" s="1"/>
  <c r="X16" i="3"/>
  <c r="AF54" i="1" s="1"/>
  <c r="X21" i="3"/>
  <c r="AF22" i="1" s="1"/>
  <c r="X43" i="3"/>
  <c r="AF14" i="1" s="1"/>
  <c r="X30" i="3"/>
  <c r="AF7" i="1" s="1"/>
  <c r="X59" i="3"/>
  <c r="AF45" i="1" s="1"/>
  <c r="X24" i="3"/>
  <c r="AF41" i="1" s="1"/>
  <c r="X28" i="3"/>
  <c r="AF25" i="1" s="1"/>
  <c r="X7" i="3"/>
  <c r="AF42" i="1" s="1"/>
  <c r="X18" i="3"/>
  <c r="AF9" i="1" s="1"/>
  <c r="X15" i="3"/>
  <c r="AF30" i="1" s="1"/>
  <c r="X36" i="3"/>
  <c r="AF23" i="1" s="1"/>
  <c r="X12" i="3"/>
  <c r="AF3" i="1" s="1"/>
  <c r="X44" i="3"/>
  <c r="AF6" i="1" s="1"/>
  <c r="X39" i="3"/>
  <c r="AF49" i="1" s="1"/>
  <c r="X20" i="3"/>
  <c r="AF20" i="1" s="1"/>
  <c r="X58" i="3"/>
  <c r="AF51" i="1" s="1"/>
  <c r="X42" i="3"/>
  <c r="AF40" i="1" s="1"/>
  <c r="X27" i="3"/>
  <c r="AF36" i="1" s="1"/>
  <c r="X14" i="3"/>
  <c r="AF52" i="1" s="1"/>
  <c r="X61" i="3"/>
  <c r="AF47" i="1" s="1"/>
  <c r="X45" i="3"/>
  <c r="AF44" i="1" s="1"/>
  <c r="X33" i="3"/>
  <c r="AF57" i="1" s="1"/>
  <c r="X17" i="3"/>
  <c r="AF19" i="1" s="1"/>
  <c r="X62" i="3"/>
  <c r="AF37" i="1" s="1"/>
  <c r="X40" i="3"/>
  <c r="AF46" i="1" s="1"/>
  <c r="X52" i="3"/>
  <c r="AF59" i="1" s="1"/>
  <c r="X54" i="3"/>
  <c r="AF21" i="1" s="1"/>
  <c r="X38" i="3"/>
  <c r="AF63" i="1" s="1"/>
  <c r="X63" i="3"/>
  <c r="AF18" i="1" s="1"/>
  <c r="X9" i="3"/>
  <c r="AF33" i="1" s="1"/>
  <c r="X57" i="3"/>
  <c r="AF35" i="1" s="1"/>
  <c r="X41" i="3"/>
  <c r="AF31" i="1" s="1"/>
  <c r="X25" i="3"/>
  <c r="AF67" i="1" s="1"/>
  <c r="X13" i="3"/>
  <c r="AF16" i="1" s="1"/>
  <c r="X48" i="3"/>
  <c r="AF38" i="1" s="1"/>
  <c r="X26" i="3"/>
  <c r="AF11" i="1" s="1"/>
  <c r="X47" i="3"/>
  <c r="AF64" i="1" s="1"/>
  <c r="X51" i="3"/>
  <c r="AF12" i="1" s="1"/>
  <c r="X32" i="3"/>
  <c r="AF4" i="1" s="1"/>
  <c r="X67" i="3"/>
  <c r="AF28" i="1" s="1"/>
  <c r="X6" i="3"/>
  <c r="AF15" i="1" s="1"/>
  <c r="X4" i="3"/>
  <c r="AF60" i="1" s="1"/>
  <c r="X37" i="3"/>
  <c r="AF26" i="1" s="1"/>
  <c r="X50" i="3"/>
  <c r="AF10" i="1" s="1"/>
  <c r="X8" i="3"/>
  <c r="AF29" i="1" s="1"/>
  <c r="X53" i="3"/>
  <c r="AF61" i="1" s="1"/>
  <c r="X66" i="3"/>
  <c r="AF24" i="1" s="1"/>
  <c r="X102" i="3"/>
  <c r="X103"/>
  <c r="X46"/>
  <c r="AF48" i="1" s="1"/>
  <c r="X34" i="3"/>
  <c r="AF58" i="1" s="1"/>
  <c r="X64" i="3"/>
  <c r="AF50" i="1" s="1"/>
  <c r="X65" i="3"/>
  <c r="AF53" i="1" s="1"/>
  <c r="X49" i="3"/>
  <c r="AF5" i="1" s="1"/>
  <c r="X35" i="3"/>
  <c r="AF66" i="1" s="1"/>
  <c r="X22" i="3"/>
  <c r="AF43" i="1" s="1"/>
  <c r="X31" i="3"/>
  <c r="AF8" i="1" s="1"/>
  <c r="X5" i="3"/>
  <c r="AF55" i="1" s="1"/>
  <c r="AK3"/>
  <c r="AZ17" l="1"/>
  <c r="BC17" s="1"/>
  <c r="G60"/>
  <c r="O60"/>
  <c r="AZ46"/>
  <c r="BC46" s="1"/>
  <c r="AZ52"/>
  <c r="BC52" s="1"/>
  <c r="AZ41"/>
  <c r="BC41" s="1"/>
  <c r="AZ50"/>
  <c r="BC50" s="1"/>
  <c r="AZ67"/>
  <c r="BC67" s="1"/>
  <c r="AZ28"/>
  <c r="BC28" s="1"/>
  <c r="AZ19"/>
  <c r="BC19" s="1"/>
  <c r="AZ32"/>
  <c r="BC32" s="1"/>
  <c r="AZ44"/>
  <c r="BC44" s="1"/>
  <c r="AZ40"/>
  <c r="BC40" s="1"/>
  <c r="AZ11"/>
  <c r="BC11" s="1"/>
  <c r="AZ24"/>
  <c r="BC24" s="1"/>
  <c r="AZ36"/>
  <c r="BC36" s="1"/>
  <c r="AZ15"/>
  <c r="BC15" s="1"/>
  <c r="AZ66"/>
  <c r="BC66" s="1"/>
  <c r="AZ9"/>
  <c r="BC9" s="1"/>
  <c r="AZ58"/>
  <c r="BC58" s="1"/>
  <c r="AZ31"/>
  <c r="BC31" s="1"/>
  <c r="AZ33"/>
  <c r="BC33" s="1"/>
  <c r="AZ8"/>
  <c r="BC8" s="1"/>
  <c r="AZ3"/>
  <c r="BC3" s="1"/>
  <c r="AZ10"/>
  <c r="BC10" s="1"/>
  <c r="AZ43"/>
  <c r="BC43" s="1"/>
  <c r="AZ57"/>
  <c r="BC57" s="1"/>
  <c r="AZ54"/>
  <c r="BC54" s="1"/>
  <c r="AZ63"/>
  <c r="BC63" s="1"/>
  <c r="AZ6"/>
  <c r="BC6" s="1"/>
  <c r="AZ29"/>
  <c r="BC29" s="1"/>
  <c r="AZ16"/>
  <c r="BC16" s="1"/>
  <c r="AZ18"/>
  <c r="BC18" s="1"/>
  <c r="AZ26"/>
  <c r="BC26" s="1"/>
  <c r="AZ4"/>
  <c r="BC4" s="1"/>
  <c r="AZ55"/>
  <c r="BC55" s="1"/>
  <c r="AJ43"/>
  <c r="AJ50"/>
  <c r="AJ28"/>
  <c r="AJ11"/>
  <c r="AJ31"/>
  <c r="AJ63"/>
  <c r="AJ37"/>
  <c r="AJ47"/>
  <c r="AJ51"/>
  <c r="AJ6"/>
  <c r="AJ7"/>
  <c r="AJ55"/>
  <c r="AJ48"/>
  <c r="AJ60"/>
  <c r="AJ16"/>
  <c r="AJ8"/>
  <c r="AJ53"/>
  <c r="AJ29"/>
  <c r="AJ15"/>
  <c r="AJ64"/>
  <c r="AJ67"/>
  <c r="AJ18"/>
  <c r="AJ46"/>
  <c r="AJ44"/>
  <c r="AJ40"/>
  <c r="AJ49"/>
  <c r="AJ10"/>
  <c r="AJ34"/>
  <c r="AJ66"/>
  <c r="AJ58"/>
  <c r="AJ24"/>
  <c r="AJ26"/>
  <c r="AJ4"/>
  <c r="AJ38"/>
  <c r="AJ35"/>
  <c r="AJ21"/>
  <c r="AJ19"/>
  <c r="AJ52"/>
  <c r="AJ20"/>
  <c r="AJ3"/>
  <c r="AJ56"/>
  <c r="AJ5"/>
  <c r="AJ61"/>
  <c r="AJ12"/>
  <c r="AJ33"/>
  <c r="AJ59"/>
  <c r="AJ57"/>
  <c r="AJ36"/>
  <c r="AJ23"/>
  <c r="BO8"/>
  <c r="BQ8"/>
  <c r="BO12"/>
  <c r="BQ12"/>
  <c r="BO36"/>
  <c r="BQ36"/>
  <c r="BO54"/>
  <c r="BQ54"/>
  <c r="BO11"/>
  <c r="BQ11"/>
  <c r="BO65"/>
  <c r="BQ65"/>
  <c r="BO45"/>
  <c r="BQ45"/>
  <c r="BO24"/>
  <c r="BQ24"/>
  <c r="BO29"/>
  <c r="BQ29"/>
  <c r="BO30"/>
  <c r="BQ30"/>
  <c r="BO51"/>
  <c r="BQ51"/>
  <c r="BO48"/>
  <c r="BQ48"/>
  <c r="BO67"/>
  <c r="BQ67"/>
  <c r="BO18"/>
  <c r="BQ18"/>
  <c r="BO22"/>
  <c r="BQ22"/>
  <c r="BO40"/>
  <c r="BQ40"/>
  <c r="BO55"/>
  <c r="BQ55"/>
  <c r="BO17"/>
  <c r="BQ17"/>
  <c r="BO60"/>
  <c r="BO52"/>
  <c r="BO62"/>
  <c r="BQ62"/>
  <c r="BO10"/>
  <c r="BQ10"/>
  <c r="BO28"/>
  <c r="BQ28"/>
  <c r="BO25"/>
  <c r="BQ25"/>
  <c r="BO57"/>
  <c r="BQ57"/>
  <c r="BO23"/>
  <c r="BQ23"/>
  <c r="BO43"/>
  <c r="BQ43"/>
  <c r="BO39"/>
  <c r="BQ39"/>
  <c r="BO31"/>
  <c r="BQ31"/>
  <c r="BO19"/>
  <c r="BQ19"/>
  <c r="BO56"/>
  <c r="BQ56"/>
  <c r="BO66"/>
  <c r="BQ66"/>
  <c r="BO64"/>
  <c r="BO20"/>
  <c r="BO16"/>
  <c r="BO37"/>
  <c r="BQ37"/>
  <c r="BO58"/>
  <c r="BQ58"/>
  <c r="BO15"/>
  <c r="BQ15"/>
  <c r="BO38"/>
  <c r="BQ38"/>
  <c r="BO3"/>
  <c r="BQ3"/>
  <c r="BO7"/>
  <c r="BQ7"/>
  <c r="BO34"/>
  <c r="BQ34"/>
  <c r="BO9"/>
  <c r="BQ9"/>
  <c r="BO26"/>
  <c r="BQ26"/>
  <c r="BO4"/>
  <c r="BQ4"/>
  <c r="BO14"/>
  <c r="BQ14"/>
  <c r="BO32"/>
  <c r="BQ32"/>
  <c r="BO5"/>
  <c r="BQ5"/>
  <c r="BO46"/>
  <c r="BQ46"/>
  <c r="BO35"/>
  <c r="BQ35"/>
  <c r="BO21"/>
  <c r="BQ21"/>
  <c r="BO42"/>
  <c r="BQ42"/>
  <c r="BO44"/>
  <c r="BQ44"/>
  <c r="BO59"/>
  <c r="BQ59"/>
  <c r="BO61"/>
  <c r="BQ61"/>
  <c r="BO47"/>
  <c r="BO41"/>
  <c r="BO33"/>
  <c r="BO50"/>
  <c r="AJ9"/>
  <c r="AJ25"/>
  <c r="AJ45"/>
  <c r="AJ14"/>
  <c r="AJ54"/>
  <c r="AJ32"/>
  <c r="AJ17"/>
  <c r="AJ39"/>
  <c r="AJ30"/>
  <c r="AJ42"/>
  <c r="AJ41"/>
  <c r="AJ22"/>
  <c r="AJ62"/>
  <c r="AJ65"/>
  <c r="R60" i="2"/>
  <c r="I32" i="1" s="1"/>
  <c r="Q32" s="1"/>
  <c r="J32"/>
  <c r="AH7"/>
  <c r="AI7" s="1"/>
  <c r="AH34"/>
  <c r="AI34" s="1"/>
  <c r="AL34" s="1"/>
  <c r="AH62"/>
  <c r="AI62" s="1"/>
  <c r="AL62" s="1"/>
  <c r="AH30"/>
  <c r="AI30" s="1"/>
  <c r="AL30" s="1"/>
  <c r="AH22"/>
  <c r="AI22" s="1"/>
  <c r="AL22" s="1"/>
  <c r="AH3"/>
  <c r="AI3" s="1"/>
  <c r="AL3" s="1"/>
  <c r="AH8"/>
  <c r="AI8" s="1"/>
  <c r="AL8" s="1"/>
  <c r="AH66"/>
  <c r="AI66" s="1"/>
  <c r="AL66" s="1"/>
  <c r="AH53"/>
  <c r="AI53" s="1"/>
  <c r="AL53" s="1"/>
  <c r="AH58"/>
  <c r="AI58" s="1"/>
  <c r="AL58" s="1"/>
  <c r="AH24"/>
  <c r="AI24" s="1"/>
  <c r="AL24" s="1"/>
  <c r="AH29"/>
  <c r="AI29" s="1"/>
  <c r="AL29" s="1"/>
  <c r="AH26"/>
  <c r="AI26" s="1"/>
  <c r="AL26" s="1"/>
  <c r="AH15"/>
  <c r="AI15" s="1"/>
  <c r="AL15" s="1"/>
  <c r="AH4"/>
  <c r="AI4" s="1"/>
  <c r="AL4" s="1"/>
  <c r="AH64"/>
  <c r="AI64" s="1"/>
  <c r="AL64" s="1"/>
  <c r="AH38"/>
  <c r="AI38" s="1"/>
  <c r="AL38" s="1"/>
  <c r="AH67"/>
  <c r="AI67" s="1"/>
  <c r="AH35"/>
  <c r="AI35" s="1"/>
  <c r="AL35" s="1"/>
  <c r="AH18"/>
  <c r="AI18" s="1"/>
  <c r="AL18" s="1"/>
  <c r="AH21"/>
  <c r="AI21" s="1"/>
  <c r="AL21" s="1"/>
  <c r="AH46"/>
  <c r="AI46" s="1"/>
  <c r="AL46" s="1"/>
  <c r="AH19"/>
  <c r="AI19" s="1"/>
  <c r="AH44"/>
  <c r="AI44" s="1"/>
  <c r="AL44" s="1"/>
  <c r="AH52"/>
  <c r="AI52" s="1"/>
  <c r="AL52" s="1"/>
  <c r="AH40"/>
  <c r="AI40" s="1"/>
  <c r="AL40" s="1"/>
  <c r="AH20"/>
  <c r="AI20" s="1"/>
  <c r="AL20" s="1"/>
  <c r="AH23"/>
  <c r="AI23" s="1"/>
  <c r="AH49"/>
  <c r="AI49" s="1"/>
  <c r="AL49" s="1"/>
  <c r="AH55"/>
  <c r="AI55" s="1"/>
  <c r="AL55" s="1"/>
  <c r="AH43"/>
  <c r="AI43" s="1"/>
  <c r="AL43" s="1"/>
  <c r="AH5"/>
  <c r="AI5" s="1"/>
  <c r="AL5" s="1"/>
  <c r="AH50"/>
  <c r="AI50" s="1"/>
  <c r="AH48"/>
  <c r="AI48" s="1"/>
  <c r="AL48" s="1"/>
  <c r="AH61"/>
  <c r="AI61" s="1"/>
  <c r="AL61" s="1"/>
  <c r="AH10"/>
  <c r="AI10" s="1"/>
  <c r="AL10" s="1"/>
  <c r="AH60"/>
  <c r="AI60" s="1"/>
  <c r="AL60" s="1"/>
  <c r="AH28"/>
  <c r="AI28" s="1"/>
  <c r="AL28" s="1"/>
  <c r="AH12"/>
  <c r="AI12" s="1"/>
  <c r="AL12" s="1"/>
  <c r="AH11"/>
  <c r="AI11" s="1"/>
  <c r="AL11" s="1"/>
  <c r="AH16"/>
  <c r="AI16" s="1"/>
  <c r="AL16" s="1"/>
  <c r="AH31"/>
  <c r="AI31" s="1"/>
  <c r="AL31" s="1"/>
  <c r="AH33"/>
  <c r="AI33" s="1"/>
  <c r="AL33" s="1"/>
  <c r="AH63"/>
  <c r="AI63" s="1"/>
  <c r="AL63" s="1"/>
  <c r="AH59"/>
  <c r="AI59" s="1"/>
  <c r="AL59" s="1"/>
  <c r="AH37"/>
  <c r="AI37" s="1"/>
  <c r="AH57"/>
  <c r="AI57" s="1"/>
  <c r="AL57" s="1"/>
  <c r="AH47"/>
  <c r="AI47" s="1"/>
  <c r="AL47" s="1"/>
  <c r="AH36"/>
  <c r="AI36" s="1"/>
  <c r="AL36" s="1"/>
  <c r="AH51"/>
  <c r="AI51" s="1"/>
  <c r="AL51" s="1"/>
  <c r="R6" i="2"/>
  <c r="I15" i="1" s="1"/>
  <c r="Q15" s="1"/>
  <c r="AH6"/>
  <c r="AI6" s="1"/>
  <c r="R9" i="2"/>
  <c r="I33" i="1" s="1"/>
  <c r="Q33" s="1"/>
  <c r="BQ6"/>
  <c r="BQ63"/>
  <c r="BQ64"/>
  <c r="BQ49"/>
  <c r="BQ47"/>
  <c r="BQ20"/>
  <c r="BQ53"/>
  <c r="BQ50"/>
  <c r="BQ16"/>
  <c r="BQ33"/>
  <c r="BQ52"/>
  <c r="BQ41"/>
  <c r="BA64"/>
  <c r="BA48"/>
  <c r="BA39"/>
  <c r="BA25"/>
  <c r="BA12"/>
  <c r="BA60"/>
  <c r="BA61"/>
  <c r="BA45"/>
  <c r="BA7"/>
  <c r="BA23"/>
  <c r="BA14"/>
  <c r="BA38"/>
  <c r="BA62"/>
  <c r="BA56"/>
  <c r="BA65"/>
  <c r="BA51"/>
  <c r="BA49"/>
  <c r="AH17"/>
  <c r="AI17" s="1"/>
  <c r="AH39"/>
  <c r="AI39" s="1"/>
  <c r="AH25"/>
  <c r="AI25" s="1"/>
  <c r="AH9"/>
  <c r="AI9" s="1"/>
  <c r="AH65"/>
  <c r="AI65" s="1"/>
  <c r="AH14"/>
  <c r="AI14" s="1"/>
  <c r="AH42"/>
  <c r="AI42" s="1"/>
  <c r="AH41"/>
  <c r="AI41" s="1"/>
  <c r="AH56"/>
  <c r="AI56" s="1"/>
  <c r="BA34"/>
  <c r="BA37"/>
  <c r="BA21"/>
  <c r="BA53"/>
  <c r="BA30"/>
  <c r="BA35"/>
  <c r="BA5"/>
  <c r="BA20"/>
  <c r="BA47"/>
  <c r="BA59"/>
  <c r="BA42"/>
  <c r="BA22"/>
  <c r="R5" i="2"/>
  <c r="I55" i="1" s="1"/>
  <c r="Q55" s="1"/>
  <c r="P60" l="1"/>
  <c r="K32"/>
  <c r="R32" s="1"/>
  <c r="J15"/>
  <c r="J55"/>
  <c r="BC65"/>
  <c r="BC49"/>
  <c r="BC22"/>
  <c r="BC7"/>
  <c r="BC30"/>
  <c r="BC34"/>
  <c r="BC64"/>
  <c r="BC38"/>
  <c r="BC23"/>
  <c r="BC56"/>
  <c r="BC51"/>
  <c r="BC61"/>
  <c r="BC42"/>
  <c r="BC39"/>
  <c r="BC62"/>
  <c r="BC45"/>
  <c r="BC60"/>
  <c r="BC47"/>
  <c r="BC37"/>
  <c r="BC12"/>
  <c r="BC48"/>
  <c r="BC25"/>
  <c r="BC14"/>
  <c r="BC59"/>
  <c r="BC35"/>
  <c r="BC20"/>
  <c r="BC53"/>
  <c r="BC21"/>
  <c r="BC5"/>
  <c r="AL50"/>
  <c r="AL65"/>
  <c r="AL41"/>
  <c r="AL6"/>
  <c r="AL7"/>
  <c r="AL42"/>
  <c r="AL9"/>
  <c r="AL17"/>
  <c r="AL67"/>
  <c r="AL37"/>
  <c r="AL23"/>
  <c r="AL25"/>
  <c r="AL19"/>
  <c r="AL56"/>
  <c r="AL14"/>
  <c r="AL39"/>
  <c r="J33"/>
  <c r="R7" i="2"/>
  <c r="I42" i="1" s="1"/>
  <c r="Q42" s="1"/>
  <c r="K55" l="1"/>
  <c r="R55" s="1"/>
  <c r="K15"/>
  <c r="R15" s="1"/>
  <c r="J42"/>
  <c r="K33"/>
  <c r="R33" s="1"/>
  <c r="R12" i="2"/>
  <c r="I3" i="1" s="1"/>
  <c r="Q3" s="1"/>
  <c r="R8" i="2"/>
  <c r="I29" i="1" s="1"/>
  <c r="Q29" s="1"/>
  <c r="R14" i="2"/>
  <c r="I52" i="1" s="1"/>
  <c r="K42" l="1"/>
  <c r="R42" s="1"/>
  <c r="AR32"/>
  <c r="AS32" s="1"/>
  <c r="AV32" s="1"/>
  <c r="D32" s="1"/>
  <c r="AR15"/>
  <c r="AS15" s="1"/>
  <c r="AV15" s="1"/>
  <c r="D15" s="1"/>
  <c r="J3"/>
  <c r="J29"/>
  <c r="R10" i="2"/>
  <c r="I62" i="1" s="1"/>
  <c r="Q62" s="1"/>
  <c r="J52"/>
  <c r="K3" l="1"/>
  <c r="R3" s="1"/>
  <c r="K29"/>
  <c r="R29" s="1"/>
  <c r="AR55"/>
  <c r="AS55" s="1"/>
  <c r="AV55" s="1"/>
  <c r="D55" s="1"/>
  <c r="AR42"/>
  <c r="AS42" s="1"/>
  <c r="AV42" s="1"/>
  <c r="D42" s="1"/>
  <c r="J62"/>
  <c r="K52"/>
  <c r="R16" i="2"/>
  <c r="I54" i="1" s="1"/>
  <c r="Q54" s="1"/>
  <c r="R13" i="2"/>
  <c r="I16" i="1" s="1"/>
  <c r="Q16" s="1"/>
  <c r="R15" i="2"/>
  <c r="I30" i="1" s="1"/>
  <c r="K62" l="1"/>
  <c r="R62" s="1"/>
  <c r="AR3"/>
  <c r="AS3" s="1"/>
  <c r="AV3" s="1"/>
  <c r="D3" s="1"/>
  <c r="AR33"/>
  <c r="AS33" s="1"/>
  <c r="AV33" s="1"/>
  <c r="D33" s="1"/>
  <c r="J16"/>
  <c r="J54"/>
  <c r="R64" i="2"/>
  <c r="I50" i="1" s="1"/>
  <c r="Q50" s="1"/>
  <c r="K54" l="1"/>
  <c r="R54" s="1"/>
  <c r="K16"/>
  <c r="R16" s="1"/>
  <c r="AR29"/>
  <c r="AS29" s="1"/>
  <c r="AV29" s="1"/>
  <c r="D29" s="1"/>
  <c r="J50"/>
  <c r="J30"/>
  <c r="R66" i="2"/>
  <c r="I24" i="1" s="1"/>
  <c r="Q24" s="1"/>
  <c r="R17" i="2"/>
  <c r="I19" i="1" s="1"/>
  <c r="Q19" s="1"/>
  <c r="K50" l="1"/>
  <c r="R50" s="1"/>
  <c r="AR62"/>
  <c r="AS62" s="1"/>
  <c r="AV62" s="1"/>
  <c r="D62" s="1"/>
  <c r="AR54"/>
  <c r="AS54" s="1"/>
  <c r="AV54" s="1"/>
  <c r="D54" s="1"/>
  <c r="AR52"/>
  <c r="AS52" s="1"/>
  <c r="AV52" s="1"/>
  <c r="D52" s="1"/>
  <c r="J19"/>
  <c r="J24"/>
  <c r="K30"/>
  <c r="R19" i="2"/>
  <c r="I65" i="1" s="1"/>
  <c r="Q65" s="1"/>
  <c r="R67" i="2"/>
  <c r="I28" i="1" s="1"/>
  <c r="Q28" s="1"/>
  <c r="R22" i="2"/>
  <c r="I43" i="1" s="1"/>
  <c r="Q43" s="1"/>
  <c r="K19" l="1"/>
  <c r="R19" s="1"/>
  <c r="K24"/>
  <c r="R24" s="1"/>
  <c r="AR16"/>
  <c r="AS16" s="1"/>
  <c r="AV16" s="1"/>
  <c r="D16" s="1"/>
  <c r="AR50"/>
  <c r="AS50" s="1"/>
  <c r="AV50" s="1"/>
  <c r="D50" s="1"/>
  <c r="J28"/>
  <c r="J65"/>
  <c r="R24" i="2"/>
  <c r="I41" i="1" s="1"/>
  <c r="Q41" s="1"/>
  <c r="J43"/>
  <c r="R63" i="2"/>
  <c r="I18" i="1" s="1"/>
  <c r="Q18" s="1"/>
  <c r="K28" l="1"/>
  <c r="R28" s="1"/>
  <c r="K65"/>
  <c r="R65" s="1"/>
  <c r="AR19"/>
  <c r="AS19" s="1"/>
  <c r="AV19" s="1"/>
  <c r="D19" s="1"/>
  <c r="AR24"/>
  <c r="AS24" s="1"/>
  <c r="AV24" s="1"/>
  <c r="D24" s="1"/>
  <c r="J41"/>
  <c r="R23" i="2"/>
  <c r="I56" i="1" s="1"/>
  <c r="Q56" s="1"/>
  <c r="J18"/>
  <c r="K41" l="1"/>
  <c r="R41" s="1"/>
  <c r="AR65"/>
  <c r="AS65" s="1"/>
  <c r="AV65" s="1"/>
  <c r="D65" s="1"/>
  <c r="AR28"/>
  <c r="AS28" s="1"/>
  <c r="AV28" s="1"/>
  <c r="D28" s="1"/>
  <c r="AR30"/>
  <c r="AS30" s="1"/>
  <c r="AV30" s="1"/>
  <c r="D30" s="1"/>
  <c r="J56"/>
  <c r="K43"/>
  <c r="R43" s="1"/>
  <c r="K18"/>
  <c r="R18" s="1"/>
  <c r="R31" i="2"/>
  <c r="I8" i="1" s="1"/>
  <c r="Q8" s="1"/>
  <c r="R50" i="2"/>
  <c r="I10" i="1" s="1"/>
  <c r="Q10" s="1"/>
  <c r="R55" i="2"/>
  <c r="I39" i="1" s="1"/>
  <c r="Q39" s="1"/>
  <c r="K56" l="1"/>
  <c r="R56" s="1"/>
  <c r="AR41"/>
  <c r="AS41" s="1"/>
  <c r="AV41" s="1"/>
  <c r="D41" s="1"/>
  <c r="J10"/>
  <c r="J8"/>
  <c r="R27" i="2"/>
  <c r="I36" i="1" s="1"/>
  <c r="Q36" s="1"/>
  <c r="J39"/>
  <c r="K8" l="1"/>
  <c r="R8" s="1"/>
  <c r="K10"/>
  <c r="R10" s="1"/>
  <c r="AR56"/>
  <c r="AS56" s="1"/>
  <c r="AV56" s="1"/>
  <c r="D56" s="1"/>
  <c r="J36"/>
  <c r="K39"/>
  <c r="R39" s="1"/>
  <c r="R18" i="2"/>
  <c r="I9" i="1" s="1"/>
  <c r="Q9" s="1"/>
  <c r="R25" i="2"/>
  <c r="I67" i="1" s="1"/>
  <c r="Q67" s="1"/>
  <c r="R34" i="2"/>
  <c r="I58" i="1" s="1"/>
  <c r="Q58" s="1"/>
  <c r="K36" l="1"/>
  <c r="R36" s="1"/>
  <c r="AR43"/>
  <c r="AS43" s="1"/>
  <c r="AV43" s="1"/>
  <c r="D43" s="1"/>
  <c r="AR10"/>
  <c r="AS10" s="1"/>
  <c r="AV10" s="1"/>
  <c r="D10" s="1"/>
  <c r="AR8"/>
  <c r="AS8" s="1"/>
  <c r="AV8" s="1"/>
  <c r="D8" s="1"/>
  <c r="AR18"/>
  <c r="AS18" s="1"/>
  <c r="AV18" s="1"/>
  <c r="D18" s="1"/>
  <c r="J67"/>
  <c r="J9"/>
  <c r="J58"/>
  <c r="R28" i="2"/>
  <c r="I25" i="1" s="1"/>
  <c r="Q25" s="1"/>
  <c r="K67" l="1"/>
  <c r="R67" s="1"/>
  <c r="K9"/>
  <c r="R9" s="1"/>
  <c r="AR36"/>
  <c r="AS36" s="1"/>
  <c r="AV36" s="1"/>
  <c r="D36" s="1"/>
  <c r="J25"/>
  <c r="K58"/>
  <c r="R58" s="1"/>
  <c r="R26" i="2"/>
  <c r="I11" i="1" s="1"/>
  <c r="Q11" s="1"/>
  <c r="R33" i="2"/>
  <c r="I57" i="1" s="1"/>
  <c r="Q57" s="1"/>
  <c r="R68" i="2"/>
  <c r="I34" i="1" s="1"/>
  <c r="Q34" s="1"/>
  <c r="K25" l="1"/>
  <c r="R25" s="1"/>
  <c r="AR67"/>
  <c r="AS67" s="1"/>
  <c r="AV67" s="1"/>
  <c r="D67" s="1"/>
  <c r="AR9"/>
  <c r="AS9" s="1"/>
  <c r="AV9" s="1"/>
  <c r="D9" s="1"/>
  <c r="AR39"/>
  <c r="AS39" s="1"/>
  <c r="AV39" s="1"/>
  <c r="D39" s="1"/>
  <c r="J57"/>
  <c r="J11"/>
  <c r="J34"/>
  <c r="R11" i="2"/>
  <c r="I17" i="1" s="1"/>
  <c r="Q17" s="1"/>
  <c r="R32" i="2"/>
  <c r="I4" i="1" s="1"/>
  <c r="Q4" s="1"/>
  <c r="R35" i="2"/>
  <c r="I66" i="1" s="1"/>
  <c r="Q66" s="1"/>
  <c r="K11" l="1"/>
  <c r="R11" s="1"/>
  <c r="K57"/>
  <c r="R57" s="1"/>
  <c r="AR25"/>
  <c r="AS25" s="1"/>
  <c r="AV25" s="1"/>
  <c r="D25" s="1"/>
  <c r="J4"/>
  <c r="K34"/>
  <c r="R34" s="1"/>
  <c r="J17"/>
  <c r="J66"/>
  <c r="K4" l="1"/>
  <c r="R4" s="1"/>
  <c r="AR58"/>
  <c r="AS58" s="1"/>
  <c r="AV58" s="1"/>
  <c r="D58" s="1"/>
  <c r="AR11"/>
  <c r="AS11" s="1"/>
  <c r="AV11" s="1"/>
  <c r="D11" s="1"/>
  <c r="AR57"/>
  <c r="AS57" s="1"/>
  <c r="AV57" s="1"/>
  <c r="D57" s="1"/>
  <c r="K66"/>
  <c r="R66" s="1"/>
  <c r="K17"/>
  <c r="R17" s="1"/>
  <c r="R36" i="2"/>
  <c r="I23" i="1" s="1"/>
  <c r="Q23" s="1"/>
  <c r="R37" i="2"/>
  <c r="I26" i="1" s="1"/>
  <c r="Q26" s="1"/>
  <c r="R38" i="2"/>
  <c r="I63" i="1" s="1"/>
  <c r="Q63" s="1"/>
  <c r="AR4" l="1"/>
  <c r="AS4" s="1"/>
  <c r="AV4" s="1"/>
  <c r="D4" s="1"/>
  <c r="J23"/>
  <c r="J63"/>
  <c r="R40" i="2"/>
  <c r="I46" i="1" s="1"/>
  <c r="Q46" s="1"/>
  <c r="R42" i="2"/>
  <c r="I40" i="1" s="1"/>
  <c r="Q40" s="1"/>
  <c r="J26"/>
  <c r="K63" l="1"/>
  <c r="R63" s="1"/>
  <c r="K23"/>
  <c r="R23" s="1"/>
  <c r="AR34"/>
  <c r="AS34" s="1"/>
  <c r="AV34" s="1"/>
  <c r="D34" s="1"/>
  <c r="J46"/>
  <c r="K26"/>
  <c r="R26" s="1"/>
  <c r="R39" i="2"/>
  <c r="I49" i="1" s="1"/>
  <c r="Q49" s="1"/>
  <c r="J40"/>
  <c r="R44" i="2"/>
  <c r="I6" i="1" s="1"/>
  <c r="Q6" s="1"/>
  <c r="K46" l="1"/>
  <c r="R46" s="1"/>
  <c r="AR66"/>
  <c r="AS66" s="1"/>
  <c r="AV66" s="1"/>
  <c r="D66" s="1"/>
  <c r="AR17"/>
  <c r="AS17" s="1"/>
  <c r="AV17" s="1"/>
  <c r="D17" s="1"/>
  <c r="AR63"/>
  <c r="AS63" s="1"/>
  <c r="AV63" s="1"/>
  <c r="D63" s="1"/>
  <c r="AR23"/>
  <c r="AS23" s="1"/>
  <c r="AV23" s="1"/>
  <c r="D23" s="1"/>
  <c r="J49"/>
  <c r="K40"/>
  <c r="R40" s="1"/>
  <c r="J6"/>
  <c r="R46" i="2"/>
  <c r="I48" i="1" s="1"/>
  <c r="Q48" s="1"/>
  <c r="R41" i="2"/>
  <c r="I31" i="1" s="1"/>
  <c r="Q31" s="1"/>
  <c r="K49" l="1"/>
  <c r="R49" s="1"/>
  <c r="AR46"/>
  <c r="AS46" s="1"/>
  <c r="AV46" s="1"/>
  <c r="D46" s="1"/>
  <c r="J31"/>
  <c r="K6"/>
  <c r="R6" s="1"/>
  <c r="R43" i="2"/>
  <c r="I14" i="1" s="1"/>
  <c r="Q14" s="1"/>
  <c r="J48"/>
  <c r="R48" i="2"/>
  <c r="I38" i="1" s="1"/>
  <c r="Q38" s="1"/>
  <c r="K31" l="1"/>
  <c r="R31" s="1"/>
  <c r="AR26"/>
  <c r="AS26" s="1"/>
  <c r="AV26" s="1"/>
  <c r="D26" s="1"/>
  <c r="AR49"/>
  <c r="AS49" s="1"/>
  <c r="AV49" s="1"/>
  <c r="D49" s="1"/>
  <c r="J14"/>
  <c r="K48"/>
  <c r="R48" s="1"/>
  <c r="R45" i="2"/>
  <c r="I44" i="1" s="1"/>
  <c r="Q44" s="1"/>
  <c r="R51" i="2"/>
  <c r="I12" i="1" s="1"/>
  <c r="Q12" s="1"/>
  <c r="R47" i="2"/>
  <c r="I64" i="1" s="1"/>
  <c r="Q64" s="1"/>
  <c r="J38"/>
  <c r="K14" l="1"/>
  <c r="R14" s="1"/>
  <c r="AR40"/>
  <c r="AS40" s="1"/>
  <c r="AV40" s="1"/>
  <c r="D40" s="1"/>
  <c r="AR31"/>
  <c r="AS31" s="1"/>
  <c r="AV31" s="1"/>
  <c r="D31" s="1"/>
  <c r="J44"/>
  <c r="K38"/>
  <c r="R38" s="1"/>
  <c r="J64"/>
  <c r="J12"/>
  <c r="R53" i="2"/>
  <c r="I61" i="1" s="1"/>
  <c r="Q61" s="1"/>
  <c r="K44" l="1"/>
  <c r="R44" s="1"/>
  <c r="AR14"/>
  <c r="AS14" s="1"/>
  <c r="AV14" s="1"/>
  <c r="D14" s="1"/>
  <c r="AR6"/>
  <c r="AS6" s="1"/>
  <c r="AV6" s="1"/>
  <c r="D6" s="1"/>
  <c r="K12"/>
  <c r="R12" s="1"/>
  <c r="K64"/>
  <c r="R64" s="1"/>
  <c r="R49" i="2"/>
  <c r="I5" i="1" s="1"/>
  <c r="Q5" s="1"/>
  <c r="J61"/>
  <c r="R52" i="2"/>
  <c r="I59" i="1" s="1"/>
  <c r="Q59" s="1"/>
  <c r="AR44" l="1"/>
  <c r="AS44" s="1"/>
  <c r="AV44" s="1"/>
  <c r="D44" s="1"/>
  <c r="AR48"/>
  <c r="AS48" s="1"/>
  <c r="AV48" s="1"/>
  <c r="D48" s="1"/>
  <c r="J5"/>
  <c r="K61"/>
  <c r="R61" s="1"/>
  <c r="R54" i="2"/>
  <c r="I21" i="1" s="1"/>
  <c r="Q21" s="1"/>
  <c r="R21" i="2"/>
  <c r="I22" i="1" s="1"/>
  <c r="Q22" s="1"/>
  <c r="J59"/>
  <c r="K5" l="1"/>
  <c r="R5" s="1"/>
  <c r="AR38"/>
  <c r="AS38" s="1"/>
  <c r="AV38" s="1"/>
  <c r="D38" s="1"/>
  <c r="J21"/>
  <c r="K59"/>
  <c r="R59" s="1"/>
  <c r="R4" i="2"/>
  <c r="R58"/>
  <c r="I51" i="1" s="1"/>
  <c r="Q51" s="1"/>
  <c r="R20" i="2"/>
  <c r="I20" i="1" s="1"/>
  <c r="Q20" s="1"/>
  <c r="J22"/>
  <c r="K21" l="1"/>
  <c r="R21" s="1"/>
  <c r="I60"/>
  <c r="Q60" s="1"/>
  <c r="AR64"/>
  <c r="AS64" s="1"/>
  <c r="AV64" s="1"/>
  <c r="D64" s="1"/>
  <c r="AR5"/>
  <c r="AS5" s="1"/>
  <c r="AV5" s="1"/>
  <c r="D5" s="1"/>
  <c r="AR12"/>
  <c r="AS12" s="1"/>
  <c r="AV12" s="1"/>
  <c r="D12" s="1"/>
  <c r="J60"/>
  <c r="K22"/>
  <c r="R22" s="1"/>
  <c r="J20"/>
  <c r="J51"/>
  <c r="R59" i="2"/>
  <c r="I45" i="1" s="1"/>
  <c r="Q45" s="1"/>
  <c r="K60" l="1"/>
  <c r="R60" s="1"/>
  <c r="AR21"/>
  <c r="AS21" s="1"/>
  <c r="AV21" s="1"/>
  <c r="D21" s="1"/>
  <c r="AR61"/>
  <c r="AS61" s="1"/>
  <c r="AV61" s="1"/>
  <c r="D61" s="1"/>
  <c r="K51"/>
  <c r="R51" s="1"/>
  <c r="K20"/>
  <c r="R20" s="1"/>
  <c r="R57" i="2"/>
  <c r="I35" i="1" s="1"/>
  <c r="Q35" s="1"/>
  <c r="J45"/>
  <c r="R103" i="2"/>
  <c r="R62"/>
  <c r="I37" i="1" s="1"/>
  <c r="Q37" s="1"/>
  <c r="AR60" l="1"/>
  <c r="AS60" s="1"/>
  <c r="AV60" s="1"/>
  <c r="AR59"/>
  <c r="AS59" s="1"/>
  <c r="AV59" s="1"/>
  <c r="D59" s="1"/>
  <c r="J35"/>
  <c r="K45"/>
  <c r="R45" s="1"/>
  <c r="R61" i="2"/>
  <c r="I47" i="1" s="1"/>
  <c r="Q47" s="1"/>
  <c r="R102" i="2"/>
  <c r="J37" i="1"/>
  <c r="K35" l="1"/>
  <c r="R35" s="1"/>
  <c r="AR22"/>
  <c r="AS22" s="1"/>
  <c r="AV22" s="1"/>
  <c r="D22" s="1"/>
  <c r="K37"/>
  <c r="R37" s="1"/>
  <c r="J47"/>
  <c r="R30" i="2"/>
  <c r="I7" i="1" s="1"/>
  <c r="Q7" s="1"/>
  <c r="AR51" l="1"/>
  <c r="AS51" s="1"/>
  <c r="AV51" s="1"/>
  <c r="D51" s="1"/>
  <c r="AR35"/>
  <c r="AS35" s="1"/>
  <c r="AV35" s="1"/>
  <c r="D35" s="1"/>
  <c r="AR20"/>
  <c r="AS20" s="1"/>
  <c r="AV20" s="1"/>
  <c r="D20" s="1"/>
  <c r="K47"/>
  <c r="R47" s="1"/>
  <c r="J7"/>
  <c r="R65" i="2"/>
  <c r="I53" i="1" s="1"/>
  <c r="Q53" s="1"/>
  <c r="AR45" l="1"/>
  <c r="AS45" s="1"/>
  <c r="AV45" s="1"/>
  <c r="D45" s="1"/>
  <c r="J53"/>
  <c r="K7"/>
  <c r="R7" s="1"/>
  <c r="K53" l="1"/>
  <c r="R53" s="1"/>
  <c r="AR37"/>
  <c r="AS37" s="1"/>
  <c r="AV37" s="1"/>
  <c r="D37" s="1"/>
  <c r="AR47" l="1"/>
  <c r="AS47" s="1"/>
  <c r="AV47" s="1"/>
  <c r="D47" s="1"/>
  <c r="AR53"/>
  <c r="AS53" s="1"/>
  <c r="AV53" s="1"/>
  <c r="D53" s="1"/>
  <c r="BP60"/>
  <c r="BQ60" l="1"/>
  <c r="D60" s="1"/>
  <c r="AR7"/>
  <c r="AS7" s="1"/>
  <c r="AV7" s="1"/>
  <c r="D7" s="1"/>
</calcChain>
</file>

<file path=xl/sharedStrings.xml><?xml version="1.0" encoding="utf-8"?>
<sst xmlns="http://schemas.openxmlformats.org/spreadsheetml/2006/main" count="3129" uniqueCount="326">
  <si>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</si>
  <si>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</si>
  <si>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</si>
  <si>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</si>
  <si>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</si>
  <si>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</si>
  <si>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</si>
  <si>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</si>
  <si>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</si>
  <si>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</si>
  <si>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</si>
  <si>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</si>
  <si>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</si>
  <si>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</si>
  <si>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</si>
  <si>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</si>
  <si>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</si>
  <si>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</si>
  <si>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</si>
  <si>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</si>
  <si>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</si>
  <si>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</si>
  <si>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</si>
  <si>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</si>
  <si>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</si>
  <si>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</si>
  <si>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Telefonica</t>
  </si>
  <si>
    <t>ES0178430E18</t>
  </si>
  <si>
    <t>Danone</t>
  </si>
  <si>
    <t>FR0000120644</t>
  </si>
  <si>
    <t>British American Tobacco</t>
  </si>
  <si>
    <t>GB0002875804</t>
  </si>
  <si>
    <t>Imperial Tobacco</t>
  </si>
  <si>
    <t>GB0004544929</t>
  </si>
  <si>
    <t>Vodafone</t>
  </si>
  <si>
    <t>GB00BH4HKS39</t>
  </si>
  <si>
    <t>Unilever</t>
  </si>
  <si>
    <t>NL0000009355</t>
  </si>
  <si>
    <t>AT&amp;T</t>
  </si>
  <si>
    <t>US00206R1023</t>
  </si>
  <si>
    <t>Coca-Cola</t>
  </si>
  <si>
    <t>US1912161007</t>
  </si>
  <si>
    <t>Colgate-Palmolive</t>
  </si>
  <si>
    <t>US1941621039</t>
  </si>
  <si>
    <t>General Electric</t>
  </si>
  <si>
    <t>US3696041033</t>
  </si>
  <si>
    <t>IBM</t>
  </si>
  <si>
    <t>US4592001014</t>
  </si>
  <si>
    <t>Johnson &amp; Johnson</t>
  </si>
  <si>
    <t>US4781601046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</si>
  <si>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</si>
  <si>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</si>
  <si>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</si>
  <si>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</si>
  <si>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</si>
  <si>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</si>
  <si>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</si>
  <si>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</si>
  <si>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</si>
  <si>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</si>
  <si>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</si>
  <si>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</si>
  <si>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</si>
  <si>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</si>
  <si>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</si>
  <si>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</si>
  <si>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</si>
  <si>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</si>
  <si>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</si>
  <si>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</si>
  <si>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</si>
  <si>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</si>
  <si>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</si>
  <si>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</si>
  <si>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</si>
  <si>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</si>
  <si>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</si>
  <si>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</si>
  <si>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</si>
  <si>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Henkel</t>
  </si>
  <si>
    <t>z_DE0006048432</t>
  </si>
  <si>
    <t>L'Oreal</t>
  </si>
  <si>
    <t>Sanofi</t>
  </si>
  <si>
    <t>Diageo</t>
  </si>
  <si>
    <t>z_GB0002374006</t>
  </si>
  <si>
    <t>Sabmiller</t>
  </si>
  <si>
    <t>z_GB0004835483</t>
  </si>
  <si>
    <t>Reckitt Benckiser</t>
  </si>
  <si>
    <t>z_GB00B24CGK77</t>
  </si>
  <si>
    <t>Altria</t>
  </si>
  <si>
    <t>z_US02209S1033</t>
  </si>
  <si>
    <t>Blackrock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</si>
  <si>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</si>
  <si>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</si>
  <si>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</si>
  <si>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</si>
  <si>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</si>
  <si>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</si>
  <si>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</si>
  <si>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</si>
  <si>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</si>
  <si>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</si>
  <si>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</si>
  <si>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</si>
  <si>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</si>
  <si>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</si>
  <si>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</si>
  <si>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</si>
  <si>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</si>
  <si>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</si>
  <si>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</si>
  <si>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KGV
+360d</t>
  </si>
  <si>
    <t>DR
+360d</t>
  </si>
  <si>
    <t>Quote
+360d</t>
  </si>
  <si>
    <t>Ergebnis
+360d</t>
  </si>
  <si>
    <t>Mittelwert</t>
  </si>
  <si>
    <t>Abweichung Mittelwert</t>
  </si>
  <si>
    <t>Abweichung zum Vorjahr</t>
  </si>
  <si>
    <t>Größte Abweichung Vorjahr</t>
  </si>
  <si>
    <t>Ergebnis+360d
nach Einbruch</t>
  </si>
  <si>
    <t>Bewertung</t>
  </si>
  <si>
    <t>DR+360d</t>
  </si>
  <si>
    <t>DR Abweichung</t>
  </si>
  <si>
    <t>Quote Abweichung</t>
  </si>
  <si>
    <t>Ergebnis Abweichung</t>
  </si>
  <si>
    <t>Punkte von</t>
  </si>
  <si>
    <t>Punkte bis</t>
  </si>
  <si>
    <t>Gesamtkennzahl</t>
  </si>
  <si>
    <t>Punkte</t>
  </si>
  <si>
    <t>Grenze (&lt;)</t>
  </si>
  <si>
    <t>Quote+360d</t>
  </si>
  <si>
    <t>Abweichung Ergebnis+360d nach Einbruch von Mittel</t>
  </si>
  <si>
    <t>Jahr</t>
  </si>
  <si>
    <t>EPS original</t>
  </si>
  <si>
    <t>EPS bereinigt</t>
  </si>
  <si>
    <t>Punkte original</t>
  </si>
  <si>
    <t>Punkte bereinigt</t>
  </si>
  <si>
    <t>BE0003793107</t>
  </si>
  <si>
    <t>US02209S1033</t>
  </si>
  <si>
    <t>Dividende original</t>
  </si>
  <si>
    <t>Dividende bereinigt</t>
  </si>
  <si>
    <t>Stand Kennzahlen</t>
  </si>
  <si>
    <t>KGV+360d
nach
Einbruch</t>
  </si>
  <si>
    <t>Buchwert
+360d</t>
  </si>
  <si>
    <t>Buchwert
Abweichung</t>
  </si>
  <si>
    <t>Buchwert+360d
nach Einbruch</t>
  </si>
  <si>
    <t>Kontrolle</t>
  </si>
  <si>
    <t>ARK-1y</t>
  </si>
  <si>
    <t>ARK Mittel 10y</t>
  </si>
  <si>
    <t>ARK Abweichung</t>
  </si>
  <si>
    <t>ARK
-1y</t>
  </si>
  <si>
    <t>ARK
Mittel
10y</t>
  </si>
  <si>
    <t>KGV+360d</t>
  </si>
  <si>
    <t>Ergebnis+360d</t>
  </si>
  <si>
    <t>Dividende+360d</t>
  </si>
  <si>
    <t>Buchwert+360d</t>
  </si>
  <si>
    <t>Buchwert original</t>
  </si>
  <si>
    <t>Buchwert bereinigt</t>
  </si>
  <si>
    <t>Basis</t>
  </si>
  <si>
    <t>CH0011037469</t>
  </si>
  <si>
    <t>Geschäftsjahr</t>
  </si>
  <si>
    <t>Tag</t>
  </si>
  <si>
    <t>Monat</t>
  </si>
  <si>
    <t>Jahr + 2</t>
  </si>
  <si>
    <t>Jahr - 0</t>
  </si>
  <si>
    <t>US4943681035</t>
  </si>
  <si>
    <t>Summe</t>
  </si>
  <si>
    <t>DE0006048432</t>
  </si>
  <si>
    <t>Währung</t>
  </si>
  <si>
    <t>Bilanz</t>
  </si>
  <si>
    <t>Heimatbörse</t>
  </si>
  <si>
    <t>CHF</t>
  </si>
  <si>
    <t>EUR</t>
  </si>
  <si>
    <t>GBP</t>
  </si>
  <si>
    <t>USD</t>
  </si>
  <si>
    <t>Gleich</t>
  </si>
  <si>
    <t>Jahr - 11</t>
  </si>
  <si>
    <t>Aktuell</t>
  </si>
  <si>
    <t>Schlußkurse Heimatbörse am Geschäftsjahresende</t>
  </si>
  <si>
    <t>Schlußkurse Währungsumrechnung am Geschäftsjahresende</t>
  </si>
  <si>
    <t>Schlußkurse in Bilanzwährung am Geschäftsjahresende</t>
  </si>
  <si>
    <t>CH0002751649</t>
  </si>
  <si>
    <t>GB0031973075</t>
  </si>
  <si>
    <t>EUR / USD</t>
  </si>
  <si>
    <t>GBP / USD</t>
  </si>
  <si>
    <t>CHF / USD</t>
  </si>
  <si>
    <t>EU0009652759</t>
  </si>
  <si>
    <t>FXCM</t>
  </si>
  <si>
    <t>CH0010570759</t>
  </si>
  <si>
    <t>FR0000120321</t>
  </si>
  <si>
    <t>FR0000120578</t>
  </si>
  <si>
    <t>GB0002374006</t>
  </si>
  <si>
    <t>GB0004835483</t>
  </si>
  <si>
    <t>GB00B24CGK77</t>
  </si>
  <si>
    <t>US09247X1019</t>
  </si>
  <si>
    <t>US3703341046</t>
  </si>
  <si>
    <t>Dividende Vorjahr / Kurs Geschäftsjahresende = Dividende aktuelles Jahr</t>
  </si>
  <si>
    <t>Kurs original</t>
  </si>
  <si>
    <t>Kurs bereinigt</t>
  </si>
  <si>
    <t>Dividende Abweichung</t>
  </si>
  <si>
    <t>Abweichung Dividende+360d nach Einbruch von Mittel</t>
  </si>
  <si>
    <t>Dividende
+360d</t>
  </si>
  <si>
    <t>Dividende+360d
nach Einbruch</t>
  </si>
  <si>
    <t>Abweichung
KGV+360d
nach Einbruch
vom Median</t>
  </si>
  <si>
    <t>Abweichung
Buchwert+360d
nach Einbruch
vom Mittel</t>
  </si>
  <si>
    <t>Abweichung
Ergebnis+360d
nach Einbruch
vom Mittel</t>
  </si>
  <si>
    <t>Abweichung
Dividende+360d
nach Einbruch
vom Mittel</t>
  </si>
  <si>
    <t>KGV
Median</t>
  </si>
  <si>
    <t>Buchwert
Mittel</t>
  </si>
  <si>
    <t>Ergebnis
Mittel</t>
  </si>
  <si>
    <t>Größter
Ergebnis-
einbruch</t>
  </si>
  <si>
    <t>Dividende
Mittel</t>
  </si>
  <si>
    <t>Größter
Dividenden-
rückgang</t>
  </si>
  <si>
    <t>DR
Mittel</t>
  </si>
  <si>
    <t>Quote
Mittel</t>
  </si>
  <si>
    <t>Größter
Buchwert-
einbruch</t>
  </si>
  <si>
    <t>KGV
Ab-
weichung</t>
  </si>
  <si>
    <t>Buchwert
Ab-
weichung</t>
  </si>
  <si>
    <t>Ergebnis
Ab-
weichung</t>
  </si>
  <si>
    <t>Dividende
Ab-
weichung</t>
  </si>
  <si>
    <t>DR
Ab-
weichung</t>
  </si>
  <si>
    <t>ARK
Ab-
weichung</t>
  </si>
  <si>
    <t>Quote
Ab-
weichung</t>
  </si>
  <si>
    <t>Größter Ergebniseinbruch</t>
  </si>
  <si>
    <t>DR Mittel</t>
  </si>
  <si>
    <t>Größter Buchwerteinbruch</t>
  </si>
  <si>
    <t>Größter Dividendenrückgang</t>
  </si>
  <si>
    <t>Spaltenbeschriftungen</t>
  </si>
  <si>
    <t>Werte</t>
  </si>
  <si>
    <t>KGV</t>
  </si>
  <si>
    <t>Ergebnis je Aktie (verwässert)</t>
  </si>
  <si>
    <t>Jahr+2</t>
  </si>
  <si>
    <t>Jahr+1</t>
  </si>
  <si>
    <t>Jahr+0</t>
  </si>
  <si>
    <t>Jahr-1</t>
  </si>
  <si>
    <t>Jahr-2</t>
  </si>
  <si>
    <t>Jahr-3</t>
  </si>
  <si>
    <t>Jahr-4</t>
  </si>
  <si>
    <t>Jahr-5</t>
  </si>
  <si>
    <t>Jahr-6</t>
  </si>
  <si>
    <t>Jahr-7</t>
  </si>
  <si>
    <t>Jahr-8</t>
  </si>
  <si>
    <t>Jahr-9</t>
  </si>
  <si>
    <t>Jahr-10</t>
  </si>
  <si>
    <t>Buchwert</t>
  </si>
  <si>
    <t>Jahr-0</t>
  </si>
  <si>
    <t>Aktien im Umlauf (splitbereinigt)</t>
  </si>
  <si>
    <t>Jahr-11</t>
  </si>
  <si>
    <t>Dividenden</t>
  </si>
  <si>
    <t>Ausschüttungsquote</t>
  </si>
  <si>
    <t>Aktien original</t>
  </si>
  <si>
    <t>Aktien bereinigt</t>
  </si>
  <si>
    <t>Medtronic</t>
  </si>
  <si>
    <t>z_IE00BTN1Y115</t>
  </si>
  <si>
    <t>Kellogg</t>
  </si>
  <si>
    <t>z_US4878361082</t>
  </si>
  <si>
    <t>Mastercard</t>
  </si>
  <si>
    <t>z_US57636Q1040</t>
  </si>
  <si>
    <t>Moody's</t>
  </si>
  <si>
    <t>z_US6153691059</t>
  </si>
  <si>
    <t>Visa</t>
  </si>
  <si>
    <t>IE00BTN1Y115</t>
  </si>
  <si>
    <t>US4878361082</t>
  </si>
  <si>
    <t>US57636Q1040</t>
  </si>
  <si>
    <t>US6153691059</t>
  </si>
  <si>
    <t>US92826C8394</t>
  </si>
  <si>
    <t>Linde</t>
  </si>
  <si>
    <t>CVS Health</t>
  </si>
  <si>
    <t>Novo Nordisk</t>
  </si>
  <si>
    <t>UnitedHealth</t>
  </si>
  <si>
    <t>z_DE0006483001</t>
  </si>
  <si>
    <t>z_US91324P1021</t>
  </si>
  <si>
    <t>DE0006483001</t>
  </si>
  <si>
    <t>US1266501006</t>
  </si>
  <si>
    <t>DK0060534915</t>
  </si>
  <si>
    <t>US91324P1021</t>
  </si>
  <si>
    <t>DKK</t>
  </si>
  <si>
    <t>Accenture</t>
  </si>
  <si>
    <t>IE00B4BNMY34</t>
  </si>
  <si>
    <t>Cisco Systems</t>
  </si>
  <si>
    <t>US17275R1023</t>
  </si>
  <si>
    <t>Notiz</t>
  </si>
  <si>
    <t>Watchlist</t>
  </si>
  <si>
    <t>Depot</t>
  </si>
  <si>
    <t>KGV
Bewertung</t>
  </si>
  <si>
    <t>Abweichung
KGV / KBV+360d
nach Einbruch
vom Median</t>
  </si>
  <si>
    <t>KBV
+360d</t>
  </si>
  <si>
    <t>KBV
Median</t>
  </si>
  <si>
    <t>KBV
Ab-
weichung</t>
  </si>
  <si>
    <t>KBV+360d
nach
Einbruch</t>
  </si>
  <si>
    <t>Abweichung
KBV+360d
nach Einbruch
vom Median</t>
  </si>
  <si>
    <t>KGV /
KBV
Ab-
weichung</t>
  </si>
  <si>
    <t>Preis</t>
  </si>
  <si>
    <t>Abweichung</t>
  </si>
  <si>
    <t>KGV Grenze (&lt;)</t>
  </si>
  <si>
    <t>KBV Grenze (&lt;)</t>
  </si>
  <si>
    <t>Abweichung +360d nach Einbruch vom Median</t>
  </si>
  <si>
    <t>Wert</t>
  </si>
  <si>
    <t>Ergebnis</t>
  </si>
  <si>
    <t>Dividende</t>
  </si>
  <si>
    <t>Dividendenrendite</t>
  </si>
  <si>
    <t>Aktienrückkäufe</t>
  </si>
  <si>
    <t>Abweichung Buchwert+360d nach Einbruch von Mittel</t>
  </si>
  <si>
    <t>KBV+360d</t>
  </si>
  <si>
    <t>a</t>
  </si>
  <si>
    <t>Fiktive Dividende aus Aktienrückkäufen</t>
  </si>
  <si>
    <t>Fiktive Dividende &gt; 0 + reale Dividende</t>
  </si>
  <si>
    <t>Berechnung aus realer + fiktiver Dividende für Quote Mittel</t>
  </si>
  <si>
    <t>Berechnung aus realer Dividende für Quote+360d und Quote Abweichung</t>
  </si>
  <si>
    <t>Ausschüttungsquote inkl. fiktiver Div</t>
  </si>
  <si>
    <t>Hamsterrad Aktienbewertungssystem</t>
  </si>
  <si>
    <t>http://www.hamsterrad-system.de/</t>
  </si>
  <si>
    <t>Fresenius</t>
  </si>
  <si>
    <t>DE0005785604</t>
  </si>
  <si>
    <t>Kraft Heinz</t>
  </si>
  <si>
    <t>US5007541064</t>
  </si>
  <si>
    <t>http://www.community.hamsterrad-system.de/index.php?thread/1-freiwillige-unterst%C3%BCtzung/</t>
  </si>
  <si>
    <t>Freiwillige Unterstützung des Projektes</t>
  </si>
  <si>
    <t>Alphabet</t>
  </si>
  <si>
    <t>US02079K3059</t>
  </si>
  <si>
    <t>Sodexo</t>
  </si>
  <si>
    <t>z_FR0000121220</t>
  </si>
  <si>
    <t>FR0000121220</t>
  </si>
  <si>
    <t>Hershey</t>
  </si>
  <si>
    <t>z_US4278661081</t>
  </si>
  <si>
    <t>US4278661081</t>
  </si>
</sst>
</file>

<file path=xl/styles.xml><?xml version="1.0" encoding="utf-8"?>
<styleSheet xmlns="http://schemas.openxmlformats.org/spreadsheetml/2006/main">
  <numFmts count="11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#,##0.0_ ;[Red]\-#,##0.0\ "/>
    <numFmt numFmtId="170" formatCode="0.0"/>
    <numFmt numFmtId="171" formatCode="0.0_ ;[Red]\-0.0\ "/>
    <numFmt numFmtId="172" formatCode="0.0000%"/>
    <numFmt numFmtId="173" formatCode="0_ ;[Red]\-0\ "/>
    <numFmt numFmtId="174" formatCode="#,##0.0000_ ;[Red]\-#,##0.0000\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2" borderId="0" xfId="0" applyNumberFormat="1" applyFill="1"/>
    <xf numFmtId="167" fontId="0" fillId="0" borderId="0" xfId="0" applyNumberFormat="1" applyBorder="1"/>
    <xf numFmtId="166" fontId="0" fillId="0" borderId="0" xfId="1" applyNumberFormat="1" applyFont="1" applyBorder="1"/>
    <xf numFmtId="167" fontId="0" fillId="2" borderId="0" xfId="0" applyNumberFormat="1" applyFill="1"/>
    <xf numFmtId="167" fontId="0" fillId="0" borderId="0" xfId="1" applyNumberFormat="1" applyFont="1" applyBorder="1"/>
    <xf numFmtId="166" fontId="0" fillId="2" borderId="0" xfId="1" applyNumberFormat="1" applyFont="1" applyFill="1"/>
    <xf numFmtId="168" fontId="0" fillId="0" borderId="0" xfId="0" applyNumberFormat="1" applyBorder="1"/>
    <xf numFmtId="169" fontId="0" fillId="5" borderId="0" xfId="0" applyNumberFormat="1" applyFill="1"/>
    <xf numFmtId="170" fontId="0" fillId="5" borderId="0" xfId="0" applyNumberFormat="1" applyFill="1"/>
    <xf numFmtId="10" fontId="0" fillId="5" borderId="0" xfId="1" applyNumberFormat="1" applyFont="1" applyFill="1"/>
    <xf numFmtId="169" fontId="0" fillId="4" borderId="0" xfId="0" applyNumberFormat="1" applyFill="1"/>
    <xf numFmtId="170" fontId="0" fillId="4" borderId="0" xfId="0" applyNumberFormat="1" applyFill="1"/>
    <xf numFmtId="10" fontId="0" fillId="4" borderId="0" xfId="1" applyNumberFormat="1" applyFont="1" applyFill="1"/>
    <xf numFmtId="169" fontId="0" fillId="7" borderId="0" xfId="0" applyNumberFormat="1" applyFill="1"/>
    <xf numFmtId="170" fontId="0" fillId="7" borderId="0" xfId="0" applyNumberFormat="1" applyFill="1"/>
    <xf numFmtId="10" fontId="0" fillId="7" borderId="0" xfId="1" applyNumberFormat="1" applyFont="1" applyFill="1"/>
    <xf numFmtId="170" fontId="0" fillId="6" borderId="0" xfId="0" applyNumberFormat="1" applyFill="1"/>
    <xf numFmtId="10" fontId="0" fillId="6" borderId="0" xfId="1" applyNumberFormat="1" applyFont="1" applyFill="1"/>
    <xf numFmtId="169" fontId="0" fillId="6" borderId="0" xfId="0" applyNumberFormat="1" applyFill="1"/>
    <xf numFmtId="170" fontId="0" fillId="8" borderId="0" xfId="0" applyNumberFormat="1" applyFill="1"/>
    <xf numFmtId="10" fontId="0" fillId="8" borderId="0" xfId="1" applyNumberFormat="1" applyFont="1" applyFill="1"/>
    <xf numFmtId="169" fontId="0" fillId="8" borderId="0" xfId="0" applyNumberFormat="1" applyFill="1"/>
    <xf numFmtId="171" fontId="0" fillId="0" borderId="0" xfId="0" applyNumberFormat="1" applyBorder="1"/>
    <xf numFmtId="164" fontId="2" fillId="0" borderId="0" xfId="0" applyNumberFormat="1" applyFont="1"/>
    <xf numFmtId="169" fontId="2" fillId="0" borderId="0" xfId="0" applyNumberFormat="1" applyFont="1"/>
    <xf numFmtId="169" fontId="0" fillId="0" borderId="0" xfId="0" applyNumberFormat="1"/>
    <xf numFmtId="0" fontId="2" fillId="3" borderId="0" xfId="0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166" fontId="0" fillId="0" borderId="0" xfId="0" applyNumberFormat="1" applyBorder="1"/>
    <xf numFmtId="169" fontId="0" fillId="0" borderId="0" xfId="0" applyNumberFormat="1" applyBorder="1"/>
    <xf numFmtId="14" fontId="2" fillId="0" borderId="0" xfId="0" applyNumberFormat="1" applyFont="1" applyBorder="1"/>
    <xf numFmtId="0" fontId="3" fillId="3" borderId="0" xfId="0" applyFont="1" applyFill="1" applyBorder="1" applyAlignment="1">
      <alignment vertical="center" textRotation="90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172" fontId="0" fillId="5" borderId="0" xfId="1" applyNumberFormat="1" applyFont="1" applyFill="1"/>
    <xf numFmtId="172" fontId="0" fillId="4" borderId="0" xfId="1" applyNumberFormat="1" applyFont="1" applyFill="1"/>
    <xf numFmtId="172" fontId="0" fillId="7" borderId="0" xfId="1" applyNumberFormat="1" applyFont="1" applyFill="1"/>
    <xf numFmtId="172" fontId="0" fillId="6" borderId="0" xfId="1" applyNumberFormat="1" applyFont="1" applyFill="1"/>
    <xf numFmtId="172" fontId="0" fillId="8" borderId="0" xfId="1" applyNumberFormat="1" applyFont="1" applyFill="1"/>
    <xf numFmtId="169" fontId="0" fillId="0" borderId="0" xfId="1" applyNumberFormat="1" applyFont="1" applyBorder="1"/>
    <xf numFmtId="0" fontId="0" fillId="0" borderId="0" xfId="0" applyFill="1"/>
    <xf numFmtId="164" fontId="0" fillId="0" borderId="0" xfId="0" applyNumberFormat="1" applyFill="1"/>
    <xf numFmtId="169" fontId="0" fillId="0" borderId="0" xfId="0" applyNumberFormat="1" applyFill="1"/>
    <xf numFmtId="0" fontId="0" fillId="0" borderId="0" xfId="0" applyFill="1" applyBorder="1"/>
    <xf numFmtId="173" fontId="0" fillId="0" borderId="0" xfId="0" applyNumberFormat="1"/>
    <xf numFmtId="167" fontId="0" fillId="3" borderId="0" xfId="0" applyNumberFormat="1" applyFill="1" applyBorder="1"/>
    <xf numFmtId="167" fontId="0" fillId="9" borderId="0" xfId="0" applyNumberFormat="1" applyFill="1" applyBorder="1"/>
    <xf numFmtId="164" fontId="0" fillId="7" borderId="0" xfId="0" applyNumberFormat="1" applyFill="1"/>
    <xf numFmtId="173" fontId="0" fillId="0" borderId="0" xfId="0" applyNumberFormat="1" applyBorder="1"/>
    <xf numFmtId="0" fontId="0" fillId="0" borderId="0" xfId="0" applyNumberFormat="1" applyBorder="1"/>
    <xf numFmtId="165" fontId="0" fillId="0" borderId="0" xfId="0" applyNumberFormat="1" applyBorder="1"/>
    <xf numFmtId="174" fontId="0" fillId="3" borderId="0" xfId="0" applyNumberFormat="1" applyFill="1" applyBorder="1"/>
    <xf numFmtId="174" fontId="0" fillId="2" borderId="0" xfId="0" applyNumberFormat="1" applyFill="1" applyBorder="1"/>
    <xf numFmtId="174" fontId="0" fillId="7" borderId="0" xfId="0" applyNumberFormat="1" applyFill="1" applyBorder="1"/>
    <xf numFmtId="0" fontId="0" fillId="0" borderId="0" xfId="0" applyFont="1"/>
    <xf numFmtId="174" fontId="0" fillId="9" borderId="0" xfId="0" applyNumberFormat="1" applyFill="1" applyBorder="1"/>
    <xf numFmtId="0" fontId="2" fillId="0" borderId="0" xfId="0" applyFont="1" applyBorder="1" applyAlignment="1"/>
    <xf numFmtId="167" fontId="0" fillId="7" borderId="0" xfId="0" applyNumberFormat="1" applyFill="1"/>
    <xf numFmtId="164" fontId="0" fillId="2" borderId="0" xfId="0" applyNumberFormat="1" applyFill="1" applyBorder="1"/>
    <xf numFmtId="166" fontId="0" fillId="2" borderId="0" xfId="0" applyNumberFormat="1" applyFill="1" applyBorder="1"/>
    <xf numFmtId="0" fontId="2" fillId="0" borderId="0" xfId="0" applyFont="1" applyAlignment="1">
      <alignment horizontal="center"/>
    </xf>
    <xf numFmtId="174" fontId="2" fillId="0" borderId="0" xfId="0" applyNumberFormat="1" applyFont="1"/>
    <xf numFmtId="174" fontId="0" fillId="0" borderId="0" xfId="0" applyNumberFormat="1"/>
    <xf numFmtId="174" fontId="0" fillId="0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173" fontId="0" fillId="0" borderId="0" xfId="0" applyNumberFormat="1" applyFill="1"/>
    <xf numFmtId="164" fontId="0" fillId="9" borderId="0" xfId="0" applyNumberFormat="1" applyFill="1"/>
    <xf numFmtId="174" fontId="0" fillId="0" borderId="0" xfId="0" applyNumberFormat="1" applyFill="1" applyBorder="1"/>
    <xf numFmtId="167" fontId="0" fillId="0" borderId="0" xfId="0" applyNumberFormat="1" applyFill="1"/>
    <xf numFmtId="167" fontId="0" fillId="0" borderId="0" xfId="0" applyNumberFormat="1" applyFill="1" applyBorder="1"/>
    <xf numFmtId="0" fontId="0" fillId="0" borderId="0" xfId="0" applyNumberFormat="1" applyFill="1" applyBorder="1"/>
    <xf numFmtId="167" fontId="2" fillId="0" borderId="0" xfId="0" applyNumberFormat="1" applyFont="1"/>
    <xf numFmtId="167" fontId="0" fillId="0" borderId="0" xfId="0" applyNumberFormat="1"/>
    <xf numFmtId="173" fontId="2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69" fontId="2" fillId="3" borderId="0" xfId="0" applyNumberFormat="1" applyFont="1" applyFill="1"/>
    <xf numFmtId="10" fontId="0" fillId="0" borderId="0" xfId="1" applyNumberFormat="1" applyFont="1" applyFill="1"/>
    <xf numFmtId="0" fontId="0" fillId="0" borderId="0" xfId="0" applyFont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167" fontId="0" fillId="3" borderId="0" xfId="0" applyNumberFormat="1" applyFill="1"/>
    <xf numFmtId="167" fontId="0" fillId="2" borderId="0" xfId="0" applyNumberFormat="1" applyFill="1" applyBorder="1"/>
    <xf numFmtId="0" fontId="4" fillId="0" borderId="0" xfId="2" applyAlignment="1"/>
    <xf numFmtId="0" fontId="2" fillId="0" borderId="0" xfId="0" applyFont="1" applyAlignment="1"/>
    <xf numFmtId="0" fontId="0" fillId="0" borderId="0" xfId="0" applyFont="1" applyFill="1" applyBorder="1" applyAlignment="1">
      <alignment vertical="center" wrapText="1"/>
    </xf>
    <xf numFmtId="167" fontId="0" fillId="7" borderId="0" xfId="0" applyNumberFormat="1" applyFill="1" applyBorder="1"/>
    <xf numFmtId="167" fontId="0" fillId="9" borderId="0" xfId="0" applyNumberFormat="1" applyFill="1"/>
    <xf numFmtId="167" fontId="0" fillId="5" borderId="0" xfId="0" applyNumberFormat="1" applyFill="1"/>
    <xf numFmtId="173" fontId="0" fillId="0" borderId="0" xfId="0" applyNumberFormat="1" applyFill="1" applyBorder="1"/>
    <xf numFmtId="10" fontId="0" fillId="2" borderId="0" xfId="0" applyNumberFormat="1" applyFill="1" applyBorder="1"/>
    <xf numFmtId="167" fontId="0" fillId="5" borderId="0" xfId="0" applyNumberFormat="1" applyFill="1" applyBorder="1"/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4" fillId="0" borderId="0" xfId="2" applyAlignment="1">
      <alignment horizontal="center" wrapText="1"/>
    </xf>
    <xf numFmtId="0" fontId="4" fillId="0" borderId="0" xfId="2" applyAlignment="1">
      <alignment horizontal="center"/>
    </xf>
  </cellXfs>
  <cellStyles count="3">
    <cellStyle name="Hyperlink" xfId="2" builtinId="8"/>
    <cellStyle name="Prozent" xfId="1" builtinId="5"/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pivotCacheDefinition" Target="pivotCache/pivotCacheDefinition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[Aktien_Bewertung_Stand_10.04.2016.xlsx]Report_Unternehmen!PivotTable2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showVal val="1"/>
        </c:dLbl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</c:pivotFmt>
      <c:pivotFmt>
        <c:idx val="42"/>
        <c:marker>
          <c:symbol val="none"/>
        </c:marker>
      </c:pivotFmt>
      <c:pivotFmt>
        <c:idx val="43"/>
        <c:marker>
          <c:symbol val="none"/>
        </c:marker>
      </c:pivotFmt>
      <c:pivotFmt>
        <c:idx val="44"/>
        <c:marker>
          <c:symbol val="none"/>
        </c:marker>
      </c:pivotFmt>
      <c:pivotFmt>
        <c:idx val="45"/>
        <c:marker>
          <c:symbol val="none"/>
        </c:marker>
      </c:pivotFmt>
      <c:pivotFmt>
        <c:idx val="46"/>
        <c:marker>
          <c:symbol val="none"/>
        </c:marker>
      </c:pivotFmt>
      <c:pivotFmt>
        <c:idx val="47"/>
        <c:marker>
          <c:symbol val="none"/>
        </c:marker>
      </c:pivotFmt>
      <c:pivotFmt>
        <c:idx val="48"/>
        <c:marker>
          <c:symbol val="none"/>
        </c:marker>
      </c:pivotFmt>
      <c:pivotFmt>
        <c:idx val="49"/>
        <c:marker>
          <c:symbol val="none"/>
        </c:marker>
      </c:pivotFmt>
      <c:pivotFmt>
        <c:idx val="50"/>
        <c:marker>
          <c:symbol val="none"/>
        </c:marker>
      </c:pivotFmt>
      <c:pivotFmt>
        <c:idx val="51"/>
        <c:marker>
          <c:symbol val="none"/>
        </c:marker>
      </c:pivotFmt>
      <c:pivotFmt>
        <c:idx val="52"/>
        <c:marker>
          <c:symbol val="none"/>
        </c:marker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</c:pivotFmt>
      <c:pivotFmt>
        <c:idx val="56"/>
        <c:marker>
          <c:symbol val="none"/>
        </c:marker>
      </c:pivotFmt>
      <c:pivotFmt>
        <c:idx val="57"/>
        <c:marker>
          <c:symbol val="none"/>
        </c:marker>
      </c:pivotFmt>
      <c:pivotFmt>
        <c:idx val="58"/>
        <c:marker>
          <c:symbol val="none"/>
        </c:marker>
      </c:pivotFmt>
      <c:pivotFmt>
        <c:idx val="59"/>
        <c:marker>
          <c:symbol val="none"/>
        </c:marker>
      </c:pivotFmt>
      <c:pivotFmt>
        <c:idx val="60"/>
        <c:marker>
          <c:symbol val="none"/>
        </c:marker>
      </c:pivotFmt>
      <c:pivotFmt>
        <c:idx val="61"/>
        <c:marker>
          <c:symbol val="none"/>
        </c:marker>
      </c:pivotFmt>
      <c:pivotFmt>
        <c:idx val="62"/>
        <c:marker>
          <c:symbol val="none"/>
        </c:marker>
      </c:pivotFmt>
      <c:pivotFmt>
        <c:idx val="63"/>
        <c:marker>
          <c:symbol val="none"/>
        </c:marker>
      </c:pivotFmt>
      <c:pivotFmt>
        <c:idx val="64"/>
        <c:marker>
          <c:symbol val="none"/>
        </c:marker>
      </c:pivotFmt>
      <c:pivotFmt>
        <c:idx val="65"/>
        <c:marker>
          <c:symbol val="none"/>
        </c:marker>
      </c:pivotFmt>
      <c:pivotFmt>
        <c:idx val="66"/>
        <c:marker>
          <c:symbol val="none"/>
        </c:marker>
      </c:pivotFmt>
      <c:pivotFmt>
        <c:idx val="67"/>
        <c:marker>
          <c:symbol val="none"/>
        </c:marker>
      </c:pivotFmt>
      <c:pivotFmt>
        <c:idx val="68"/>
        <c:marker>
          <c:symbol val="none"/>
        </c:marker>
      </c:pivotFmt>
      <c:pivotFmt>
        <c:idx val="69"/>
        <c:marker>
          <c:symbol val="none"/>
        </c:marker>
      </c:pivotFmt>
      <c:pivotFmt>
        <c:idx val="70"/>
        <c:marker>
          <c:symbol val="none"/>
        </c:marker>
      </c:pivotFmt>
      <c:pivotFmt>
        <c:idx val="71"/>
        <c:marker>
          <c:symbol val="none"/>
        </c:marker>
      </c:pivotFmt>
      <c:pivotFmt>
        <c:idx val="72"/>
        <c:marker>
          <c:symbol val="none"/>
        </c:marker>
      </c:pivotFmt>
      <c:pivotFmt>
        <c:idx val="73"/>
        <c:marker>
          <c:symbol val="none"/>
        </c:marker>
      </c:pivotFmt>
      <c:pivotFmt>
        <c:idx val="74"/>
        <c:marker>
          <c:symbol val="none"/>
        </c:marker>
      </c:pivotFmt>
      <c:pivotFmt>
        <c:idx val="75"/>
        <c:marker>
          <c:symbol val="none"/>
        </c:marker>
      </c:pivotFmt>
      <c:pivotFmt>
        <c:idx val="76"/>
        <c:marker>
          <c:symbol val="none"/>
        </c:marker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Report_Unternehmen!$B$2:$B$3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Report_Unternehmen!$A$4:$A$16</c:f>
              <c:strCache>
                <c:ptCount val="13"/>
                <c:pt idx="0">
                  <c:v>Jahr+2</c:v>
                </c:pt>
                <c:pt idx="1">
                  <c:v>Jahr+1</c:v>
                </c:pt>
                <c:pt idx="2">
                  <c:v>Jahr+0</c:v>
                </c:pt>
                <c:pt idx="3">
                  <c:v>Jahr-1</c:v>
                </c:pt>
                <c:pt idx="4">
                  <c:v>Jahr-2</c:v>
                </c:pt>
                <c:pt idx="5">
                  <c:v>Jahr-3</c:v>
                </c:pt>
                <c:pt idx="6">
                  <c:v>Jahr-4</c:v>
                </c:pt>
                <c:pt idx="7">
                  <c:v>Jahr-5</c:v>
                </c:pt>
                <c:pt idx="8">
                  <c:v>Jahr-6</c:v>
                </c:pt>
                <c:pt idx="9">
                  <c:v>Jahr-7</c:v>
                </c:pt>
                <c:pt idx="10">
                  <c:v>Jahr-8</c:v>
                </c:pt>
                <c:pt idx="11">
                  <c:v>Jahr-9</c:v>
                </c:pt>
                <c:pt idx="12">
                  <c:v>Jahr-10</c:v>
                </c:pt>
              </c:strCache>
            </c:strRef>
          </c:cat>
          <c:val>
            <c:numRef>
              <c:f>Report_Unternehmen!$B$4:$B$16</c:f>
              <c:numCache>
                <c:formatCode>#,##0.00_ ;[Red]\-#,##0.00\ </c:formatCode>
                <c:ptCount val="13"/>
                <c:pt idx="0">
                  <c:v>15.765895953757225</c:v>
                </c:pt>
                <c:pt idx="1">
                  <c:v>16.888544891640866</c:v>
                </c:pt>
                <c:pt idx="2">
                  <c:v>17.148580968280466</c:v>
                </c:pt>
                <c:pt idx="3">
                  <c:v>17.998278829604132</c:v>
                </c:pt>
                <c:pt idx="4">
                  <c:v>15.33500837520938</c:v>
                </c:pt>
                <c:pt idx="5">
                  <c:v>12.341549295774648</c:v>
                </c:pt>
                <c:pt idx="6">
                  <c:v>12.858823529411765</c:v>
                </c:pt>
                <c:pt idx="7">
                  <c:v>12.370000000000001</c:v>
                </c:pt>
                <c:pt idx="8">
                  <c:v>13.531512605042018</c:v>
                </c:pt>
                <c:pt idx="9">
                  <c:v>12.922246220302375</c:v>
                </c:pt>
                <c:pt idx="10">
                  <c:v>14.659340659340661</c:v>
                </c:pt>
                <c:pt idx="11">
                  <c:v>15.922891566265058</c:v>
                </c:pt>
                <c:pt idx="12">
                  <c:v>15.984042553191491</c:v>
                </c:pt>
              </c:numCache>
            </c:numRef>
          </c:val>
        </c:ser>
        <c:dLbls>
          <c:showVal val="1"/>
        </c:dLbls>
        <c:marker val="1"/>
        <c:axId val="60560128"/>
        <c:axId val="60561664"/>
      </c:lineChart>
      <c:catAx>
        <c:axId val="60560128"/>
        <c:scaling>
          <c:orientation val="maxMin"/>
        </c:scaling>
        <c:axPos val="b"/>
        <c:majorGridlines/>
        <c:tickLblPos val="nextTo"/>
        <c:crossAx val="60561664"/>
        <c:crosses val="autoZero"/>
        <c:auto val="1"/>
        <c:lblAlgn val="ctr"/>
        <c:lblOffset val="100"/>
      </c:catAx>
      <c:valAx>
        <c:axId val="60561664"/>
        <c:scaling>
          <c:orientation val="minMax"/>
        </c:scaling>
        <c:axPos val="r"/>
        <c:majorGridlines/>
        <c:numFmt formatCode="#,##0.00_ ;[Red]\-#,##0.00\ " sourceLinked="1"/>
        <c:tickLblPos val="nextTo"/>
        <c:crossAx val="60560128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[Aktien_Bewertung_Stand_10.04.2016.xlsx]Report_Unternehmen!PivotTable3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Report_Unternehmen!$B$19:$B$20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Report_Unternehmen!$A$21:$A$33</c:f>
              <c:strCache>
                <c:ptCount val="13"/>
                <c:pt idx="0">
                  <c:v>Jahr+2</c:v>
                </c:pt>
                <c:pt idx="1">
                  <c:v>Jahr+1</c:v>
                </c:pt>
                <c:pt idx="2">
                  <c:v>Jahr+0</c:v>
                </c:pt>
                <c:pt idx="3">
                  <c:v>Jahr-1</c:v>
                </c:pt>
                <c:pt idx="4">
                  <c:v>Jahr-2</c:v>
                </c:pt>
                <c:pt idx="5">
                  <c:v>Jahr-3</c:v>
                </c:pt>
                <c:pt idx="6">
                  <c:v>Jahr-4</c:v>
                </c:pt>
                <c:pt idx="7">
                  <c:v>Jahr-5</c:v>
                </c:pt>
                <c:pt idx="8">
                  <c:v>Jahr-6</c:v>
                </c:pt>
                <c:pt idx="9">
                  <c:v>Jahr-7</c:v>
                </c:pt>
                <c:pt idx="10">
                  <c:v>Jahr-8</c:v>
                </c:pt>
                <c:pt idx="11">
                  <c:v>Jahr-9</c:v>
                </c:pt>
                <c:pt idx="12">
                  <c:v>Jahr-10</c:v>
                </c:pt>
              </c:strCache>
            </c:strRef>
          </c:cat>
          <c:val>
            <c:numRef>
              <c:f>Report_Unternehmen!$B$21:$B$33</c:f>
              <c:numCache>
                <c:formatCode>#,##0.00_ ;[Red]\-#,##0.00\ </c:formatCode>
                <c:ptCount val="13"/>
                <c:pt idx="0">
                  <c:v>6.92</c:v>
                </c:pt>
                <c:pt idx="1">
                  <c:v>6.46</c:v>
                </c:pt>
                <c:pt idx="2">
                  <c:v>5.99</c:v>
                </c:pt>
                <c:pt idx="3">
                  <c:v>5.81</c:v>
                </c:pt>
                <c:pt idx="4">
                  <c:v>5.97</c:v>
                </c:pt>
                <c:pt idx="5">
                  <c:v>5.68</c:v>
                </c:pt>
                <c:pt idx="6">
                  <c:v>5.0999999999999996</c:v>
                </c:pt>
                <c:pt idx="7">
                  <c:v>5</c:v>
                </c:pt>
                <c:pt idx="8">
                  <c:v>4.76</c:v>
                </c:pt>
                <c:pt idx="9">
                  <c:v>4.63</c:v>
                </c:pt>
                <c:pt idx="10">
                  <c:v>4.55</c:v>
                </c:pt>
                <c:pt idx="11">
                  <c:v>4.1500000000000004</c:v>
                </c:pt>
                <c:pt idx="12">
                  <c:v>3.76</c:v>
                </c:pt>
              </c:numCache>
            </c:numRef>
          </c:val>
        </c:ser>
        <c:marker val="1"/>
        <c:axId val="60753792"/>
        <c:axId val="60755328"/>
      </c:lineChart>
      <c:catAx>
        <c:axId val="60753792"/>
        <c:scaling>
          <c:orientation val="maxMin"/>
        </c:scaling>
        <c:axPos val="b"/>
        <c:majorGridlines/>
        <c:tickLblPos val="nextTo"/>
        <c:crossAx val="60755328"/>
        <c:crosses val="autoZero"/>
        <c:auto val="1"/>
        <c:lblAlgn val="ctr"/>
        <c:lblOffset val="100"/>
      </c:catAx>
      <c:valAx>
        <c:axId val="60755328"/>
        <c:scaling>
          <c:orientation val="minMax"/>
        </c:scaling>
        <c:axPos val="r"/>
        <c:majorGridlines/>
        <c:numFmt formatCode="#,##0.00_ ;[Red]\-#,##0.00\ " sourceLinked="1"/>
        <c:tickLblPos val="nextTo"/>
        <c:crossAx val="60753792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[Aktien_Bewertung_Stand_10.04.2016.xlsx]Report_Unternehmen!PivotTable4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Report_Unternehmen!$B$36:$B$37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Report_Unternehmen!$A$38:$A$50</c:f>
              <c:strCache>
                <c:ptCount val="13"/>
                <c:pt idx="0">
                  <c:v>Jahr+2</c:v>
                </c:pt>
                <c:pt idx="1">
                  <c:v>Jahr+1</c:v>
                </c:pt>
                <c:pt idx="2">
                  <c:v>Jahr+0</c:v>
                </c:pt>
                <c:pt idx="3">
                  <c:v>Jahr-1</c:v>
                </c:pt>
                <c:pt idx="4">
                  <c:v>Jahr-2</c:v>
                </c:pt>
                <c:pt idx="5">
                  <c:v>Jahr-3</c:v>
                </c:pt>
                <c:pt idx="6">
                  <c:v>Jahr-4</c:v>
                </c:pt>
                <c:pt idx="7">
                  <c:v>Jahr-5</c:v>
                </c:pt>
                <c:pt idx="8">
                  <c:v>Jahr-6</c:v>
                </c:pt>
                <c:pt idx="9">
                  <c:v>Jahr-7</c:v>
                </c:pt>
                <c:pt idx="10">
                  <c:v>Jahr-8</c:v>
                </c:pt>
                <c:pt idx="11">
                  <c:v>Jahr-9</c:v>
                </c:pt>
                <c:pt idx="12">
                  <c:v>Jahr-10</c:v>
                </c:pt>
              </c:strCache>
            </c:strRef>
          </c:cat>
          <c:val>
            <c:numRef>
              <c:f>Report_Unternehmen!$B$38:$B$50</c:f>
              <c:numCache>
                <c:formatCode>#,##0.00_ ;[Red]\-#,##0.00\ </c:formatCode>
                <c:ptCount val="13"/>
                <c:pt idx="0">
                  <c:v>33.200000000000003</c:v>
                </c:pt>
                <c:pt idx="1">
                  <c:v>29.2</c:v>
                </c:pt>
                <c:pt idx="2">
                  <c:v>26.6</c:v>
                </c:pt>
                <c:pt idx="3">
                  <c:v>25.82</c:v>
                </c:pt>
                <c:pt idx="4">
                  <c:v>25.06</c:v>
                </c:pt>
                <c:pt idx="5">
                  <c:v>26.25</c:v>
                </c:pt>
                <c:pt idx="6">
                  <c:v>23.33</c:v>
                </c:pt>
                <c:pt idx="7">
                  <c:v>20.95</c:v>
                </c:pt>
                <c:pt idx="8">
                  <c:v>20.66</c:v>
                </c:pt>
                <c:pt idx="9">
                  <c:v>18.37</c:v>
                </c:pt>
                <c:pt idx="10">
                  <c:v>15.35</c:v>
                </c:pt>
                <c:pt idx="11">
                  <c:v>15.25</c:v>
                </c:pt>
                <c:pt idx="12">
                  <c:v>13.59</c:v>
                </c:pt>
              </c:numCache>
            </c:numRef>
          </c:val>
        </c:ser>
        <c:marker val="1"/>
        <c:axId val="60767232"/>
        <c:axId val="60797696"/>
      </c:lineChart>
      <c:catAx>
        <c:axId val="60767232"/>
        <c:scaling>
          <c:orientation val="maxMin"/>
        </c:scaling>
        <c:axPos val="b"/>
        <c:majorGridlines/>
        <c:tickLblPos val="nextTo"/>
        <c:crossAx val="60797696"/>
        <c:crosses val="autoZero"/>
        <c:auto val="1"/>
        <c:lblAlgn val="ctr"/>
        <c:lblOffset val="100"/>
      </c:catAx>
      <c:valAx>
        <c:axId val="60797696"/>
        <c:scaling>
          <c:orientation val="minMax"/>
        </c:scaling>
        <c:axPos val="r"/>
        <c:majorGridlines/>
        <c:numFmt formatCode="#,##0.00_ ;[Red]\-#,##0.00\ " sourceLinked="1"/>
        <c:tickLblPos val="nextTo"/>
        <c:crossAx val="60767232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[Aktien_Bewertung_Stand_10.04.2016.xlsx]Report_Unternehmen!PivotTable5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Report_Unternehmen!$E$2:$E$3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Report_Unternehmen!$D$4:$D$15</c:f>
              <c:strCache>
                <c:ptCount val="12"/>
                <c:pt idx="0">
                  <c:v>Jahr-0</c:v>
                </c:pt>
                <c:pt idx="1">
                  <c:v>Jahr-1</c:v>
                </c:pt>
                <c:pt idx="2">
                  <c:v>Jahr-2</c:v>
                </c:pt>
                <c:pt idx="3">
                  <c:v>Jahr-3</c:v>
                </c:pt>
                <c:pt idx="4">
                  <c:v>Jahr-4</c:v>
                </c:pt>
                <c:pt idx="5">
                  <c:v>Jahr-5</c:v>
                </c:pt>
                <c:pt idx="6">
                  <c:v>Jahr-6</c:v>
                </c:pt>
                <c:pt idx="7">
                  <c:v>Jahr-7</c:v>
                </c:pt>
                <c:pt idx="8">
                  <c:v>Jahr-8</c:v>
                </c:pt>
                <c:pt idx="9">
                  <c:v>Jahr-9</c:v>
                </c:pt>
                <c:pt idx="10">
                  <c:v>Jahr-10</c:v>
                </c:pt>
                <c:pt idx="11">
                  <c:v>Jahr-11</c:v>
                </c:pt>
              </c:strCache>
            </c:strRef>
          </c:cat>
          <c:val>
            <c:numRef>
              <c:f>Report_Unternehmen!$E$4:$E$15</c:f>
              <c:numCache>
                <c:formatCode>#,##0.00_ ;[Red]\-#,##0.00\ </c:formatCode>
                <c:ptCount val="12"/>
                <c:pt idx="1">
                  <c:v>2755</c:v>
                </c:pt>
                <c:pt idx="2">
                  <c:v>2783</c:v>
                </c:pt>
                <c:pt idx="3">
                  <c:v>2821</c:v>
                </c:pt>
                <c:pt idx="4">
                  <c:v>2778</c:v>
                </c:pt>
                <c:pt idx="5">
                  <c:v>2724</c:v>
                </c:pt>
                <c:pt idx="6">
                  <c:v>2738</c:v>
                </c:pt>
                <c:pt idx="7">
                  <c:v>2754</c:v>
                </c:pt>
                <c:pt idx="8">
                  <c:v>2769</c:v>
                </c:pt>
                <c:pt idx="9">
                  <c:v>2840</c:v>
                </c:pt>
                <c:pt idx="10">
                  <c:v>2893</c:v>
                </c:pt>
                <c:pt idx="11">
                  <c:v>2975</c:v>
                </c:pt>
              </c:numCache>
            </c:numRef>
          </c:val>
        </c:ser>
        <c:marker val="1"/>
        <c:axId val="60813696"/>
        <c:axId val="60815232"/>
      </c:lineChart>
      <c:catAx>
        <c:axId val="60813696"/>
        <c:scaling>
          <c:orientation val="maxMin"/>
        </c:scaling>
        <c:axPos val="b"/>
        <c:majorGridlines/>
        <c:tickLblPos val="nextTo"/>
        <c:crossAx val="60815232"/>
        <c:crosses val="autoZero"/>
        <c:auto val="1"/>
        <c:lblAlgn val="ctr"/>
        <c:lblOffset val="100"/>
      </c:catAx>
      <c:valAx>
        <c:axId val="60815232"/>
        <c:scaling>
          <c:orientation val="minMax"/>
        </c:scaling>
        <c:axPos val="r"/>
        <c:majorGridlines/>
        <c:numFmt formatCode="#,##0.00_ ;[Red]\-#,##0.00\ " sourceLinked="1"/>
        <c:tickLblPos val="nextTo"/>
        <c:crossAx val="60813696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[Aktien_Bewertung_Stand_10.04.2016.xlsx]Report_Unternehmen!PivotTable6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Report_Unternehmen!$E$18:$E$19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Report_Unternehmen!$D$20:$D$33</c:f>
              <c:strCache>
                <c:ptCount val="14"/>
                <c:pt idx="0">
                  <c:v>Jahr+2</c:v>
                </c:pt>
                <c:pt idx="1">
                  <c:v>Jahr+1</c:v>
                </c:pt>
                <c:pt idx="2">
                  <c:v>Jahr+0</c:v>
                </c:pt>
                <c:pt idx="3">
                  <c:v>Jahr-1</c:v>
                </c:pt>
                <c:pt idx="4">
                  <c:v>Jahr-2</c:v>
                </c:pt>
                <c:pt idx="5">
                  <c:v>Jahr-3</c:v>
                </c:pt>
                <c:pt idx="6">
                  <c:v>Jahr-4</c:v>
                </c:pt>
                <c:pt idx="7">
                  <c:v>Jahr-5</c:v>
                </c:pt>
                <c:pt idx="8">
                  <c:v>Jahr-6</c:v>
                </c:pt>
                <c:pt idx="9">
                  <c:v>Jahr-7</c:v>
                </c:pt>
                <c:pt idx="10">
                  <c:v>Jahr-8</c:v>
                </c:pt>
                <c:pt idx="11">
                  <c:v>Jahr-9</c:v>
                </c:pt>
                <c:pt idx="12">
                  <c:v>Jahr-10</c:v>
                </c:pt>
                <c:pt idx="13">
                  <c:v>Jahr-11</c:v>
                </c:pt>
              </c:strCache>
            </c:strRef>
          </c:cat>
          <c:val>
            <c:numRef>
              <c:f>Report_Unternehmen!$E$20:$E$33</c:f>
              <c:numCache>
                <c:formatCode>#,##0.00_ ;[Red]\-#,##0.00\ </c:formatCode>
                <c:ptCount val="14"/>
                <c:pt idx="0">
                  <c:v>3.45</c:v>
                </c:pt>
                <c:pt idx="1">
                  <c:v>3.24</c:v>
                </c:pt>
                <c:pt idx="2">
                  <c:v>3.07</c:v>
                </c:pt>
                <c:pt idx="3">
                  <c:v>2.95</c:v>
                </c:pt>
                <c:pt idx="4">
                  <c:v>2.76</c:v>
                </c:pt>
                <c:pt idx="5">
                  <c:v>2.59</c:v>
                </c:pt>
                <c:pt idx="6">
                  <c:v>2.4</c:v>
                </c:pt>
                <c:pt idx="7">
                  <c:v>2.25</c:v>
                </c:pt>
                <c:pt idx="8">
                  <c:v>2.11</c:v>
                </c:pt>
                <c:pt idx="9">
                  <c:v>1.93</c:v>
                </c:pt>
                <c:pt idx="10">
                  <c:v>1.7949999999999999</c:v>
                </c:pt>
                <c:pt idx="11">
                  <c:v>1.62</c:v>
                </c:pt>
                <c:pt idx="12">
                  <c:v>1.4550000000000001</c:v>
                </c:pt>
                <c:pt idx="13">
                  <c:v>1.2749999999999999</c:v>
                </c:pt>
              </c:numCache>
            </c:numRef>
          </c:val>
        </c:ser>
        <c:dLbls>
          <c:showVal val="1"/>
        </c:dLbls>
        <c:marker val="1"/>
        <c:axId val="60864000"/>
        <c:axId val="60865536"/>
      </c:lineChart>
      <c:catAx>
        <c:axId val="60864000"/>
        <c:scaling>
          <c:orientation val="maxMin"/>
        </c:scaling>
        <c:axPos val="b"/>
        <c:majorGridlines/>
        <c:tickLblPos val="nextTo"/>
        <c:crossAx val="60865536"/>
        <c:crosses val="autoZero"/>
        <c:auto val="1"/>
        <c:lblAlgn val="ctr"/>
        <c:lblOffset val="100"/>
      </c:catAx>
      <c:valAx>
        <c:axId val="60865536"/>
        <c:scaling>
          <c:orientation val="minMax"/>
        </c:scaling>
        <c:axPos val="r"/>
        <c:majorGridlines/>
        <c:numFmt formatCode="#,##0.00_ ;[Red]\-#,##0.00\ " sourceLinked="1"/>
        <c:tickLblPos val="nextTo"/>
        <c:crossAx val="60864000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pivotSource>
    <c:name>[Aktien_Bewertung_Stand_10.04.2016.xlsx]Report_Unternehmen!PivotTable7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de-DE"/>
            </a:p>
          </c:txPr>
          <c:dLblPos val="t"/>
          <c:showVal val="1"/>
        </c:dLbl>
      </c:pivotFmt>
    </c:pivotFmts>
    <c:plotArea>
      <c:layout/>
      <c:lineChart>
        <c:grouping val="standard"/>
        <c:ser>
          <c:idx val="0"/>
          <c:order val="0"/>
          <c:tx>
            <c:strRef>
              <c:f>Report_Unternehmen!$E$36:$E$37</c:f>
              <c:strCache>
                <c:ptCount val="1"/>
                <c:pt idx="0">
                  <c:v>Johnson &amp; Johnson</c:v>
                </c:pt>
              </c:strCache>
            </c:strRef>
          </c:tx>
          <c:marker>
            <c:symbol val="none"/>
          </c:marker>
          <c:dLbls>
            <c:spPr/>
            <c:txPr>
              <a:bodyPr/>
              <a:lstStyle/>
              <a:p>
                <a:pPr>
                  <a:defRPr/>
                </a:pPr>
                <a:endParaRPr lang="de-DE"/>
              </a:p>
            </c:txPr>
            <c:dLblPos val="t"/>
            <c:showVal val="1"/>
          </c:dLbls>
          <c:cat>
            <c:strRef>
              <c:f>Report_Unternehmen!$D$38:$D$50</c:f>
              <c:strCache>
                <c:ptCount val="13"/>
                <c:pt idx="0">
                  <c:v>Jahr+2</c:v>
                </c:pt>
                <c:pt idx="1">
                  <c:v>Jahr+1</c:v>
                </c:pt>
                <c:pt idx="2">
                  <c:v>Jahr+0</c:v>
                </c:pt>
                <c:pt idx="3">
                  <c:v>Jahr-1</c:v>
                </c:pt>
                <c:pt idx="4">
                  <c:v>Jahr-2</c:v>
                </c:pt>
                <c:pt idx="5">
                  <c:v>Jahr-3</c:v>
                </c:pt>
                <c:pt idx="6">
                  <c:v>Jahr-4</c:v>
                </c:pt>
                <c:pt idx="7">
                  <c:v>Jahr-5</c:v>
                </c:pt>
                <c:pt idx="8">
                  <c:v>Jahr-6</c:v>
                </c:pt>
                <c:pt idx="9">
                  <c:v>Jahr-7</c:v>
                </c:pt>
                <c:pt idx="10">
                  <c:v>Jahr-8</c:v>
                </c:pt>
                <c:pt idx="11">
                  <c:v>Jahr-9</c:v>
                </c:pt>
                <c:pt idx="12">
                  <c:v>Jahr-10</c:v>
                </c:pt>
              </c:strCache>
            </c:strRef>
          </c:cat>
          <c:val>
            <c:numRef>
              <c:f>Report_Unternehmen!$E$38:$E$50</c:f>
              <c:numCache>
                <c:formatCode>0.00%</c:formatCode>
                <c:ptCount val="13"/>
                <c:pt idx="0">
                  <c:v>0.49855491329479773</c:v>
                </c:pt>
                <c:pt idx="1">
                  <c:v>0.50154798761609909</c:v>
                </c:pt>
                <c:pt idx="2">
                  <c:v>0.51252086811352249</c:v>
                </c:pt>
                <c:pt idx="3">
                  <c:v>0.68743170764468298</c:v>
                </c:pt>
                <c:pt idx="4">
                  <c:v>0.70147961029244921</c:v>
                </c:pt>
                <c:pt idx="5">
                  <c:v>0.45598591549295775</c:v>
                </c:pt>
                <c:pt idx="6">
                  <c:v>0.47058823529411764</c:v>
                </c:pt>
                <c:pt idx="7">
                  <c:v>0.51740969162995598</c:v>
                </c:pt>
                <c:pt idx="8">
                  <c:v>0.51920834075047118</c:v>
                </c:pt>
                <c:pt idx="9">
                  <c:v>0.49261706122333737</c:v>
                </c:pt>
                <c:pt idx="10">
                  <c:v>0.73167089320935486</c:v>
                </c:pt>
                <c:pt idx="11">
                  <c:v>0.69030205328355676</c:v>
                </c:pt>
                <c:pt idx="12">
                  <c:v>0.88510371696905965</c:v>
                </c:pt>
              </c:numCache>
            </c:numRef>
          </c:val>
        </c:ser>
        <c:marker val="1"/>
        <c:axId val="60889728"/>
        <c:axId val="60899712"/>
      </c:lineChart>
      <c:catAx>
        <c:axId val="60889728"/>
        <c:scaling>
          <c:orientation val="maxMin"/>
        </c:scaling>
        <c:axPos val="b"/>
        <c:majorGridlines/>
        <c:tickLblPos val="nextTo"/>
        <c:crossAx val="60899712"/>
        <c:crosses val="autoZero"/>
        <c:auto val="1"/>
        <c:lblAlgn val="ctr"/>
        <c:lblOffset val="100"/>
      </c:catAx>
      <c:valAx>
        <c:axId val="60899712"/>
        <c:scaling>
          <c:orientation val="minMax"/>
        </c:scaling>
        <c:axPos val="r"/>
        <c:majorGridlines/>
        <c:numFmt formatCode="0.00%" sourceLinked="1"/>
        <c:tickLblPos val="nextTo"/>
        <c:crossAx val="60889728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0</xdr:row>
      <xdr:rowOff>0</xdr:rowOff>
    </xdr:from>
    <xdr:to>
      <xdr:col>2</xdr:col>
      <xdr:colOff>6508574</xdr:colOff>
      <xdr:row>16</xdr:row>
      <xdr:rowOff>12000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28574</xdr:colOff>
      <xdr:row>17</xdr:row>
      <xdr:rowOff>11627</xdr:rowOff>
    </xdr:from>
    <xdr:to>
      <xdr:col>2</xdr:col>
      <xdr:colOff>6508574</xdr:colOff>
      <xdr:row>33</xdr:row>
      <xdr:rowOff>23627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28574</xdr:colOff>
      <xdr:row>34</xdr:row>
      <xdr:rowOff>6723</xdr:rowOff>
    </xdr:from>
    <xdr:to>
      <xdr:col>2</xdr:col>
      <xdr:colOff>6508574</xdr:colOff>
      <xdr:row>50</xdr:row>
      <xdr:rowOff>18723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78441</xdr:colOff>
      <xdr:row>0</xdr:row>
      <xdr:rowOff>0</xdr:rowOff>
    </xdr:from>
    <xdr:to>
      <xdr:col>5</xdr:col>
      <xdr:colOff>6558441</xdr:colOff>
      <xdr:row>16</xdr:row>
      <xdr:rowOff>12000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78441</xdr:colOff>
      <xdr:row>17</xdr:row>
      <xdr:rowOff>11627</xdr:rowOff>
    </xdr:from>
    <xdr:to>
      <xdr:col>5</xdr:col>
      <xdr:colOff>6558441</xdr:colOff>
      <xdr:row>33</xdr:row>
      <xdr:rowOff>23627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78441</xdr:colOff>
      <xdr:row>34</xdr:row>
      <xdr:rowOff>6723</xdr:rowOff>
    </xdr:from>
    <xdr:to>
      <xdr:col>5</xdr:col>
      <xdr:colOff>6558441</xdr:colOff>
      <xdr:row>50</xdr:row>
      <xdr:rowOff>18723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00463" missingItemsLimit="0" createdVersion="4" refreshedVersion="4" minRefreshableVersion="3" recordCount="100">
  <cacheSource type="worksheet">
    <worksheetSource ref="A3:R103" sheet="Ausschüttungsquote"/>
  </cacheSource>
  <cacheFields count="18">
    <cacheField name="Wertpapier" numFmtId="0">
      <sharedItems containsBlank="1" count="66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</sharedItems>
    </cacheField>
    <cacheField name="ISIN" numFmtId="0">
      <sharedItems containsBlank="1"/>
    </cacheField>
    <cacheField name="Tag" numFmtId="173">
      <sharedItems containsString="0" containsBlank="1" containsNumber="1" containsInteger="1" minValue="30" maxValue="31"/>
    </cacheField>
    <cacheField name="Monat" numFmtId="173">
      <sharedItems containsString="0" containsBlank="1" containsNumber="1" containsInteger="1" minValue="1" maxValue="12"/>
    </cacheField>
    <cacheField name="Jahr" numFmtId="173">
      <sharedItems containsString="0" containsBlank="1" containsNumber="1" containsInteger="1" minValue="2016" maxValue="2016"/>
    </cacheField>
    <cacheField name="Jahr + 2" numFmtId="166">
      <sharedItems containsMixedTypes="1" containsNumber="1" minValue="0" maxValue="1.7797888386123681"/>
    </cacheField>
    <cacheField name="Jahr + 1" numFmtId="166">
      <sharedItems containsMixedTypes="1" containsNumber="1" minValue="0" maxValue="2"/>
    </cacheField>
    <cacheField name="Jahr + 0" numFmtId="166">
      <sharedItems containsMixedTypes="1" containsNumber="1" minValue="0" maxValue="2"/>
    </cacheField>
    <cacheField name="Jahr - 1" numFmtId="166">
      <sharedItems containsMixedTypes="1" containsNumber="1" minValue="0" maxValue="2"/>
    </cacheField>
    <cacheField name="Jahr - 2" numFmtId="166">
      <sharedItems containsMixedTypes="1" containsNumber="1" minValue="0" maxValue="2"/>
    </cacheField>
    <cacheField name="Jahr - 3" numFmtId="166">
      <sharedItems containsMixedTypes="1" containsNumber="1" minValue="0" maxValue="2"/>
    </cacheField>
    <cacheField name="Jahr - 4" numFmtId="166">
      <sharedItems containsMixedTypes="1" containsNumber="1" minValue="0" maxValue="2"/>
    </cacheField>
    <cacheField name="Jahr - 5" numFmtId="166">
      <sharedItems containsMixedTypes="1" containsNumber="1" minValue="0" maxValue="1.6129185831969024"/>
    </cacheField>
    <cacheField name="Jahr - 6" numFmtId="166">
      <sharedItems containsMixedTypes="1" containsNumber="1" minValue="0" maxValue="1.4433505210644613"/>
    </cacheField>
    <cacheField name="Jahr - 7" numFmtId="166">
      <sharedItems containsMixedTypes="1" containsNumber="1" minValue="0" maxValue="1.612324285665963"/>
    </cacheField>
    <cacheField name="Jahr - 8" numFmtId="166">
      <sharedItems containsMixedTypes="1" containsNumber="1" minValue="0" maxValue="2"/>
    </cacheField>
    <cacheField name="Jahr - 9" numFmtId="166">
      <sharedItems containsMixedTypes="1" containsNumber="1" minValue="0" maxValue="2"/>
    </cacheField>
    <cacheField name="Jahr - 10" numFmtId="166">
      <sharedItems containsMixedTypes="1" containsNumb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236114" missingItemsLimit="0" createdVersion="4" refreshedVersion="4" minRefreshableVersion="3" recordCount="100">
  <cacheSource type="worksheet">
    <worksheetSource ref="A3:S103" sheet="Dividende_je_Aktie"/>
  </cacheSource>
  <cacheFields count="19">
    <cacheField name="Wertpapier" numFmtId="0">
      <sharedItems containsBlank="1" count="66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</sharedItems>
    </cacheField>
    <cacheField name="ISIN" numFmtId="0">
      <sharedItems containsBlank="1"/>
    </cacheField>
    <cacheField name="Tag" numFmtId="173">
      <sharedItems containsString="0" containsBlank="1" containsNumber="1" containsInteger="1" minValue="30" maxValue="31"/>
    </cacheField>
    <cacheField name="Monat" numFmtId="173">
      <sharedItems containsString="0" containsBlank="1" containsNumber="1" containsInteger="1" minValue="1" maxValue="12"/>
    </cacheField>
    <cacheField name="Jahr" numFmtId="173">
      <sharedItems containsString="0" containsBlank="1" containsNumber="1" containsInteger="1" minValue="2016" maxValue="2016"/>
    </cacheField>
    <cacheField name="Jahr + 2" numFmtId="167">
      <sharedItems containsString="0" containsBlank="1" containsNumber="1" minValue="0" maxValue="881"/>
    </cacheField>
    <cacheField name="Jahr + 1" numFmtId="167">
      <sharedItems containsString="0" containsBlank="1" containsNumber="1" minValue="0" maxValue="835"/>
    </cacheField>
    <cacheField name="Jahr + 0" numFmtId="167">
      <sharedItems containsString="0" containsBlank="1" containsNumber="1" minValue="0" maxValue="786"/>
    </cacheField>
    <cacheField name="Jahr - 1" numFmtId="167">
      <sharedItems containsString="0" containsBlank="1" containsNumber="1" minValue="0" maxValue="800"/>
    </cacheField>
    <cacheField name="Jahr - 2" numFmtId="167">
      <sharedItems containsString="0" containsBlank="1" containsNumber="1" minValue="0" maxValue="725"/>
    </cacheField>
    <cacheField name="Jahr - 3" numFmtId="167">
      <sharedItems containsString="0" containsBlank="1" containsNumber="1" minValue="0" maxValue="650"/>
    </cacheField>
    <cacheField name="Jahr - 4" numFmtId="167">
      <sharedItems containsString="0" containsBlank="1" containsNumber="1" minValue="0" maxValue="575"/>
    </cacheField>
    <cacheField name="Jahr - 5" numFmtId="167">
      <sharedItems containsString="0" containsBlank="1" containsNumber="1" minValue="0" maxValue="500"/>
    </cacheField>
    <cacheField name="Jahr - 6" numFmtId="167">
      <sharedItems containsString="0" containsBlank="1" containsNumber="1" minValue="0" maxValue="450"/>
    </cacheField>
    <cacheField name="Jahr - 7" numFmtId="167">
      <sharedItems containsString="0" containsBlank="1" containsNumber="1" minValue="0" maxValue="400"/>
    </cacheField>
    <cacheField name="Jahr - 8" numFmtId="167">
      <sharedItems containsString="0" containsBlank="1" containsNumber="1" minValue="0" maxValue="360"/>
    </cacheField>
    <cacheField name="Jahr - 9" numFmtId="167">
      <sharedItems containsString="0" containsBlank="1" containsNumber="1" minValue="0" maxValue="330"/>
    </cacheField>
    <cacheField name="Jahr - 10" numFmtId="167">
      <sharedItems containsString="0" containsBlank="1" containsNumber="1" minValue="0" maxValue="275"/>
    </cacheField>
    <cacheField name="Jahr - 11" numFmtId="167">
      <sharedItems containsString="0" containsBlank="1" containsNumber="1" minValue="0" maxValue="2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351853" missingItemsLimit="0" createdVersion="4" refreshedVersion="4" minRefreshableVersion="3" recordCount="100">
  <cacheSource type="worksheet">
    <worksheetSource ref="A3:R103" sheet="Buchwert_je_Aktie"/>
  </cacheSource>
  <cacheFields count="18">
    <cacheField name="Wertpapier" numFmtId="0">
      <sharedItems containsBlank="1" count="66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</sharedItems>
    </cacheField>
    <cacheField name="ISIN" numFmtId="0">
      <sharedItems containsBlank="1"/>
    </cacheField>
    <cacheField name="Tag" numFmtId="173">
      <sharedItems containsString="0" containsBlank="1" containsNumber="1" containsInteger="1" minValue="30" maxValue="31"/>
    </cacheField>
    <cacheField name="Monat" numFmtId="173">
      <sharedItems containsString="0" containsBlank="1" containsNumber="1" containsInteger="1" minValue="1" maxValue="12"/>
    </cacheField>
    <cacheField name="Jahr" numFmtId="173">
      <sharedItems containsString="0" containsBlank="1" containsNumber="1" containsInteger="1" minValue="2016" maxValue="2016"/>
    </cacheField>
    <cacheField name="Jahr + 2" numFmtId="167">
      <sharedItems containsString="0" containsBlank="1" containsNumber="1" minValue="-6.43" maxValue="12471"/>
    </cacheField>
    <cacheField name="Jahr + 1" numFmtId="167">
      <sharedItems containsString="0" containsBlank="1" containsNumber="1" minValue="-5.41" maxValue="16156"/>
    </cacheField>
    <cacheField name="Jahr + 0" numFmtId="167">
      <sharedItems containsString="0" containsBlank="1" containsNumber="1" minValue="-4.04" maxValue="15168"/>
    </cacheField>
    <cacheField name="Jahr - 1" numFmtId="167">
      <sharedItems containsString="0" containsBlank="1" containsNumber="1" minValue="-8.5500000000000007" maxValue="25660"/>
    </cacheField>
    <cacheField name="Jahr - 2" numFmtId="167">
      <sharedItems containsString="0" containsBlank="1" containsNumber="1" minValue="-8.16" maxValue="22071"/>
    </cacheField>
    <cacheField name="Jahr - 3" numFmtId="167">
      <sharedItems containsString="0" containsBlank="1" containsNumber="1" minValue="-4.8899999999999997" maxValue="19373"/>
    </cacheField>
    <cacheField name="Jahr - 4" numFmtId="167">
      <sharedItems containsString="0" containsBlank="1" containsNumber="1" minValue="-2.2200000000000002" maxValue="12607"/>
    </cacheField>
    <cacheField name="Jahr - 5" numFmtId="167">
      <sharedItems containsString="0" containsBlank="1" containsNumber="1" minValue="-0.76" maxValue="11565"/>
    </cacheField>
    <cacheField name="Jahr - 6" numFmtId="167">
      <sharedItems containsString="0" containsBlank="1" containsNumber="1" minValue="-1.34" maxValue="11946"/>
    </cacheField>
    <cacheField name="Jahr - 7" numFmtId="167">
      <sharedItems containsString="0" containsBlank="1" containsNumber="1" minValue="-2.56" maxValue="16177"/>
    </cacheField>
    <cacheField name="Jahr - 8" numFmtId="167">
      <sharedItems containsString="0" containsBlank="1" containsNumber="1" minValue="-4.2300000000000004" maxValue="14790"/>
    </cacheField>
    <cacheField name="Jahr - 9" numFmtId="167">
      <sharedItems containsString="0" containsBlank="1" containsNumber="1" minValue="-3.12" maxValue="13894"/>
    </cacheField>
    <cacheField name="Jahr - 10" numFmtId="167">
      <sharedItems containsString="0" containsBlank="1" containsNumber="1" minValue="0.6" maxValue="115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467592" missingItemsLimit="0" createdVersion="4" refreshedVersion="4" minRefreshableVersion="3" recordCount="100">
  <cacheSource type="worksheet">
    <worksheetSource ref="A3:R103" sheet="Ergebnis_je_Aktie_verwässert"/>
  </cacheSource>
  <cacheFields count="18">
    <cacheField name="Wertpapier" numFmtId="0">
      <sharedItems containsBlank="1" count="66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</sharedItems>
    </cacheField>
    <cacheField name="ISIN" numFmtId="0">
      <sharedItems containsBlank="1"/>
    </cacheField>
    <cacheField name="Tag" numFmtId="173">
      <sharedItems containsString="0" containsBlank="1" containsNumber="1" containsInteger="1" minValue="30" maxValue="31"/>
    </cacheField>
    <cacheField name="Monat" numFmtId="173">
      <sharedItems containsString="0" containsBlank="1" containsNumber="1" containsInteger="1" minValue="1" maxValue="12"/>
    </cacheField>
    <cacheField name="Jahr" numFmtId="173">
      <sharedItems containsString="0" containsBlank="1" containsNumber="1" containsInteger="1" minValue="2016" maxValue="2016"/>
    </cacheField>
    <cacheField name="Jahr + 2" numFmtId="167">
      <sharedItems containsString="0" containsBlank="1" containsNumber="1" minValue="6.6299999999999998E-2" maxValue="2090"/>
    </cacheField>
    <cacheField name="Jahr + 1" numFmtId="167">
      <sharedItems containsString="0" containsBlank="1" containsNumber="1" minValue="4.41E-2" maxValue="1936"/>
    </cacheField>
    <cacheField name="Jahr + 0" numFmtId="167">
      <sharedItems containsString="0" containsBlank="1" containsNumber="1" minValue="1.01E-2" maxValue="1761"/>
    </cacheField>
    <cacheField name="Jahr - 1" numFmtId="167">
      <sharedItems containsString="0" containsBlank="1" containsNumber="1" minValue="0.22" maxValue="1612"/>
    </cacheField>
    <cacheField name="Jahr - 2" numFmtId="167">
      <sharedItems containsString="0" containsBlank="1" containsNumber="1" minValue="0.41699999999999998" maxValue="1460"/>
    </cacheField>
    <cacheField name="Jahr - 3" numFmtId="167">
      <sharedItems containsString="0" containsBlank="1" containsNumber="1" minValue="-3" maxValue="1314"/>
    </cacheField>
    <cacheField name="Jahr - 4" numFmtId="167">
      <sharedItems containsString="0" containsBlank="1" containsNumber="1" minValue="0.14000000000000001" maxValue="1187"/>
    </cacheField>
    <cacheField name="Jahr - 5" numFmtId="167">
      <sharedItems containsString="0" containsBlank="1" containsNumber="1" minValue="0.15" maxValue="1078"/>
    </cacheField>
    <cacheField name="Jahr - 6" numFmtId="167">
      <sharedItems containsString="0" containsBlank="1" containsNumber="1" minValue="0.16" maxValue="1055"/>
    </cacheField>
    <cacheField name="Jahr - 7" numFmtId="167">
      <sharedItems containsString="0" containsBlank="1" containsNumber="1" minValue="0.06" maxValue="850.9"/>
    </cacheField>
    <cacheField name="Jahr - 8" numFmtId="167">
      <sharedItems containsString="0" containsBlank="1" containsNumber="1" minValue="-5.47" maxValue="1140"/>
    </cacheField>
    <cacheField name="Jahr - 9" numFmtId="167">
      <sharedItems containsString="0" containsBlank="1" containsNumber="1" minValue="-0.1" maxValue="1091"/>
    </cacheField>
    <cacheField name="Jahr - 10" numFmtId="167">
      <sharedItems containsString="0" containsBlank="1" containsNumber="1" minValue="-0.28000000000000003" maxValue="921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58333" missingItemsLimit="0" createdVersion="4" refreshedVersion="4" minRefreshableVersion="3" recordCount="100">
  <cacheSource type="worksheet">
    <worksheetSource ref="A3:R103" sheet="KGV"/>
  </cacheSource>
  <cacheFields count="18">
    <cacheField name="Wertpapier" numFmtId="0">
      <sharedItems containsBlank="1" count="66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</sharedItems>
    </cacheField>
    <cacheField name="ISIN" numFmtId="0">
      <sharedItems containsBlank="1"/>
    </cacheField>
    <cacheField name="Jahr + 2" numFmtId="164">
      <sharedItems containsMixedTypes="1" containsNumber="1" minValue="8.5740740740740744" maxValue="34.794258373205743"/>
    </cacheField>
    <cacheField name="Jahr + 1" numFmtId="164">
      <sharedItems containsMixedTypes="1" containsNumber="1" minValue="9.0194805194805188" maxValue="50.158730158730165"/>
    </cacheField>
    <cacheField name="Jahr + 0" numFmtId="164">
      <sharedItems containsMixedTypes="1" containsNumber="1" minValue="10.976510067114095" maxValue="218.26732673267327"/>
    </cacheField>
    <cacheField name="Jahr - 1" numFmtId="164">
      <sharedItems containsMixedTypes="1" containsNumber="1" minValue="8.8494394020288301" maxValue="36.403846153846153"/>
    </cacheField>
    <cacheField name="Jahr - 2" numFmtId="164">
      <sharedItems containsMixedTypes="1" containsNumber="1" minValue="4.4748201438848927" maxValue="35.852435530085963"/>
    </cacheField>
    <cacheField name="Jahr - 3" numFmtId="164">
      <sharedItems containsMixedTypes="1" containsNumber="1" minValue="7.3513513513513518" maxValue="197.93103448275863"/>
    </cacheField>
    <cacheField name="Jahr - 4" numFmtId="164">
      <sharedItems containsMixedTypes="1" containsNumber="1" minValue="5.2714126807563959" maxValue="31.970588235294112"/>
    </cacheField>
    <cacheField name="Jahr - 5" numFmtId="164">
      <sharedItems containsMixedTypes="1" containsNumber="1" minValue="5.1319587628865975" maxValue="27.922077922077921"/>
    </cacheField>
    <cacheField name="Jahr - 6" numFmtId="164">
      <sharedItems containsMixedTypes="1" containsNumber="1" minValue="6.4214285714285708" maxValue="34.80497925311203"/>
    </cacheField>
    <cacheField name="Jahr - 7" numFmtId="164">
      <sharedItems containsMixedTypes="1" containsNumber="1" minValue="2.1789473684210527" maxValue="27.646153846153844"/>
    </cacheField>
    <cacheField name="Jahr - 8" numFmtId="164">
      <sharedItems containsMixedTypes="1" containsNumber="1" minValue="10.423076923076923" maxValue="47.732673267326732"/>
    </cacheField>
    <cacheField name="Jahr - 9" numFmtId="164">
      <sharedItems containsMixedTypes="1" containsNumber="1" minValue="7.2860335195530723" maxValue="34.622556390977444"/>
    </cacheField>
    <cacheField name="Jahr - 10" numFmtId="164">
      <sharedItems containsMixedTypes="1" containsNumber="1" minValue="7.5648148148148149" maxValue="42.846076458752513"/>
    </cacheField>
    <cacheField name="Median" numFmtId="164">
      <sharedItems containsMixedTypes="1" containsNumber="1" minValue="8.6563199280590588" maxValue="28.139321723189735"/>
    </cacheField>
    <cacheField name="KGV+360d" numFmtId="164">
      <sharedItems containsMixedTypes="1" containsNumber="1" minValue="9.2377609458710506" maxValue="51.016594408730754"/>
    </cacheField>
    <cacheField name="Abweichung Median" numFmtId="166">
      <sharedItems containsMixedTypes="1" containsNumber="1" minValue="-0.13772389108438654" maxValue="3.04664204941773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Christian Engels" refreshedDate="42469.592639699076" createdVersion="4" refreshedVersion="4" minRefreshableVersion="3" recordCount="100">
  <cacheSource type="worksheet">
    <worksheetSource ref="A3:N103" sheet="Aktien_im_Umlauf_splitbereinigt"/>
  </cacheSource>
  <cacheFields count="14">
    <cacheField name="Wertpapier" numFmtId="0">
      <sharedItems containsBlank="1" count="69">
        <s v="Syngenta"/>
        <s v="Novartis"/>
        <s v="Roche"/>
        <s v="Nestle"/>
        <s v="Beiersdorf"/>
        <s v="Deutsche Post"/>
        <s v="Deutsche Telekom"/>
        <s v="Fresenius"/>
        <s v="SAP"/>
        <s v="Siemens"/>
        <s v="Allianz"/>
        <s v="Münchener Rück"/>
        <s v="BASF"/>
        <s v="Bayer"/>
        <s v="Novo Nordisk"/>
        <s v="Telefonica"/>
        <s v="L'Oreal"/>
        <s v="Sanofi"/>
        <s v="Danone"/>
        <s v="British American Tobacco"/>
        <s v="Imperial Tobacco"/>
        <s v="Vodafone"/>
        <s v="Accenture"/>
        <s v="Unilever"/>
        <s v="AT&amp;T"/>
        <s v="Alphabet"/>
        <s v="Blackrock"/>
        <s v="CVS Health"/>
        <s v="Cisco Systems"/>
        <s v="Coca-Cola"/>
        <s v="Colgate-Palmolive"/>
        <s v="General Electric"/>
        <s v="IBM"/>
        <s v="Johnson &amp; Johnson"/>
        <s v="Kraft Heinz"/>
        <s v="McDonald's"/>
        <s v="Merck &amp; Co."/>
        <s v="Microsoft"/>
        <s v="Mondelez"/>
        <s v="Monsanto"/>
        <s v="Oracle"/>
        <s v="PepsiCo"/>
        <s v="Pfizer"/>
        <s v="Philip Morris"/>
        <s v="Procter &amp; Gamble"/>
        <s v="Verizon Communications"/>
        <s v="Visa"/>
        <s v="Wal-Mart Stores"/>
        <s v="Anheuser-Busch InBev"/>
        <s v="Lindt &amp; Sprüngli"/>
        <s v="Henkel"/>
        <s v="Linde"/>
        <s v="Sodexo"/>
        <s v="Diageo"/>
        <s v="Sabmiller"/>
        <s v="Reckitt Benckiser"/>
        <s v="Medtronic"/>
        <s v="Altria"/>
        <s v="General Mills"/>
        <s v="Hershey"/>
        <s v="Kellogg"/>
        <s v="Kimberly-Clark"/>
        <s v="Mastercard"/>
        <s v="Moody's"/>
        <s v="UnitedHealth"/>
        <m/>
        <s v="Du Pont" u="1"/>
        <s v="Google" u="1"/>
        <s v="Kraft Foods" u="1"/>
      </sharedItems>
    </cacheField>
    <cacheField name="ISIN" numFmtId="0">
      <sharedItems containsBlank="1"/>
    </cacheField>
    <cacheField name="Jahr - 0" numFmtId="164">
      <sharedItems containsString="0" containsBlank="1" containsNumber="1" containsInteger="1" minValue="1214" maxValue="3162"/>
    </cacheField>
    <cacheField name="Jahr - 1" numFmtId="164">
      <sharedItems containsString="0" containsBlank="1" containsNumber="1" minValue="0.14000000000000001" maxValue="28813"/>
    </cacheField>
    <cacheField name="Jahr - 2" numFmtId="164">
      <sharedItems containsString="0" containsBlank="1" containsNumber="1" minValue="0.14000000000000001" maxValue="28812"/>
    </cacheField>
    <cacheField name="Jahr - 3" numFmtId="164">
      <sharedItems containsString="0" containsBlank="1" containsNumber="1" minValue="0.14000000000000001" maxValue="10061"/>
    </cacheField>
    <cacheField name="Jahr - 4" numFmtId="164">
      <sharedItems containsString="0" containsBlank="1" containsNumber="1" minValue="0.14000000000000001" maxValue="10406"/>
    </cacheField>
    <cacheField name="Jahr - 5" numFmtId="164">
      <sharedItems containsString="0" containsBlank="1" containsNumber="1" minValue="0.14000000000000001" maxValue="10573"/>
    </cacheField>
    <cacheField name="Jahr - 6" numFmtId="164">
      <sharedItems containsString="0" containsBlank="1" containsNumber="1" minValue="0.14000000000000001" maxValue="10615"/>
    </cacheField>
    <cacheField name="Jahr - 7" numFmtId="164">
      <sharedItems containsString="0" containsBlank="1" containsNumber="1" minValue="0.1" maxValue="10663"/>
    </cacheField>
    <cacheField name="Jahr - 8" numFmtId="164">
      <sharedItems containsString="0" containsBlank="1" containsNumber="1" minValue="0.1" maxValue="10537"/>
    </cacheField>
    <cacheField name="Jahr - 9" numFmtId="164">
      <sharedItems containsString="0" containsBlank="1" containsNumber="1" minValue="0.1" maxValue="9988"/>
    </cacheField>
    <cacheField name="Jahr - 10" numFmtId="164">
      <sharedItems containsString="0" containsBlank="1" containsNumber="1" minValue="0.1" maxValue="10277"/>
    </cacheField>
    <cacheField name="Jahr - 11" numFmtId="164">
      <sharedItems containsString="0" containsBlank="1" containsNumber="1" minValue="0.1" maxValue="107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x v="0"/>
    <s v="CH0011037469"/>
    <n v="31"/>
    <n v="12"/>
    <n v="2016"/>
    <n v="0.64319248826291076"/>
    <n v="0.68617021276595747"/>
    <n v="0.77070063694267521"/>
    <n v="0.75757575757575757"/>
    <n v="0.64978140558982866"/>
    <n v="0.63273340832395941"/>
    <n v="0.51082677165354329"/>
    <n v="0.68569589199370118"/>
    <n v="1.0179982027063577"/>
    <n v="0.85032838389301568"/>
    <n v="0.87480952874728213"/>
    <n v="1.124408723209074"/>
    <n v="1.0918934827377365"/>
  </r>
  <r>
    <x v="1"/>
    <s v="CH0012005267"/>
    <n v="31"/>
    <n v="12"/>
    <n v="2016"/>
    <n v="0.689873417721519"/>
    <n v="0.74567901234567902"/>
    <n v="0.80225988700564965"/>
    <n v="0.80775293552087357"/>
    <n v="0.85285723169650152"/>
    <n v="2"/>
    <n v="0.87339907318213172"/>
    <n v="0.64021164021164023"/>
    <n v="0.54929577464788737"/>
    <n v="0.58103913821549136"/>
    <n v="0.96695785696526337"/>
    <n v="0.50533807829181487"/>
    <n v="0.43462659230294498"/>
  </r>
  <r>
    <x v="2"/>
    <s v="CH0012032048"/>
    <n v="31"/>
    <n v="12"/>
    <n v="2016"/>
    <n v="0.57485029940119758"/>
    <n v="0.6"/>
    <n v="0.62028985507246381"/>
    <n v="0.64546975854649769"/>
    <n v="0.58177587084575666"/>
    <n v="0.56264877732092622"/>
    <n v="0.56300268096514738"/>
    <n v="0.57345252150446957"/>
    <n v="0.53471603337924323"/>
    <n v="0.507013689369613"/>
    <n v="0.48209643859256091"/>
    <n v="0.4103845124453564"/>
    <n v="0.36852373726425314"/>
  </r>
  <r>
    <x v="3"/>
    <s v="CH0038863350"/>
    <n v="31"/>
    <n v="12"/>
    <n v="2016"/>
    <n v="0.64339152119700749"/>
    <n v="0.65675675675675682"/>
    <n v="0.68035190615835772"/>
    <n v="0.93047460683656913"/>
    <n v="0.65378900445765231"/>
    <n v="0.59589800443458973"/>
    <n v="0.99595551061678456"/>
    <n v="1.4808917197452229"/>
    <n v="1.4433505210644613"/>
    <n v="1.3279949294089815"/>
    <n v="0.90047728045240427"/>
    <n v="0.78109587649144996"/>
    <n v="0.54798795984578008"/>
  </r>
  <r>
    <x v="4"/>
    <s v="DE0005200000"/>
    <n v="31"/>
    <n v="12"/>
    <n v="2016"/>
    <n v="0.21652421652421655"/>
    <n v="0.22981366459627328"/>
    <n v="0.24414715719063543"/>
    <n v="0.24054982817869414"/>
    <n v="0.27667984189723321"/>
    <n v="0.30042918454935619"/>
    <n v="0.33653846153846151"/>
    <n v="0.37433155080213898"/>
    <n v="0.38043478260869562"/>
    <n v="0.42424242424242425"/>
    <n v="0.32407407407407401"/>
    <n v="0.330188679245283"/>
    <n v="0.35502958579881655"/>
  </r>
  <r>
    <x v="5"/>
    <s v="DE0005552004"/>
    <n v="31"/>
    <n v="12"/>
    <n v="2016"/>
    <n v="0.52320675105485226"/>
    <n v="0.47511312217194573"/>
    <n v="0.47058823529411764"/>
    <n v="0.69672131147540983"/>
    <n v="0.51829268292682928"/>
    <n v="0.48192771084337355"/>
    <n v="0.53030303030303028"/>
    <n v="0.72916666666666663"/>
    <n v="0.30952380952380953"/>
    <n v="1.1320754716981132"/>
    <n v="2"/>
    <n v="0.78260869565217395"/>
    <n v="0.46875"/>
  </r>
  <r>
    <x v="6"/>
    <s v="DE0005557508"/>
    <n v="31"/>
    <n v="12"/>
    <n v="2016"/>
    <n v="0.62162162162162149"/>
    <n v="0.67010309278350522"/>
    <n v="0.72839506172839497"/>
    <n v="0.77464788732394374"/>
    <n v="0.94339622641509424"/>
    <n v="0.79365079365079361"/>
    <n v="1.2068965517241379"/>
    <n v="1.044776119402985"/>
    <n v="0.99921197331841249"/>
    <n v="1"/>
    <n v="1"/>
    <n v="1.1304347826086958"/>
    <n v="0.79999999999999993"/>
  </r>
  <r>
    <x v="7"/>
    <s v="DE0005785604"/>
    <n v="31"/>
    <n v="12"/>
    <n v="2016"/>
    <n v="0.20786516853932585"/>
    <n v="0.22291021671826625"/>
    <n v="0.22680412371134021"/>
    <n v="0.21243723445345694"/>
    <n v="0.22"/>
    <n v="0.21660649819494585"/>
    <n v="0.20705092333519867"/>
    <n v="0.20578778135048234"/>
    <n v="0.21657953696788648"/>
    <n v="0.23809523809523808"/>
    <n v="0.26047565118912797"/>
    <n v="0.25287356321839083"/>
    <n v="0.26760563380281693"/>
  </r>
  <r>
    <x v="8"/>
    <s v="DE0007164600"/>
    <n v="31"/>
    <n v="12"/>
    <n v="2016"/>
    <n v="0.33860045146726864"/>
    <n v="0.35492227979274615"/>
    <n v="0.35977337110481589"/>
    <n v="0.44921874999999994"/>
    <n v="0.37414965986394561"/>
    <n v="0.35971223021582738"/>
    <n v="0.35864978902953581"/>
    <n v="0.30241935483870969"/>
    <n v="0.29556650246305421"/>
    <n v="0.3401360544217687"/>
    <n v="0.58822291217176226"/>
    <n v="0.70901602107877282"/>
    <n v="0.30263157894736842"/>
  </r>
  <r>
    <x v="9"/>
    <s v="DE0007236101"/>
    <n v="30"/>
    <n v="9"/>
    <n v="2016"/>
    <n v="0.5"/>
    <n v="0.53501400560224088"/>
    <n v="0.56406249999999991"/>
    <n v="0.40045766590389015"/>
    <n v="0.52297939778129954"/>
    <n v="0.59642147117296218"/>
    <n v="1.1755337549321667"/>
    <n v="0.43103448275862072"/>
    <n v="0.60810810810810811"/>
    <n v="0.60836501901140694"/>
    <n v="0.79207920792079212"/>
    <n v="0.41450777202072542"/>
    <n v="0.44478527607361967"/>
  </r>
  <r>
    <x v="10"/>
    <s v="DE0008404005"/>
    <n v="31"/>
    <n v="12"/>
    <n v="2016"/>
    <n v="0.5"/>
    <n v="0.50324675324675328"/>
    <n v="0.50872483221476505"/>
    <n v="0.50171821305841924"/>
    <n v="0.50219941348973607"/>
    <n v="0.4061302681992337"/>
    <n v="0.3968253968253968"/>
    <n v="0.82116788321167877"/>
    <n v="0.40467625899280579"/>
    <n v="0.43157894736842101"/>
    <n v="2"/>
    <n v="0.3105590062111801"/>
    <n v="0.22646007151370676"/>
  </r>
  <r>
    <x v="11"/>
    <s v="DE0008430026"/>
    <n v="31"/>
    <n v="12"/>
    <n v="2016"/>
    <n v="0.52023121387283233"/>
    <n v="0.50994152046783625"/>
    <n v="0.50357142857142856"/>
    <n v="0.80072144083874042"/>
    <n v="0.75826975851242184"/>
    <n v="0.39189189189189189"/>
    <n v="0.38932146829810899"/>
    <n v="1.2266251266576289"/>
    <n v="0.88870790190957094"/>
    <n v="0.82660689347619454"/>
    <n v="1.5621113667454296"/>
    <n v="0.7060406470089039"/>
    <n v="0.29761904761904762"/>
  </r>
  <r>
    <x v="12"/>
    <s v="DE000BASF111"/>
    <n v="31"/>
    <n v="12"/>
    <n v="2016"/>
    <n v="0.60305343511450382"/>
    <n v="0.67180616740088106"/>
    <n v="0.7195121951219513"/>
    <n v="0.57999999999999996"/>
    <n v="0.51470588235294112"/>
    <n v="0.50847457627118653"/>
    <n v="0.46099290780141849"/>
    <n v="0.39936102236421728"/>
    <n v="0.38394415357766143"/>
    <n v="0.56478405315614622"/>
    <n v="0.80369376948582161"/>
    <n v="1.0167573010166329"/>
    <n v="0.81305209457963201"/>
  </r>
  <r>
    <x v="13"/>
    <s v="DE000BAY0017"/>
    <n v="31"/>
    <n v="12"/>
    <n v="2016"/>
    <n v="0.44113475177304962"/>
    <n v="0.44875776397515527"/>
    <n v="0.47927927927927932"/>
    <n v="0.50301810865191154"/>
    <n v="0.49450549450549453"/>
    <n v="0.48498845265588914"/>
    <n v="0.48101265822784806"/>
    <n v="0.4634831460674157"/>
    <n v="0.6696428571428571"/>
    <n v="0.61674008810572678"/>
    <n v="0.49122807017543857"/>
    <n v="0.51136363636363635"/>
    <n v="0.4366812227074236"/>
  </r>
  <r>
    <x v="14"/>
    <s v="DK0060534915"/>
    <n v="31"/>
    <n v="12"/>
    <n v="2016"/>
    <n v="0.46632653061224488"/>
    <n v="0.46494252873563219"/>
    <n v="0.46580645161290318"/>
    <n v="1.0421882111970868"/>
    <n v="1.4717730602761798"/>
    <n v="0.86776859504132231"/>
    <n v="0.46332046332046334"/>
    <n v="1.1026378896882494"/>
    <n v="1.1271249076127123"/>
    <n v="1.0559026981579149"/>
    <n v="0.38585209003215432"/>
    <n v="0.33582089552238803"/>
    <n v="0.35"/>
  </r>
  <r>
    <x v="15"/>
    <s v="ES0178430E18"/>
    <n v="31"/>
    <n v="12"/>
    <n v="2016"/>
    <n v="0.91463414634146345"/>
    <n v="0.93333333333333324"/>
    <n v="1.0289855072463769"/>
    <n v="0.76923076923076927"/>
    <n v="0.65573770491803285"/>
    <n v="0.74257425742574257"/>
    <n v="0.94252873563218387"/>
    <n v="1.2938659203428657"/>
    <n v="0.62946729569020599"/>
    <n v="0.96588715364074584"/>
    <n v="0.69475104803009469"/>
    <n v="0.71347248576850075"/>
    <n v="0.42307692307692307"/>
  </r>
  <r>
    <x v="16"/>
    <s v="FR0000120321"/>
    <n v="31"/>
    <n v="12"/>
    <n v="2016"/>
    <n v="0.52796725784447474"/>
    <n v="0.51754385964912286"/>
    <n v="0.51246105919003115"/>
    <n v="0.50161812297734631"/>
    <n v="2"/>
    <n v="0.6068838359124219"/>
    <n v="0.46843177189409363"/>
    <n v="0.46296296296296291"/>
    <n v="0.44887780548628431"/>
    <n v="0.56805201651875847"/>
    <n v="0.87488441648877324"/>
    <n v="1.4299237170596404"/>
    <n v="1.1605449714796554"/>
  </r>
  <r>
    <x v="17"/>
    <s v="FR0000120578"/>
    <n v="31"/>
    <n v="12"/>
    <n v="2016"/>
    <n v="0.68333333333333335"/>
    <n v="0.63278008298755184"/>
    <n v="0.66891891891891886"/>
    <n v="0.80879934073340076"/>
    <n v="0.77452054025215511"/>
    <n v="0.81924030007807458"/>
    <n v="0.79149981980538986"/>
    <n v="0.52579365079365081"/>
    <n v="0.5117853320688065"/>
    <n v="0.46121593291404622"/>
    <n v="0.99084177863134582"/>
    <n v="0.45219638242894056"/>
    <n v="1.1608311195919232"/>
  </r>
  <r>
    <x v="18"/>
    <s v="FR0000120644"/>
    <n v="31"/>
    <n v="12"/>
    <n v="2016"/>
    <n v="0.55270655270655278"/>
    <n v="0.55351681957186549"/>
    <n v="0.55813953488372092"/>
    <n v="0.76190476190476186"/>
    <n v="0.5725190839694656"/>
    <n v="0.74334732957128991"/>
    <n v="0.68599477368372841"/>
    <n v="0.91718539440283386"/>
    <n v="0.4779411764705882"/>
    <n v="0.46692607003891051"/>
    <n v="0.45112781954887216"/>
    <n v="0.88162473867375757"/>
    <n v="0.70738741682322959"/>
  </r>
  <r>
    <x v="19"/>
    <s v="GB0002875804"/>
    <n v="31"/>
    <n v="12"/>
    <n v="2016"/>
    <n v="0.7038461538461539"/>
    <n v="0.79723502304147464"/>
    <n v="0.76995305164319261"/>
    <n v="0.66956521739130437"/>
    <n v="0.88622754491017963"/>
    <n v="0.69268292682926835"/>
    <n v="0.68527918781725894"/>
    <n v="0.8141025641025641"/>
    <n v="0.79166666666666663"/>
    <n v="0.73529411764705876"/>
    <n v="0.68292682926829262"/>
    <n v="0.63461538461538458"/>
    <n v="0.56795131845841795"/>
  </r>
  <r>
    <x v="20"/>
    <s v="GB0004544929"/>
    <n v="30"/>
    <n v="9"/>
    <n v="2016"/>
    <n v="0.83111111111111113"/>
    <n v="0.79534883720930238"/>
    <n v="0.77889447236180909"/>
    <n v="0.79661016949152541"/>
    <n v="1.4208494208494209"/>
    <n v="1.2083333333333333"/>
    <n v="1.5588235294117647"/>
    <n v="0.53672316384180785"/>
    <n v="0.56756756756756754"/>
    <n v="1.1230769230769231"/>
    <n v="1.26"/>
    <n v="0.51724137931034486"/>
    <s v=""/>
  </r>
  <r>
    <x v="21"/>
    <s v="GB00BH4HKS39"/>
    <n v="31"/>
    <n v="3"/>
    <n v="2016"/>
    <n v="1.7797888386123681"/>
    <n v="2"/>
    <n v="2"/>
    <n v="0.5"/>
    <n v="0.26378896882494007"/>
    <n v="2"/>
    <n v="0.67857142857142849"/>
    <n v="0.59333333333333338"/>
    <n v="0.51875000000000004"/>
    <n v="0.93333333333333335"/>
    <n v="0.57692307692307687"/>
    <n v="2"/>
    <n v="2"/>
  </r>
  <r>
    <x v="22"/>
    <s v="IE00B4BNMY34"/>
    <n v="31"/>
    <n v="8"/>
    <n v="2016"/>
    <n v="0.40570522979397783"/>
    <n v="0.38715277777777779"/>
    <n v="0.4107142857142857"/>
    <n v="0.61940714277142417"/>
    <n v="0.67918682626853388"/>
    <n v="0.64852036212192077"/>
    <n v="0.67163713789535917"/>
    <n v="0.40859679330361226"/>
    <n v="0.28195488721804512"/>
    <n v="0.18656716417910446"/>
    <n v="0.15849056603773584"/>
    <n v="0.17766497461928932"/>
    <n v="0.18633540372670807"/>
  </r>
  <r>
    <x v="23"/>
    <s v="NL0000009355"/>
    <n v="31"/>
    <n v="12"/>
    <n v="2016"/>
    <n v="0.65610859728506787"/>
    <n v="0.66995073891625623"/>
    <n v="0.67195767195767198"/>
    <n v="0.69186046511627908"/>
    <n v="0.62569832402234637"/>
    <n v="0.6325301204819278"/>
    <n v="0.6298701298701298"/>
    <n v="0.61643835616438358"/>
    <n v="0.56849315068493145"/>
    <n v="0.68376068376068388"/>
    <n v="0.63636363636363635"/>
    <n v="0.5725190839694656"/>
    <n v="0.63002680965147451"/>
  </r>
  <r>
    <x v="24"/>
    <s v="US00206R1023"/>
    <n v="31"/>
    <n v="12"/>
    <n v="2016"/>
    <n v="0.64401294498381878"/>
    <n v="0.6901408450704225"/>
    <n v="0.7201492537313432"/>
    <n v="0.79668049792531115"/>
    <n v="0.82777810668403295"/>
    <n v="1.679361653272101"/>
    <n v="1.6709468038978879"/>
    <n v="0.78181818181818175"/>
    <n v="0.73362445414847155"/>
    <n v="0.79710144927536231"/>
    <n v="1.0834598173602077"/>
    <n v="1.4489005028417039"/>
    <n v="0.71428571428571441"/>
  </r>
  <r>
    <x v="25"/>
    <s v="US02079K3059"/>
    <n v="31"/>
    <n v="12"/>
    <n v="2016"/>
    <n v="0"/>
    <n v="0"/>
    <n v="0"/>
    <n v="0"/>
    <n v="0"/>
    <n v="0"/>
    <n v="0"/>
    <n v="0"/>
    <n v="0"/>
    <n v="0"/>
    <n v="0"/>
    <n v="0"/>
    <n v="0"/>
  </r>
  <r>
    <x v="26"/>
    <s v="US09247X1019"/>
    <n v="31"/>
    <n v="12"/>
    <n v="2016"/>
    <n v="0.44308943089430891"/>
    <n v="0.44529147982062778"/>
    <n v="0.47076923076923077"/>
    <n v="0.44489795918367347"/>
    <n v="0.60111816656378247"/>
    <n v="0.66768992385471893"/>
    <n v="0.43859649122807021"/>
    <n v="0.46413502109704641"/>
    <n v="0.3656307129798903"/>
    <n v="0.43758765778401126"/>
    <n v="0.48372093023255813"/>
    <n v="0.32802937576499391"/>
    <n v="0.3151969981238274"/>
  </r>
  <r>
    <x v="27"/>
    <s v="US1266501006"/>
    <n v="31"/>
    <n v="12"/>
    <n v="2016"/>
    <n v="0.32956152758132956"/>
    <n v="0.30967741935483867"/>
    <n v="0.29908256880733941"/>
    <n v="1.0152907112342358"/>
    <n v="1.0589357554643108"/>
    <n v="1.0763557037781535"/>
    <n v="1.0254874086108854"/>
    <n v="1.0008432112395811"/>
    <n v="0.42742061422505867"/>
    <n v="0.5829169292305324"/>
    <n v="0.118348623853211"/>
    <n v="0.11914062500000001"/>
    <n v="9.6874999999999989E-2"/>
  </r>
  <r>
    <x v="28"/>
    <s v="US17275R1023"/>
    <n v="31"/>
    <n v="7"/>
    <n v="2016"/>
    <n v="0.53333333333333333"/>
    <n v="0.47169811320754712"/>
    <n v="0.43203883495145629"/>
    <n v="0.52740441073184441"/>
    <n v="1.3374420316616804"/>
    <n v="0.37125748502994016"/>
    <n v="0.46473026417465374"/>
    <n v="0.59413933520178563"/>
    <n v="0.39875550946331345"/>
    <n v="0.39133720212371903"/>
    <n v="0.4728523814643586"/>
    <n v="0"/>
    <n v="0.90187315368909837"/>
  </r>
  <r>
    <x v="29"/>
    <s v="US1912161007"/>
    <n v="31"/>
    <n v="12"/>
    <n v="2016"/>
    <n v="0.71621621621621623"/>
    <n v="0.72549019607843135"/>
    <n v="0.71875"/>
    <n v="0.74396412968498504"/>
    <n v="0.76868942721385392"/>
    <n v="0.84074655750882465"/>
    <n v="0.77205820653390023"/>
    <n v="0.72308720908823099"/>
    <n v="0.59474214534671477"/>
    <n v="0.6087427878952999"/>
    <n v="0.51983577744823417"/>
    <n v="0.50370370370370365"/>
    <n v="0.97252469209962034"/>
  </r>
  <r>
    <x v="30"/>
    <s v="US1941621039"/>
    <n v="31"/>
    <n v="12"/>
    <n v="2016"/>
    <n v="0.5644171779141105"/>
    <n v="0.56521739130434778"/>
    <n v="0.57090909090909092"/>
    <n v="0.91463021158340485"/>
    <n v="0.79611432680870931"/>
    <n v="0.87934088633045193"/>
    <n v="0.95168401303758332"/>
    <n v="1.000943878016304"/>
    <n v="0.40400000000000003"/>
    <n v="0.66620164626166112"/>
    <n v="0.64144539087452279"/>
    <n v="0.54691263472189844"/>
    <n v="0.55754503427387214"/>
  </r>
  <r>
    <x v="31"/>
    <s v="US3696041033"/>
    <n v="31"/>
    <n v="12"/>
    <n v="2016"/>
    <n v="0.55440414507772029"/>
    <n v="0.61585365853658536"/>
    <n v="0.65492957746478875"/>
    <n v="2"/>
    <n v="0.60003380729839917"/>
    <n v="1.3788754737831512"/>
    <n v="0.80376482262022364"/>
    <n v="0.55377672380715104"/>
    <n v="0.51198642007127682"/>
    <n v="0.60396039603960394"/>
    <n v="0.72093023255813959"/>
    <n v="1.0242443005339126"/>
    <n v="0.89107249197236549"/>
  </r>
  <r>
    <x v="32"/>
    <s v="US4592001014"/>
    <n v="31"/>
    <n v="12"/>
    <n v="2016"/>
    <n v="0.38758169934640518"/>
    <n v="0.41782945736434107"/>
    <n v="0.41626016260162602"/>
    <n v="0.55019977080080373"/>
    <n v="0.91570299418958034"/>
    <n v="0.95586471561329245"/>
    <n v="0.76111303966528432"/>
    <n v="0.91421146649474161"/>
    <n v="1.1241238486937379"/>
    <n v="0.55548665893493476"/>
    <n v="0.53653216829594041"/>
    <n v="1.5351206218637812"/>
    <n v="0.88825090114110139"/>
  </r>
  <r>
    <x v="33"/>
    <s v="US4781601046"/>
    <n v="31"/>
    <n v="12"/>
    <n v="2016"/>
    <n v="0.49855491329479773"/>
    <n v="0.50154798761609909"/>
    <n v="0.51252086811352249"/>
    <n v="0.68743170764468298"/>
    <n v="0.70147961029244921"/>
    <n v="0.45598591549295775"/>
    <n v="0.47058823529411764"/>
    <n v="0.51740969162995598"/>
    <n v="0.51920834075047118"/>
    <n v="0.49261706122333737"/>
    <n v="0.73167089320935486"/>
    <n v="0.69030205328355676"/>
    <n v="0.88510371696905965"/>
  </r>
  <r>
    <x v="34"/>
    <s v="US5007541064"/>
    <n v="31"/>
    <n v="12"/>
    <n v="2016"/>
    <n v="0.61951219512195133"/>
    <n v="0.65498652291105131"/>
    <n v="0.81690140845070425"/>
    <n v="0.83333333333333326"/>
    <s v=""/>
    <s v=""/>
    <s v=""/>
    <s v=""/>
    <s v=""/>
    <s v=""/>
    <s v=""/>
    <s v=""/>
    <s v=""/>
  </r>
  <r>
    <x v="35"/>
    <s v="US5801351017"/>
    <n v="31"/>
    <n v="12"/>
    <n v="2016"/>
    <n v="0.60698027314112291"/>
    <n v="0.63097199341021415"/>
    <n v="0.66913123844731981"/>
    <n v="2"/>
    <n v="1.1111997650133381"/>
    <n v="0.78458171418591505"/>
    <n v="0.83078934837279206"/>
    <n v="1.0954063341554119"/>
    <n v="1.3304017820311855"/>
    <n v="0.62845165302574291"/>
    <n v="1.2040297650321965"/>
    <n v="1.1421363225660719"/>
    <n v="1.0950853476916027"/>
  </r>
  <r>
    <x v="36"/>
    <s v="US58933Y1055"/>
    <n v="31"/>
    <n v="12"/>
    <n v="2016"/>
    <n v="0.54293628808864269"/>
    <n v="0.67375886524822692"/>
    <n v="0.74297188755020083"/>
    <n v="1.8542375459851188"/>
    <n v="2"/>
    <n v="2"/>
    <n v="0.93467459530888664"/>
    <n v="1.0041023503863047"/>
    <n v="0.53334395907571219"/>
    <n v="0.89940828402366868"/>
    <n v="0.53333333333333333"/>
    <n v="0.42708626018544532"/>
    <n v="0.74876847290640403"/>
  </r>
  <r>
    <x v="37"/>
    <s v="US5949181045"/>
    <n v="30"/>
    <n v="6"/>
    <n v="2016"/>
    <n v="0.44931506849315067"/>
    <n v="0.51505016722408026"/>
    <n v="0.56854838709677413"/>
    <n v="0.91484396056844264"/>
    <n v="0.5971312366252135"/>
    <n v="0.42690895206640112"/>
    <n v="0.29304029304029305"/>
    <n v="0.57486960442830104"/>
    <n v="0.55100094490957441"/>
    <n v="0.72124584920199342"/>
    <n v="0.60343657833485365"/>
    <n v="1.7906348538995165"/>
    <n v="1.5421138938580801"/>
  </r>
  <r>
    <x v="38"/>
    <s v="US6092071058"/>
    <n v="31"/>
    <n v="12"/>
    <n v="2016"/>
    <n v="0.36651583710407243"/>
    <n v="0.38578680203045684"/>
    <n v="0.39766081871345033"/>
    <n v="1.7279421338155516"/>
    <n v="0.84287259615384613"/>
    <n v="1.3320638305975547"/>
    <n v="0.41551246537396125"/>
    <n v="0.29219143576826201"/>
    <n v="0.32402234636871502"/>
    <n v="0.30687830687830686"/>
    <n v="1.0640607645731075"/>
    <s v=""/>
    <s v=""/>
  </r>
  <r>
    <x v="39"/>
    <s v="US61166W1018"/>
    <n v="31"/>
    <n v="8"/>
    <n v="2016"/>
    <n v="0.36697247706422015"/>
    <n v="0.40892857142857147"/>
    <n v="0.51325301204819274"/>
    <n v="0.9830724110960305"/>
    <n v="2"/>
    <n v="0.55879305421939196"/>
    <n v="0.38691983335769253"/>
    <n v="0.60700049479705842"/>
    <n v="0.67047845302849285"/>
    <n v="0.32990185754951828"/>
    <n v="0.22802197802197802"/>
    <n v="0.27777777777777779"/>
    <n v="0.30769230769230771"/>
  </r>
  <r>
    <x v="40"/>
    <s v="US68389X1054"/>
    <n v="31"/>
    <n v="5"/>
    <n v="2016"/>
    <n v="0.23809523809523808"/>
    <n v="0.25"/>
    <n v="0.26794258373205748"/>
    <n v="0.77903694820708003"/>
    <n v="0.92150462335471828"/>
    <n v="0.9659865370915699"/>
    <n v="0.57124238074434663"/>
    <n v="0.12574850299401197"/>
    <n v="0.16528925619834711"/>
    <n v="0.55916579174476833"/>
    <n v="0"/>
    <n v="0.5856159664657804"/>
    <n v="0"/>
  </r>
  <r>
    <x v="41"/>
    <s v="US7134481081"/>
    <n v="31"/>
    <n v="12"/>
    <n v="2016"/>
    <n v="0.62799263351749546"/>
    <n v="0.624505928853755"/>
    <n v="0.62820512820512819"/>
    <n v="1.1637866937224108"/>
    <n v="1.0976731578072945"/>
    <n v="0.77445670967683744"/>
    <n v="0.74666392678184734"/>
    <n v="0.62527173913043466"/>
    <n v="0.4576271186440678"/>
    <n v="0.47978436657681944"/>
    <n v="0.94671078417648857"/>
    <n v="0.88478128629099162"/>
    <n v="0.61619047619047607"/>
  </r>
  <r>
    <x v="42"/>
    <s v="US7170811035"/>
    <n v="31"/>
    <n v="12"/>
    <n v="2016"/>
    <n v="0.51750972762645919"/>
    <n v="0.5625"/>
    <n v="0.70414201183431957"/>
    <n v="1.5553094795200058"/>
    <n v="1.1089886961252493"/>
    <n v="2"/>
    <n v="0.98484997279574693"/>
    <n v="1.6129185831969024"/>
    <n v="0.83015427838634204"/>
    <n v="0.65040650406504075"/>
    <n v="1.0666666666666667"/>
    <n v="0.99145299145299148"/>
    <n v="0.63157894736842102"/>
  </r>
  <r>
    <x v="43"/>
    <s v="US7181721090"/>
    <n v="31"/>
    <n v="12"/>
    <n v="2016"/>
    <n v="0.88269230769230766"/>
    <n v="0.90376569037656906"/>
    <n v="0.94724770642201828"/>
    <n v="0.91402714932126694"/>
    <n v="1.2134088082060899"/>
    <n v="0.66296296296296298"/>
    <n v="2"/>
    <n v="1.2859971886100718"/>
    <n v="1.3438886451172543"/>
    <n v="1.612324285665963"/>
    <n v="0.46525679758308158"/>
    <s v=""/>
    <s v=""/>
  </r>
  <r>
    <x v="44"/>
    <s v="US7427181091"/>
    <n v="30"/>
    <n v="6"/>
    <n v="2016"/>
    <n v="0.72261072261072268"/>
    <n v="0.68345323741007202"/>
    <n v="0.75280898876404501"/>
    <n v="0.64427860696517414"/>
    <n v="0.81874532715126924"/>
    <n v="0.6115592714763165"/>
    <n v="0.66005217489933643"/>
    <n v="0.97226005706054119"/>
    <n v="0.89847166174210646"/>
    <n v="1.068744099139401"/>
    <n v="1.0073009215346727"/>
    <n v="0.7231055068226121"/>
    <n v="0.43560606060606055"/>
  </r>
  <r>
    <x v="45"/>
    <s v="US92343V1044"/>
    <n v="31"/>
    <n v="12"/>
    <n v="2016"/>
    <n v="0.57932692307692313"/>
    <n v="0.57493857493857481"/>
    <n v="0.5685785536159601"/>
    <n v="0.78921161519409722"/>
    <n v="0.64477611940298507"/>
    <n v="0.7359154929577465"/>
    <n v="0.90624999999999978"/>
    <n v="0.92093023255813955"/>
    <n v="0.92788461538461531"/>
    <n v="0.77916666666666679"/>
    <n v="0.70078740157480313"/>
    <n v="0.7076271186440678"/>
    <n v="0.78640776699029125"/>
  </r>
  <r>
    <x v="46"/>
    <s v="US92826C8394"/>
    <n v="30"/>
    <n v="9"/>
    <n v="2016"/>
    <n v="0.18393782383419688"/>
    <n v="0.19504643962848298"/>
    <n v="0.19298245614035089"/>
    <n v="2"/>
    <n v="0.186046511627907"/>
    <n v="1.1835526315789473"/>
    <n v="0.51176197415408264"/>
    <n v="0.33804658688944078"/>
    <n v="0.13"/>
    <n v="0.14102564102564102"/>
    <n v="0.10833333333333334"/>
    <s v=""/>
    <s v=""/>
  </r>
  <r>
    <x v="47"/>
    <s v="US9311421039"/>
    <n v="31"/>
    <n v="1"/>
    <n v="2016"/>
    <n v="0.46938775510204078"/>
    <n v="0.47732696897374699"/>
    <n v="0.7287850413199225"/>
    <n v="0.4046606492989106"/>
    <n v="0.73405917328818571"/>
    <n v="0.75401832621235043"/>
    <n v="0.71699283630094046"/>
    <n v="1.2494213884998866"/>
    <n v="0.94248775616116931"/>
    <n v="0.44627034677990091"/>
    <n v="0.92621199486308947"/>
    <n v="0.39200947565031208"/>
    <n v="0.50891311748580026"/>
  </r>
  <r>
    <x v="48"/>
    <s v="z_BE0003793107"/>
    <n v="31"/>
    <n v="12"/>
    <n v="2016"/>
    <n v="0.85902255639097747"/>
    <n v="0.81510934393638157"/>
    <n v="0.85454545454545439"/>
    <n v="0.72580645161290325"/>
    <n v="0.54151624548736466"/>
    <n v="0.41751527494908347"/>
    <n v="0.50112359550561791"/>
    <n v="0.4269972451790634"/>
    <n v="0.33753943217665616"/>
    <n v="0.22177419354838712"/>
    <n v="0.13944223107569723"/>
    <n v="0.24904214559386975"/>
    <n v="0.48469387755102039"/>
  </r>
  <r>
    <x v="49"/>
    <s v="z_CH0010570759"/>
    <n v="31"/>
    <n v="12"/>
    <n v="2016"/>
    <n v="0.42153110047846892"/>
    <n v="0.431301652892562"/>
    <n v="0.44633730834752983"/>
    <n v="0.49627791563275436"/>
    <n v="0.49657534246575341"/>
    <n v="0.49467275494672752"/>
    <n v="0.48441449031171019"/>
    <n v="0.46382189239332094"/>
    <n v="0.42654028436018959"/>
    <n v="0.47009049241979084"/>
    <n v="0.31578947368421051"/>
    <n v="0.30247479376718606"/>
    <n v="0.29852366478506293"/>
  </r>
  <r>
    <x v="50"/>
    <s v="z_DE0006048432"/>
    <n v="31"/>
    <n v="12"/>
    <n v="2016"/>
    <n v="0.32553956834532377"/>
    <n v="0.32884615384615384"/>
    <n v="0.32371134020618558"/>
    <n v="0.30122950819672129"/>
    <n v="0.29908675799086759"/>
    <n v="0.29975429975429974"/>
    <n v="0.26327297082617285"/>
    <n v="0.25477707006369427"/>
    <n v="0.25531914893617019"/>
    <n v="0.27748691099476441"/>
    <n v="0.24200913242009134"/>
    <n v="0.24200913242009134"/>
    <n v="0.25125628140703515"/>
  </r>
  <r>
    <x v="51"/>
    <s v="z_DE0006483001"/>
    <n v="31"/>
    <n v="12"/>
    <n v="2016"/>
    <n v="0.48310387984981223"/>
    <n v="0.50810810810810803"/>
    <n v="0.51598837209302328"/>
    <n v="0.5582524271844661"/>
    <n v="0.44179523141654981"/>
    <n v="0.42253521126760568"/>
    <n v="0.34220532319391639"/>
    <n v="0.32425421530479898"/>
    <n v="0.31930333817126272"/>
    <n v="0.39301310043668125"/>
    <n v="0.32967032967032966"/>
    <n v="0.33864541832669326"/>
    <n v="0.32188841201716739"/>
  </r>
  <r>
    <x v="52"/>
    <s v="z_FR0000121220"/>
    <n v="31"/>
    <n v="8"/>
    <n v="2016"/>
    <n v="0.50642201834862377"/>
    <n v="0.52765957446808509"/>
    <n v="0.53132250580046414"/>
    <n v="0.47826086956521746"/>
    <n v="0.53843852826802274"/>
    <n v="0.46022727272727276"/>
    <n v="0.47307349003272836"/>
    <n v="0.48121292023731049"/>
    <n v="0.49073064340239919"/>
    <n v="0.49803921568627457"/>
    <n v="0.51209677419354838"/>
    <n v="0.47916666666666663"/>
    <n v="0.45893719806763289"/>
  </r>
  <r>
    <x v="53"/>
    <s v="z_GB0002374006"/>
    <n v="30"/>
    <n v="6"/>
    <n v="2016"/>
    <n v="0.63689320388349502"/>
    <n v="0.65094339622641506"/>
    <n v="0.63469827586206895"/>
    <n v="0.63513513513513509"/>
    <n v="0.54136125654450262"/>
    <n v="0.45974781765276435"/>
    <n v="0.46976241900647947"/>
    <n v="0.49509803921568635"/>
    <n v="0.90652806073586523"/>
    <n v="0.55538461538461537"/>
    <n v="1.2973693439837464"/>
    <n v="1.3664818088768957"/>
    <n v="0.66896813575162828"/>
  </r>
  <r>
    <x v="54"/>
    <s v="z_GB0004835483"/>
    <n v="31"/>
    <n v="3"/>
    <n v="2016"/>
    <n v="0.56540084388185652"/>
    <n v="0.59905660377358494"/>
    <n v="1.6518436148148148"/>
    <n v="0.5539215686274509"/>
    <n v="0.50239234449760772"/>
    <n v="0.49509803921568629"/>
    <n v="0.34469696969696967"/>
    <n v="0.53289473684210531"/>
    <n v="0.55737704918032793"/>
    <n v="0.46399999999999997"/>
    <n v="0.43283582089552231"/>
    <n v="0.45454545454545453"/>
    <s v=""/>
  </r>
  <r>
    <x v="55"/>
    <s v="z_GB00B24CGK77"/>
    <n v="31"/>
    <n v="12"/>
    <n v="2016"/>
    <n v="0.51242236024844723"/>
    <n v="0.52054794520547942"/>
    <n v="0.52222222222222214"/>
    <n v="0.57676348547717837"/>
    <n v="0.51769087523277457"/>
    <n v="0.50834879406307987"/>
    <n v="0.5068078668683812"/>
    <n v="0.50586806960744635"/>
    <n v="0.53117782909930711"/>
    <n v="0.51361068310220848"/>
    <n v="0.39290240811153354"/>
    <n v="0.4051863857374392"/>
    <n v="0.39215686274509803"/>
  </r>
  <r>
    <x v="56"/>
    <s v="z_IE00BTN1Y115"/>
    <n v="30"/>
    <n v="4"/>
    <n v="2016"/>
    <n v="0.47596153846153844"/>
    <n v="0.45430809399477806"/>
    <n v="0.44510385756676557"/>
    <n v="0.32189973614775724"/>
    <n v="0.55667741232045698"/>
    <n v="0.54342978469154779"/>
    <n v="0.64094486407610496"/>
    <n v="0.57967497712082972"/>
    <n v="0.52676695901300541"/>
    <n v="0.31561019501267035"/>
    <n v="0.49187692307692304"/>
    <n v="0.41332592762004328"/>
    <n v="1.2621212121212122"/>
  </r>
  <r>
    <x v="57"/>
    <s v="z_US02209S1033"/>
    <n v="31"/>
    <n v="12"/>
    <n v="2016"/>
    <n v="0.78116343490304707"/>
    <n v="0.77844311377245512"/>
    <n v="0.78547854785478555"/>
    <n v="0.90228134110787173"/>
    <n v="0.98236596396239972"/>
    <n v="0.91069794701623763"/>
    <n v="1.0240291753900184"/>
    <n v="1.0747037646329543"/>
    <n v="0.768421052631579"/>
    <n v="0.75428571428571434"/>
    <n v="0.84637082497344507"/>
    <n v="0.63648648648648642"/>
    <n v="0.55298013245033106"/>
  </r>
  <r>
    <x v="58"/>
    <s v="z_US3703341046"/>
    <n v="31"/>
    <n v="5"/>
    <n v="2016"/>
    <n v="0.61702127659574457"/>
    <n v="0.60912052117263848"/>
    <n v="0.61971830985915499"/>
    <n v="1.0474396528166723"/>
    <n v="1.449641916341003"/>
    <n v="0.70101267467710093"/>
    <n v="0.4765625"/>
    <n v="0.61078203794124941"/>
    <n v="0.41739130434782612"/>
    <n v="0.43216080402010049"/>
    <n v="2"/>
    <n v="1.3584905660377358"/>
    <n v="1.1154688105385511"/>
  </r>
  <r>
    <x v="59"/>
    <s v="z_US4278661081"/>
    <n v="31"/>
    <n v="12"/>
    <n v="2016"/>
    <n v="0.57489878542510109"/>
    <n v="0.55698924731182786"/>
    <n v="0.55427251732101612"/>
    <n v="0.97048201971127379"/>
    <n v="0.84923884293669127"/>
    <n v="0.48655913978494625"/>
    <n v="0.62291753898468682"/>
    <n v="0.66114343534569853"/>
    <n v="0.58341539258875363"/>
    <n v="0.54838709677419351"/>
    <n v="0.63297872340425532"/>
    <n v="0.82344967807522951"/>
    <n v="1.3676803875334125"/>
  </r>
  <r>
    <x v="60"/>
    <s v="z_US4878361082"/>
    <n v="31"/>
    <n v="12"/>
    <n v="2016"/>
    <n v="0.54524361948955924"/>
    <n v="0.54871794871794877"/>
    <n v="0.57670454545454541"/>
    <n v="0.91327102736986554"/>
    <n v="0.82676575540417052"/>
    <n v="0.4774535809018568"/>
    <n v="0.48199445983379502"/>
    <n v="0.82069912906960052"/>
    <n v="1.1298656241959446"/>
    <n v="0.51003578626685175"/>
    <n v="0.74967531642964724"/>
    <n v="0.80487351812429953"/>
    <n v="0.83592409341763063"/>
  </r>
  <r>
    <x v="61"/>
    <s v="z_US4943681035"/>
    <n v="31"/>
    <n v="12"/>
    <n v="2016"/>
    <n v="0.61438848920863298"/>
    <n v="0.59480122324159024"/>
    <n v="0.60131795716639203"/>
    <n v="0.88055709491703049"/>
    <n v="1.4314732724259143"/>
    <n v="1.0053584317162447"/>
    <n v="0.86235804192127408"/>
    <n v="1.0590156547308727"/>
    <n v="0.9113055630201069"/>
    <n v="0.55286800276434001"/>
    <n v="0.81968126561263821"/>
    <n v="1.9197831948035127"/>
    <n v="0.75812854167652899"/>
  </r>
  <r>
    <x v="62"/>
    <s v="z_US57636Q1040"/>
    <n v="31"/>
    <n v="12"/>
    <n v="2016"/>
    <n v="0.1610337972166998"/>
    <n v="0.18990384615384615"/>
    <n v="0.20056497175141241"/>
    <n v="1.1276633541281336"/>
    <n v="1.1302576728310438"/>
    <n v="1.099202269328764"/>
    <n v="0.72388160840973903"/>
    <n v="0.6605141949322173"/>
    <n v="4.2704626334519567E-2"/>
    <n v="5.3619302949061663E-2"/>
    <n v="6.3761955366631248E-2"/>
    <s v=""/>
    <s v=""/>
  </r>
  <r>
    <x v="63"/>
    <s v="z_US6153691059"/>
    <n v="31"/>
    <n v="12"/>
    <n v="2016"/>
    <n v="0.30706075533661742"/>
    <n v="0.29259259259259257"/>
    <n v="0.31092436974789917"/>
    <n v="1.216766005002395"/>
    <n v="1.3493499664557298"/>
    <n v="1.2019492825441696"/>
    <n v="0.21404682274247491"/>
    <n v="0.73406549386479381"/>
    <n v="0.52650100487384122"/>
    <n v="0.23529411764705885"/>
    <n v="0.98510103252766001"/>
    <n v="1.6810119331742253"/>
    <n v="1.4178766850123621"/>
  </r>
  <r>
    <x v="64"/>
    <s v="z_US91324P1021"/>
    <n v="31"/>
    <n v="12"/>
    <n v="2016"/>
    <n v="0.11205976520811101"/>
    <n v="0.20798065296251511"/>
    <n v="0.21497919556171985"/>
    <n v="0.33335137485093924"/>
    <n v="0.87943653683474932"/>
    <n v="0.62048214942951785"/>
    <n v="0.35313884676004398"/>
    <n v="0.61364704637529577"/>
    <n v="0.59348245968647539"/>
    <n v="0.45215376666989571"/>
    <n v="0.40057861386697524"/>
    <n v="1.2295040474290277"/>
    <n v="0.18518518518518517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m/>
    <m/>
    <m/>
    <e v="#N/A"/>
    <e v="#N/A"/>
    <e v="#N/A"/>
    <e v="#N/A"/>
    <e v="#N/A"/>
    <e v="#N/A"/>
    <e v="#N/A"/>
    <e v="#N/A"/>
    <e v="#N/A"/>
    <e v="#N/A"/>
    <e v="#N/A"/>
    <e v="#N/A"/>
    <e v="#N/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0">
  <r>
    <x v="0"/>
    <s v="CH0011037469"/>
    <n v="31"/>
    <n v="12"/>
    <n v="2016"/>
    <n v="13.7"/>
    <n v="12.9"/>
    <n v="12.1"/>
    <n v="11"/>
    <n v="11.12"/>
    <n v="11.25"/>
    <n v="10.38"/>
    <n v="8.82"/>
    <n v="7.64"/>
    <n v="5.61"/>
    <n v="5.27"/>
    <n v="4.76"/>
    <n v="2.64"/>
    <n v="3.3"/>
  </r>
  <r>
    <x v="1"/>
    <s v="CH0012005267"/>
    <n v="31"/>
    <n v="12"/>
    <n v="2016"/>
    <n v="3.27"/>
    <n v="3.02"/>
    <n v="2.84"/>
    <n v="2.66"/>
    <n v="2.63"/>
    <n v="2.77"/>
    <n v="2.4700000000000002"/>
    <n v="2.42"/>
    <n v="2.34"/>
    <n v="2.02"/>
    <n v="1.89"/>
    <n v="1.42"/>
    <n v="1.1100000000000001"/>
    <n v="0.88"/>
  </r>
  <r>
    <x v="2"/>
    <s v="CH0012032048"/>
    <n v="31"/>
    <n v="12"/>
    <n v="2016"/>
    <n v="9.6"/>
    <n v="9.18"/>
    <n v="8.56"/>
    <n v="8.1"/>
    <n v="8"/>
    <n v="7.8"/>
    <n v="7.35"/>
    <n v="6.8"/>
    <n v="6.6"/>
    <n v="6"/>
    <n v="5"/>
    <n v="4.5999999999999996"/>
    <n v="3.4"/>
    <n v="2.5"/>
  </r>
  <r>
    <x v="3"/>
    <s v="CH0038863350"/>
    <n v="31"/>
    <n v="12"/>
    <n v="2016"/>
    <n v="2.58"/>
    <n v="2.4300000000000002"/>
    <n v="2.3199999999999998"/>
    <n v="2.25"/>
    <n v="2.2000000000000002"/>
    <n v="2.15"/>
    <n v="2.0499999999999998"/>
    <n v="1.95"/>
    <n v="1.85"/>
    <n v="1.6"/>
    <n v="1.4"/>
    <n v="1.22"/>
    <n v="1.04"/>
    <n v="0.9"/>
  </r>
  <r>
    <x v="4"/>
    <s v="DE0005200000"/>
    <n v="31"/>
    <n v="12"/>
    <n v="2016"/>
    <n v="0.76"/>
    <n v="0.74"/>
    <n v="0.73"/>
    <n v="0.7"/>
    <n v="0.7"/>
    <n v="0.7"/>
    <n v="0.7"/>
    <n v="0.7"/>
    <n v="0.7"/>
    <n v="0.7"/>
    <n v="0.7"/>
    <n v="0.7"/>
    <n v="0.6"/>
    <n v="0.56999999999999995"/>
  </r>
  <r>
    <x v="5"/>
    <s v="DE0005552004"/>
    <n v="31"/>
    <n v="12"/>
    <n v="2016"/>
    <n v="1.24"/>
    <n v="1.05"/>
    <n v="0.96"/>
    <n v="0.85"/>
    <n v="0.85"/>
    <n v="0.8"/>
    <n v="0.7"/>
    <n v="0.7"/>
    <n v="0.65"/>
    <n v="0.6"/>
    <n v="0.6"/>
    <n v="0.9"/>
    <n v="0.75"/>
    <n v="0.7"/>
  </r>
  <r>
    <x v="6"/>
    <s v="DE0005557508"/>
    <n v="31"/>
    <n v="12"/>
    <n v="2016"/>
    <n v="0.69"/>
    <n v="0.65"/>
    <n v="0.59"/>
    <n v="0.55000000000000004"/>
    <n v="0.5"/>
    <n v="0.5"/>
    <n v="0.7"/>
    <n v="0.7"/>
    <n v="0.7"/>
    <n v="0.78"/>
    <n v="0.78"/>
    <n v="0.78"/>
    <n v="0.72"/>
    <n v="0.72"/>
  </r>
  <r>
    <x v="7"/>
    <s v="DE0005785604"/>
    <n v="31"/>
    <n v="12"/>
    <n v="2016"/>
    <n v="0.74"/>
    <n v="0.72"/>
    <n v="0.66"/>
    <n v="0.55000000000000004"/>
    <n v="0.44"/>
    <n v="0.42"/>
    <n v="0.37"/>
    <n v="0.32"/>
    <n v="0.28999999999999998"/>
    <n v="0.25"/>
    <n v="0.23"/>
    <n v="0.22"/>
    <n v="0.19"/>
    <n v="0.16"/>
  </r>
  <r>
    <x v="8"/>
    <s v="DE0007164600"/>
    <n v="31"/>
    <n v="12"/>
    <n v="2016"/>
    <n v="1.5"/>
    <n v="1.37"/>
    <n v="1.27"/>
    <n v="1.1499999999999999"/>
    <n v="1.1000000000000001"/>
    <n v="1"/>
    <n v="0.85"/>
    <n v="0.75"/>
    <n v="0.6"/>
    <n v="0.5"/>
    <n v="0.5"/>
    <n v="0.5"/>
    <n v="0.46"/>
    <n v="0.36"/>
  </r>
  <r>
    <x v="9"/>
    <s v="DE0007236101"/>
    <n v="30"/>
    <n v="9"/>
    <n v="2016"/>
    <n v="3.95"/>
    <n v="3.82"/>
    <n v="3.61"/>
    <n v="3.5"/>
    <n v="3.3"/>
    <n v="3"/>
    <n v="3"/>
    <n v="3"/>
    <n v="2.7"/>
    <n v="1.6"/>
    <n v="1.6"/>
    <n v="1.6"/>
    <n v="1.45"/>
    <n v="1.35"/>
  </r>
  <r>
    <x v="10"/>
    <s v="DE0008404005"/>
    <n v="31"/>
    <n v="12"/>
    <n v="2016"/>
    <n v="8.1"/>
    <n v="7.75"/>
    <n v="7.58"/>
    <n v="7.3"/>
    <n v="6.85"/>
    <n v="5.3"/>
    <n v="4.5"/>
    <n v="4.5"/>
    <n v="4.5"/>
    <n v="4.0999999999999996"/>
    <n v="3.5"/>
    <n v="5.5"/>
    <n v="3.8"/>
    <n v="2"/>
  </r>
  <r>
    <x v="11"/>
    <s v="DE0008430026"/>
    <n v="31"/>
    <n v="12"/>
    <n v="2016"/>
    <n v="9"/>
    <n v="8.7200000000000006"/>
    <n v="8.4600000000000009"/>
    <n v="8.25"/>
    <n v="7.75"/>
    <n v="7.25"/>
    <n v="7"/>
    <n v="6.25"/>
    <n v="6.25"/>
    <n v="5.75"/>
    <n v="5.5"/>
    <n v="5.5"/>
    <n v="4.5"/>
    <n v="3.1"/>
  </r>
  <r>
    <x v="12"/>
    <s v="DE000BASF111"/>
    <n v="31"/>
    <n v="12"/>
    <n v="2016"/>
    <n v="3.16"/>
    <n v="3.05"/>
    <n v="2.95"/>
    <n v="2.9"/>
    <n v="2.8"/>
    <n v="2.7"/>
    <n v="2.6"/>
    <n v="2.5"/>
    <n v="2.2000000000000002"/>
    <n v="1.7"/>
    <n v="1.95"/>
    <n v="1.95"/>
    <n v="1.5"/>
    <n v="1"/>
  </r>
  <r>
    <x v="13"/>
    <s v="DE000BAY0017"/>
    <n v="31"/>
    <n v="12"/>
    <n v="2016"/>
    <n v="3.11"/>
    <n v="2.89"/>
    <n v="2.66"/>
    <n v="2.5"/>
    <n v="2.25"/>
    <n v="2.1"/>
    <n v="1.9"/>
    <n v="1.65"/>
    <n v="1.5"/>
    <n v="1.4"/>
    <n v="1.4"/>
    <n v="1.35"/>
    <n v="1"/>
    <n v="0.95"/>
  </r>
  <r>
    <x v="14"/>
    <s v="DK0060534915"/>
    <n v="31"/>
    <n v="12"/>
    <n v="2016"/>
    <n v="9.14"/>
    <n v="8.09"/>
    <n v="7.22"/>
    <n v="6.4"/>
    <n v="5"/>
    <n v="4.5"/>
    <n v="3.6"/>
    <n v="2.8"/>
    <n v="2"/>
    <n v="1.5"/>
    <n v="1.2"/>
    <n v="0.9"/>
    <n v="0.7"/>
    <n v="0.6"/>
  </r>
  <r>
    <x v="15"/>
    <s v="ES0178430E18"/>
    <n v="31"/>
    <n v="12"/>
    <n v="2016"/>
    <n v="0.75"/>
    <n v="0.7"/>
    <n v="0.71"/>
    <n v="0.4"/>
    <n v="0.4"/>
    <n v="0.75"/>
    <n v="0.82"/>
    <n v="1.52"/>
    <n v="1.3"/>
    <n v="1"/>
    <n v="0.9"/>
    <n v="0.65"/>
    <n v="0.55000000000000004"/>
    <n v="0.5"/>
  </r>
  <r>
    <x v="16"/>
    <s v="FR0000120321"/>
    <n v="31"/>
    <n v="12"/>
    <n v="2016"/>
    <n v="3.87"/>
    <n v="3.54"/>
    <n v="3.29"/>
    <n v="3.1"/>
    <n v="2.7"/>
    <n v="2.5"/>
    <n v="2.2999999999999998"/>
    <n v="2"/>
    <n v="1.8"/>
    <n v="1.5"/>
    <n v="1.44"/>
    <n v="1.38"/>
    <n v="1.18"/>
    <n v="1"/>
  </r>
  <r>
    <x v="17"/>
    <s v="FR0000120578"/>
    <n v="31"/>
    <n v="12"/>
    <n v="2016"/>
    <n v="3.28"/>
    <n v="3.05"/>
    <n v="2.97"/>
    <n v="2.93"/>
    <n v="2.85"/>
    <n v="2.8"/>
    <n v="2.77"/>
    <n v="2.65"/>
    <n v="2.4"/>
    <n v="2.2000000000000002"/>
    <n v="2.0699999999999998"/>
    <n v="1.75"/>
    <n v="1.52"/>
    <n v="1.2"/>
  </r>
  <r>
    <x v="18"/>
    <s v="FR0000120644"/>
    <n v="31"/>
    <n v="12"/>
    <n v="2016"/>
    <n v="1.94"/>
    <n v="1.81"/>
    <n v="1.68"/>
    <n v="1.6"/>
    <n v="1.5"/>
    <n v="1.45"/>
    <n v="1.45"/>
    <n v="1.39"/>
    <n v="1.3"/>
    <n v="1.2"/>
    <n v="1.2"/>
    <n v="1.1000000000000001"/>
    <n v="1"/>
    <n v="0.85"/>
  </r>
  <r>
    <x v="19"/>
    <s v="GB0002875804"/>
    <n v="31"/>
    <n v="12"/>
    <n v="2016"/>
    <n v="1.83"/>
    <n v="1.73"/>
    <n v="1.6400000000000001"/>
    <n v="1.54"/>
    <n v="1.48"/>
    <n v="1.42"/>
    <n v="1.35"/>
    <n v="1.27"/>
    <n v="1.1399999999999999"/>
    <n v="1"/>
    <n v="0.84"/>
    <n v="0.66"/>
    <n v="0.56000000000000005"/>
    <n v="0.47"/>
  </r>
  <r>
    <x v="20"/>
    <s v="GB0004544929"/>
    <n v="30"/>
    <n v="9"/>
    <n v="2016"/>
    <n v="1.87"/>
    <n v="1.71"/>
    <n v="1.55"/>
    <n v="1.41"/>
    <n v="1.28"/>
    <n v="1.1599999999999999"/>
    <n v="1.06"/>
    <n v="0.95"/>
    <n v="0.84"/>
    <n v="0.73"/>
    <n v="0.63"/>
    <n v="0.6"/>
    <m/>
    <m/>
  </r>
  <r>
    <x v="21"/>
    <s v="GB00BH4HKS39"/>
    <n v="31"/>
    <n v="3"/>
    <n v="2016"/>
    <n v="0.11800000000000001"/>
    <n v="0.115"/>
    <n v="0.115"/>
    <n v="0.11"/>
    <n v="0.11"/>
    <n v="0.1"/>
    <n v="9.5000000000000001E-2"/>
    <n v="8.8999999999999996E-2"/>
    <n v="8.3000000000000004E-2"/>
    <n v="5.6000000000000001E-2"/>
    <n v="7.4999999999999997E-2"/>
    <n v="6.8000000000000005E-2"/>
    <n v="6.0999999999999999E-2"/>
    <n v="0.04"/>
  </r>
  <r>
    <x v="22"/>
    <s v="IE00B4BNMY34"/>
    <n v="31"/>
    <n v="8"/>
    <n v="2016"/>
    <n v="2.56"/>
    <n v="2.23"/>
    <n v="2.2999999999999998"/>
    <n v="2.04"/>
    <n v="1.86"/>
    <n v="1.62"/>
    <n v="1.35"/>
    <n v="0.9"/>
    <n v="0.75"/>
    <n v="0.5"/>
    <n v="0.42"/>
    <n v="0.35"/>
    <n v="0.3"/>
    <n v="0"/>
  </r>
  <r>
    <x v="23"/>
    <s v="NL0000009355"/>
    <n v="31"/>
    <n v="12"/>
    <n v="2016"/>
    <n v="1.45"/>
    <n v="1.36"/>
    <n v="1.27"/>
    <n v="1.19"/>
    <n v="1.1200000000000001"/>
    <n v="1.05"/>
    <n v="0.97"/>
    <n v="0.9"/>
    <n v="0.83"/>
    <n v="0.8"/>
    <n v="0.77"/>
    <n v="0.75"/>
    <n v="0.70499999999999996"/>
    <n v="0.66"/>
  </r>
  <r>
    <x v="24"/>
    <s v="US00206R1023"/>
    <n v="31"/>
    <n v="12"/>
    <n v="2016"/>
    <n v="1.99"/>
    <n v="1.96"/>
    <n v="1.93"/>
    <n v="1.92"/>
    <n v="1.85"/>
    <n v="1.81"/>
    <n v="1.77"/>
    <n v="1.72"/>
    <n v="1.68"/>
    <n v="1.65"/>
    <n v="1.61"/>
    <n v="1.47"/>
    <n v="1.35"/>
    <n v="1.3"/>
  </r>
  <r>
    <x v="25"/>
    <s v="US02079K3059"/>
    <n v="31"/>
    <n v="12"/>
    <n v="2016"/>
    <n v="0"/>
    <n v="0"/>
    <n v="0"/>
    <n v="0"/>
    <n v="0"/>
    <n v="0"/>
    <n v="0"/>
    <n v="0"/>
    <n v="0"/>
    <n v="0"/>
    <n v="0"/>
    <n v="0"/>
    <n v="0"/>
    <n v="0"/>
  </r>
  <r>
    <x v="26"/>
    <s v="US09247X1019"/>
    <n v="31"/>
    <n v="12"/>
    <n v="2016"/>
    <n v="10.9"/>
    <n v="9.93"/>
    <n v="9.18"/>
    <n v="8.7200000000000006"/>
    <n v="7.72"/>
    <n v="6.72"/>
    <n v="6"/>
    <n v="5.5"/>
    <n v="4"/>
    <n v="3.12"/>
    <n v="3.12"/>
    <n v="2.68"/>
    <n v="1.68"/>
    <n v="1.2"/>
  </r>
  <r>
    <x v="27"/>
    <s v="US1266501006"/>
    <n v="31"/>
    <n v="12"/>
    <n v="2016"/>
    <n v="2.33"/>
    <n v="1.92"/>
    <n v="1.63"/>
    <n v="1.4"/>
    <n v="1.1000000000000001"/>
    <n v="0.9"/>
    <n v="0.65"/>
    <n v="0.5"/>
    <n v="0.35"/>
    <n v="0.30499999999999999"/>
    <n v="0.25800000000000001"/>
    <n v="0.22875000000000001"/>
    <n v="0.155"/>
    <n v="0.14499999999999999"/>
  </r>
  <r>
    <x v="28"/>
    <s v="US17275R1023"/>
    <n v="31"/>
    <n v="7"/>
    <n v="2016"/>
    <n v="1.1200000000000001"/>
    <n v="1"/>
    <n v="0.89"/>
    <n v="0.8"/>
    <n v="0.72"/>
    <n v="0.62"/>
    <n v="0.28000000000000003"/>
    <n v="0.12"/>
    <n v="0"/>
    <n v="0"/>
    <n v="0"/>
    <n v="0"/>
    <n v="0"/>
    <n v="0"/>
  </r>
  <r>
    <x v="29"/>
    <s v="US1912161007"/>
    <n v="31"/>
    <n v="12"/>
    <n v="2016"/>
    <n v="1.59"/>
    <n v="1.48"/>
    <n v="1.38"/>
    <n v="1.32"/>
    <n v="1.22"/>
    <n v="1.1200000000000001"/>
    <n v="1.02"/>
    <n v="0.94"/>
    <n v="0.88"/>
    <n v="0.82"/>
    <n v="0.76"/>
    <n v="0.68"/>
    <n v="0.62"/>
    <n v="0.56000000000000005"/>
  </r>
  <r>
    <x v="30"/>
    <s v="US1941621039"/>
    <n v="31"/>
    <n v="12"/>
    <n v="2016"/>
    <n v="1.84"/>
    <n v="1.69"/>
    <n v="1.57"/>
    <n v="1.5"/>
    <n v="1.42"/>
    <n v="1.33"/>
    <n v="1.22"/>
    <n v="1.1399999999999999"/>
    <n v="1.01"/>
    <n v="0.86"/>
    <n v="0.78"/>
    <n v="0.7"/>
    <n v="0.63"/>
    <n v="0.56000000000000005"/>
  </r>
  <r>
    <x v="31"/>
    <s v="US3696041033"/>
    <n v="31"/>
    <n v="12"/>
    <n v="2016"/>
    <n v="1.07"/>
    <n v="1.01"/>
    <n v="0.93"/>
    <n v="0.92"/>
    <n v="0.89"/>
    <n v="0.79"/>
    <n v="0.7"/>
    <n v="0.61"/>
    <n v="0.46"/>
    <n v="0.61"/>
    <n v="1.24"/>
    <n v="1.1499999999999999"/>
    <n v="1.03"/>
    <n v="0.91"/>
  </r>
  <r>
    <x v="32"/>
    <s v="US4592001014"/>
    <n v="31"/>
    <n v="12"/>
    <n v="2016"/>
    <n v="5.93"/>
    <n v="5.39"/>
    <n v="5.12"/>
    <n v="5"/>
    <n v="4.25"/>
    <n v="3.7"/>
    <n v="3.3"/>
    <n v="2.9"/>
    <n v="2.5"/>
    <n v="2.15"/>
    <n v="1.9"/>
    <n v="1.5"/>
    <n v="1.1000000000000001"/>
    <n v="0.78"/>
  </r>
  <r>
    <x v="33"/>
    <s v="US4781601046"/>
    <n v="31"/>
    <n v="12"/>
    <n v="2016"/>
    <n v="3.45"/>
    <n v="3.24"/>
    <n v="3.07"/>
    <n v="2.95"/>
    <n v="2.76"/>
    <n v="2.59"/>
    <n v="2.4"/>
    <n v="2.25"/>
    <n v="2.11"/>
    <n v="1.93"/>
    <n v="1.7949999999999999"/>
    <n v="1.62"/>
    <n v="1.4550000000000001"/>
    <n v="1.2749999999999999"/>
  </r>
  <r>
    <x v="34"/>
    <s v="US5007541064"/>
    <n v="31"/>
    <n v="12"/>
    <n v="2016"/>
    <n v="2.54"/>
    <n v="2.4300000000000002"/>
    <n v="2.3199999999999998"/>
    <n v="1.7"/>
    <m/>
    <m/>
    <m/>
    <m/>
    <m/>
    <m/>
    <m/>
    <m/>
    <m/>
    <m/>
  </r>
  <r>
    <x v="35"/>
    <s v="US5801351017"/>
    <n v="31"/>
    <n v="12"/>
    <n v="2016"/>
    <n v="4"/>
    <n v="3.83"/>
    <n v="3.62"/>
    <n v="3.44"/>
    <n v="3.28"/>
    <n v="3.12"/>
    <n v="2.87"/>
    <n v="2.5299999999999998"/>
    <n v="2.2599999999999998"/>
    <n v="2.0499999999999998"/>
    <n v="1.63"/>
    <n v="1.5"/>
    <n v="1"/>
    <n v="0.67"/>
  </r>
  <r>
    <x v="36"/>
    <s v="US58933Y1055"/>
    <n v="31"/>
    <n v="12"/>
    <n v="2016"/>
    <n v="1.96"/>
    <n v="1.9"/>
    <n v="1.85"/>
    <n v="1.81"/>
    <n v="1.77"/>
    <n v="1.73"/>
    <n v="1.68"/>
    <n v="1.52"/>
    <n v="1.52"/>
    <n v="1.52"/>
    <n v="1.52"/>
    <n v="1.52"/>
    <n v="1.52"/>
    <n v="1.52"/>
  </r>
  <r>
    <x v="37"/>
    <s v="US5949181045"/>
    <n v="30"/>
    <n v="6"/>
    <n v="2016"/>
    <n v="1.64"/>
    <n v="1.54"/>
    <n v="1.41"/>
    <n v="1.24"/>
    <n v="1.1200000000000001"/>
    <n v="0.92"/>
    <n v="0.8"/>
    <n v="0.64"/>
    <n v="0.52"/>
    <n v="0.52"/>
    <n v="0.44"/>
    <n v="0.4"/>
    <n v="0.35"/>
    <n v="0.34"/>
  </r>
  <r>
    <x v="38"/>
    <s v="US6092071058"/>
    <n v="31"/>
    <n v="12"/>
    <n v="2016"/>
    <n v="0.81"/>
    <n v="0.76"/>
    <n v="0.68"/>
    <n v="0.64"/>
    <n v="0.57999999999999996"/>
    <n v="0.54"/>
    <n v="0.35734072022160668"/>
    <n v="0.28342569269521412"/>
    <n v="0.12312849162011172"/>
    <n v="0.17492063492063489"/>
    <n v="4.080971659919029E-2"/>
    <m/>
    <m/>
    <m/>
  </r>
  <r>
    <x v="39"/>
    <s v="US61166W1018"/>
    <n v="31"/>
    <n v="8"/>
    <n v="2016"/>
    <n v="2.4"/>
    <n v="2.29"/>
    <n v="2.13"/>
    <n v="2.0099999999999998"/>
    <n v="1.78"/>
    <n v="1.56"/>
    <n v="1.28"/>
    <n v="1.1399999999999999"/>
    <n v="1.08"/>
    <n v="1.04"/>
    <n v="0.83"/>
    <n v="0.55000000000000004"/>
    <n v="0.4"/>
    <n v="0.34"/>
  </r>
  <r>
    <x v="40"/>
    <s v="US68389X1054"/>
    <n v="31"/>
    <n v="5"/>
    <n v="2016"/>
    <n v="0.6"/>
    <n v="0.56999999999999995"/>
    <n v="0.56000000000000005"/>
    <n v="0.51"/>
    <n v="0.48"/>
    <n v="0.3"/>
    <n v="0.24"/>
    <n v="0.21"/>
    <n v="0.2"/>
    <n v="0.05"/>
    <n v="0"/>
    <n v="0"/>
    <n v="0"/>
    <n v="0"/>
  </r>
  <r>
    <x v="41"/>
    <s v="US7134481081"/>
    <n v="31"/>
    <n v="12"/>
    <n v="2016"/>
    <n v="3.41"/>
    <n v="3.16"/>
    <n v="2.94"/>
    <n v="2.76"/>
    <n v="2.5299999999999998"/>
    <n v="2.2400000000000002"/>
    <n v="2.13"/>
    <n v="2.0299999999999998"/>
    <n v="1.89"/>
    <n v="1.78"/>
    <n v="1.65"/>
    <n v="1.43"/>
    <n v="1.1599999999999999"/>
    <n v="1.01"/>
  </r>
  <r>
    <x v="42"/>
    <s v="US7170811035"/>
    <n v="31"/>
    <n v="12"/>
    <n v="2016"/>
    <n v="1.33"/>
    <n v="1.26"/>
    <n v="1.19"/>
    <n v="1.1200000000000001"/>
    <n v="1.04"/>
    <n v="0.96"/>
    <n v="0.88"/>
    <n v="0.8"/>
    <n v="0.72"/>
    <n v="0.8"/>
    <n v="1.28"/>
    <n v="1.1599999999999999"/>
    <n v="0.96"/>
    <n v="0.76"/>
  </r>
  <r>
    <x v="43"/>
    <s v="US7181721090"/>
    <n v="31"/>
    <n v="12"/>
    <n v="2016"/>
    <n v="4.59"/>
    <n v="4.32"/>
    <n v="4.13"/>
    <n v="4.04"/>
    <n v="3.88"/>
    <n v="3.58"/>
    <n v="3.24"/>
    <n v="2.82"/>
    <n v="2.44"/>
    <n v="2.2400000000000002"/>
    <n v="1.54"/>
    <m/>
    <m/>
    <m/>
  </r>
  <r>
    <x v="44"/>
    <s v="US7427181091"/>
    <n v="30"/>
    <n v="6"/>
    <n v="2016"/>
    <n v="3.1"/>
    <n v="2.85"/>
    <n v="2.68"/>
    <n v="2.59"/>
    <n v="2.4500000000000002"/>
    <n v="2.29"/>
    <n v="2.14"/>
    <n v="1.97"/>
    <n v="1.8"/>
    <n v="1.64"/>
    <n v="1.45"/>
    <n v="1.28"/>
    <n v="1.1499999999999999"/>
    <n v="1.03"/>
  </r>
  <r>
    <x v="45"/>
    <s v="US92343V1044"/>
    <n v="31"/>
    <n v="12"/>
    <n v="2016"/>
    <n v="2.41"/>
    <n v="2.34"/>
    <n v="2.2799999999999998"/>
    <n v="2.23"/>
    <n v="2.16"/>
    <n v="2.09"/>
    <n v="2.0299999999999998"/>
    <n v="1.98"/>
    <n v="1.93"/>
    <n v="1.87"/>
    <n v="1.78"/>
    <n v="1.67"/>
    <n v="1.62"/>
    <n v="1.62"/>
  </r>
  <r>
    <x v="46"/>
    <s v="US92826C8394"/>
    <n v="30"/>
    <n v="9"/>
    <n v="2016"/>
    <n v="0.71"/>
    <n v="0.63"/>
    <n v="0.55000000000000004"/>
    <n v="0.48"/>
    <n v="0.4"/>
    <n v="0.35"/>
    <n v="0.25"/>
    <n v="0.15"/>
    <n v="0.13"/>
    <n v="0.11"/>
    <n v="2.5999999999999999E-2"/>
    <m/>
    <m/>
    <m/>
  </r>
  <r>
    <x v="47"/>
    <s v="US9311421039"/>
    <n v="31"/>
    <n v="1"/>
    <n v="2016"/>
    <n v="2.0699999999999998"/>
    <n v="2"/>
    <n v="1.96"/>
    <n v="1.92"/>
    <n v="1.88"/>
    <n v="1.59"/>
    <n v="1.46"/>
    <n v="1.21"/>
    <n v="1.0900000000000001"/>
    <n v="0.95"/>
    <n v="0.88"/>
    <n v="0.67"/>
    <n v="0.6"/>
    <n v="0.52"/>
  </r>
  <r>
    <x v="48"/>
    <s v="z_BE0003793107"/>
    <n v="31"/>
    <n v="12"/>
    <n v="2016"/>
    <n v="4.57"/>
    <n v="4.0999999999999996"/>
    <n v="3.76"/>
    <n v="3.6"/>
    <n v="3"/>
    <n v="2.0499999999999998"/>
    <n v="2.23"/>
    <n v="1.55"/>
    <n v="1.07"/>
    <n v="0.55000000000000004"/>
    <n v="0.35"/>
    <n v="0.65"/>
    <n v="0.95"/>
    <n v="0.56999999999999995"/>
  </r>
  <r>
    <x v="49"/>
    <s v="z_CH0010570759"/>
    <n v="31"/>
    <n v="12"/>
    <n v="2016"/>
    <n v="881"/>
    <n v="835"/>
    <n v="786"/>
    <n v="800"/>
    <n v="725"/>
    <n v="650"/>
    <n v="575"/>
    <n v="500"/>
    <n v="450"/>
    <n v="400"/>
    <n v="360"/>
    <n v="330"/>
    <n v="275"/>
    <n v="225"/>
  </r>
  <r>
    <x v="50"/>
    <s v="z_DE0006048432"/>
    <n v="31"/>
    <n v="12"/>
    <n v="2016"/>
    <n v="1.81"/>
    <n v="1.71"/>
    <n v="1.57"/>
    <n v="1.47"/>
    <n v="1.31"/>
    <n v="1.22"/>
    <n v="0.95"/>
    <n v="0.8"/>
    <n v="0.72"/>
    <n v="0.53"/>
    <n v="0.53"/>
    <n v="0.53"/>
    <n v="0.5"/>
    <n v="0.45"/>
  </r>
  <r>
    <x v="51"/>
    <s v="z_DE0006483001"/>
    <n v="31"/>
    <n v="12"/>
    <n v="2016"/>
    <n v="3.86"/>
    <n v="3.76"/>
    <n v="3.55"/>
    <n v="3.45"/>
    <n v="3.15"/>
    <n v="3"/>
    <n v="2.7"/>
    <n v="2.5"/>
    <n v="2.2000000000000002"/>
    <n v="1.8"/>
    <n v="1.8"/>
    <n v="1.7"/>
    <n v="1.5"/>
    <n v="1.4"/>
  </r>
  <r>
    <x v="52"/>
    <s v="z_FR0000121220"/>
    <n v="31"/>
    <n v="8"/>
    <n v="2016"/>
    <n v="2.76"/>
    <n v="2.48"/>
    <n v="2.29"/>
    <n v="2.2000000000000002"/>
    <n v="1.8"/>
    <n v="1.62"/>
    <n v="1.59"/>
    <n v="1.46"/>
    <n v="1.35"/>
    <n v="1.27"/>
    <n v="1.27"/>
    <n v="1.1499999999999999"/>
    <n v="0.95"/>
    <n v="0.75"/>
  </r>
  <r>
    <x v="53"/>
    <s v="z_GB0002374006"/>
    <n v="30"/>
    <n v="6"/>
    <n v="2016"/>
    <n v="0.65599999999999992"/>
    <n v="0.621"/>
    <n v="0.58899999999999997"/>
    <n v="0.56399999999999995"/>
    <n v="0.51700000000000002"/>
    <n v="0.47399999999999998"/>
    <n v="0.435"/>
    <n v="0.40400000000000003"/>
    <n v="0.38100000000000001"/>
    <n v="0.36099999999999999"/>
    <n v="0.34350000000000003"/>
    <n v="0.32700000000000001"/>
    <n v="0.311"/>
    <n v="0.29549999999999998"/>
  </r>
  <r>
    <x v="54"/>
    <s v="z_GB0004835483"/>
    <n v="31"/>
    <n v="3"/>
    <n v="2016"/>
    <n v="1.34"/>
    <n v="1.27"/>
    <n v="1.19"/>
    <n v="1.1299999999999999"/>
    <n v="1.05"/>
    <n v="1.01"/>
    <n v="0.91"/>
    <n v="0.81"/>
    <n v="0.68"/>
    <n v="0.57999999999999996"/>
    <n v="0.57999999999999996"/>
    <n v="0.5"/>
    <m/>
    <m/>
  </r>
  <r>
    <x v="55"/>
    <s v="z_GB00B24CGK77"/>
    <n v="31"/>
    <n v="12"/>
    <n v="2016"/>
    <n v="1.6500000000000001"/>
    <n v="1.52"/>
    <n v="1.41"/>
    <n v="1.39"/>
    <n v="1.39"/>
    <n v="1.37"/>
    <n v="1.34"/>
    <n v="1.25"/>
    <n v="1.1499999999999999"/>
    <n v="1"/>
    <n v="0.62"/>
    <n v="0.5"/>
    <n v="0.42"/>
    <n v="0.36"/>
  </r>
  <r>
    <x v="56"/>
    <s v="z_IE00BTN1Y115"/>
    <n v="30"/>
    <n v="4"/>
    <n v="2016"/>
    <n v="1.98"/>
    <n v="1.74"/>
    <n v="1.5"/>
    <n v="1.22"/>
    <n v="1.1200000000000001"/>
    <n v="1.04"/>
    <n v="0.97"/>
    <n v="0.9"/>
    <n v="0.82"/>
    <n v="0.75"/>
    <n v="0.5"/>
    <n v="0.44"/>
    <n v="0.39"/>
    <n v="0.34"/>
  </r>
  <r>
    <x v="57"/>
    <s v="z_US02209S1033"/>
    <n v="31"/>
    <n v="12"/>
    <n v="2016"/>
    <n v="2.82"/>
    <n v="2.6"/>
    <n v="2.38"/>
    <n v="2.17"/>
    <n v="2"/>
    <n v="1.84"/>
    <n v="1.7"/>
    <n v="1.58"/>
    <n v="1.46"/>
    <n v="1.32"/>
    <n v="1.04"/>
    <n v="0.94199999999999995"/>
    <n v="0.83499999999999996"/>
    <n v="0.70899999999999996"/>
  </r>
  <r>
    <x v="58"/>
    <s v="z_US3703341046"/>
    <n v="31"/>
    <n v="5"/>
    <n v="2016"/>
    <n v="2.0299999999999998"/>
    <n v="1.87"/>
    <n v="1.76"/>
    <n v="1.67"/>
    <n v="1.55"/>
    <n v="1.32"/>
    <n v="1.22"/>
    <n v="1.1200000000000001"/>
    <n v="0.96"/>
    <n v="0.86"/>
    <n v="0.79"/>
    <n v="0.72"/>
    <n v="0.67"/>
    <n v="0.62"/>
  </r>
  <r>
    <x v="59"/>
    <s v="z_US4278661081"/>
    <n v="31"/>
    <n v="12"/>
    <n v="2016"/>
    <n v="2.84"/>
    <n v="2.59"/>
    <n v="2.4"/>
    <n v="2.2400000000000002"/>
    <n v="2.04"/>
    <n v="1.81"/>
    <n v="1.56"/>
    <n v="1.38"/>
    <n v="1.28"/>
    <n v="1.19"/>
    <n v="1.19"/>
    <n v="1.1399999999999999"/>
    <n v="1.03"/>
    <n v="0.93"/>
  </r>
  <r>
    <x v="60"/>
    <s v="z_US4878361082"/>
    <n v="31"/>
    <n v="12"/>
    <n v="2016"/>
    <n v="2.35"/>
    <n v="2.14"/>
    <n v="2.0299999999999998"/>
    <n v="1.98"/>
    <n v="1.9"/>
    <n v="1.8"/>
    <n v="1.74"/>
    <n v="1.67"/>
    <n v="1.56"/>
    <n v="1.43"/>
    <n v="1.3"/>
    <n v="1.2"/>
    <n v="1.1399999999999999"/>
    <n v="1.06"/>
  </r>
  <r>
    <x v="61"/>
    <s v="z_US4943681035"/>
    <n v="31"/>
    <n v="12"/>
    <n v="2016"/>
    <n v="4.2699999999999996"/>
    <n v="3.89"/>
    <n v="3.65"/>
    <n v="3.52"/>
    <n v="3.36"/>
    <n v="3.24"/>
    <n v="2.96"/>
    <n v="2.8"/>
    <n v="2.64"/>
    <n v="2.4"/>
    <n v="2.3199999999999998"/>
    <n v="2.12"/>
    <n v="1.96"/>
    <n v="1.8"/>
  </r>
  <r>
    <x v="62"/>
    <s v="z_US57636Q1040"/>
    <n v="31"/>
    <n v="12"/>
    <n v="2016"/>
    <n v="0.81"/>
    <n v="0.79"/>
    <n v="0.71"/>
    <n v="0.64"/>
    <n v="0.44"/>
    <n v="0.21"/>
    <n v="0.12"/>
    <n v="0.06"/>
    <n v="0.06"/>
    <n v="0.06"/>
    <n v="0.06"/>
    <m/>
    <m/>
    <m/>
  </r>
  <r>
    <x v="63"/>
    <s v="z_US6153691059"/>
    <n v="31"/>
    <n v="12"/>
    <n v="2016"/>
    <n v="1.87"/>
    <n v="1.58"/>
    <n v="1.48"/>
    <n v="1.36"/>
    <n v="1.18"/>
    <n v="0.98"/>
    <n v="0.64"/>
    <n v="0.54"/>
    <n v="0.42"/>
    <n v="0.4"/>
    <n v="0.4"/>
    <n v="0.34"/>
    <n v="0.28999999999999998"/>
    <n v="0.24"/>
  </r>
  <r>
    <x v="64"/>
    <s v="z_US91324P1021"/>
    <n v="31"/>
    <n v="12"/>
    <n v="2016"/>
    <n v="1.05"/>
    <n v="1.72"/>
    <n v="1.55"/>
    <n v="1.88"/>
    <n v="1.41"/>
    <n v="1.05"/>
    <n v="0.8"/>
    <n v="0.61"/>
    <n v="0.40500000000000003"/>
    <n v="0.03"/>
    <n v="0.03"/>
    <n v="0.03"/>
    <n v="0.03"/>
    <n v="0.02"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0">
  <r>
    <x v="0"/>
    <s v="CH0011037469"/>
    <n v="31"/>
    <n v="12"/>
    <n v="2016"/>
    <n v="109"/>
    <n v="99.6"/>
    <n v="94.9"/>
    <n v="91.53"/>
    <n v="96.98"/>
    <n v="103.44"/>
    <n v="95.32"/>
    <n v="82.12"/>
    <n v="80.680000000000007"/>
    <n v="75.489999999999995"/>
    <n v="60.72"/>
    <n v="59.74"/>
    <n v="54.48"/>
  </r>
  <r>
    <x v="1"/>
    <s v="CH0012005267"/>
    <n v="31"/>
    <n v="12"/>
    <n v="2016"/>
    <n v="29.2"/>
    <n v="29.9"/>
    <n v="28.4"/>
    <n v="32.46"/>
    <n v="29.5"/>
    <n v="30.64"/>
    <n v="25.53"/>
    <n v="23.98"/>
    <n v="23.96"/>
    <n v="21.76"/>
    <n v="19.02"/>
    <n v="18.04"/>
    <n v="15.06"/>
  </r>
  <r>
    <x v="2"/>
    <s v="CH0012032048"/>
    <n v="31"/>
    <n v="12"/>
    <n v="2016"/>
    <n v="44.5"/>
    <n v="36.4"/>
    <n v="30.2"/>
    <n v="24.32"/>
    <n v="22.71"/>
    <n v="22.37"/>
    <n v="16.8"/>
    <n v="14.02"/>
    <n v="10.98"/>
    <n v="8.5399999999999991"/>
    <m/>
    <m/>
    <m/>
  </r>
  <r>
    <x v="3"/>
    <s v="CH0038863350"/>
    <n v="31"/>
    <n v="12"/>
    <n v="2016"/>
    <n v="24.5"/>
    <n v="23.8"/>
    <n v="22.4"/>
    <n v="19.55"/>
    <n v="21.75"/>
    <n v="19.399999999999999"/>
    <n v="18.899999999999999"/>
    <n v="17.21"/>
    <n v="17.850000000000001"/>
    <m/>
    <m/>
    <m/>
    <m/>
  </r>
  <r>
    <x v="4"/>
    <s v="DE0005200000"/>
    <n v="31"/>
    <n v="12"/>
    <n v="2016"/>
    <n v="25.3"/>
    <n v="22"/>
    <n v="19.600000000000001"/>
    <n v="16.670000000000002"/>
    <n v="14.44"/>
    <n v="13.51"/>
    <n v="13.04"/>
    <n v="11.97"/>
    <n v="11.59"/>
    <n v="10.46"/>
    <n v="9.76"/>
    <n v="8.2100000000000009"/>
    <n v="7.1"/>
  </r>
  <r>
    <x v="5"/>
    <s v="DE0005552004"/>
    <n v="31"/>
    <n v="12"/>
    <n v="2016"/>
    <n v="12.2"/>
    <n v="10.8"/>
    <n v="9.7100000000000009"/>
    <n v="9.1"/>
    <n v="7.74"/>
    <n v="8.15"/>
    <n v="9.89"/>
    <n v="9.11"/>
    <n v="8.69"/>
    <n v="6.76"/>
    <n v="6.47"/>
    <n v="9.16"/>
    <n v="9.33"/>
  </r>
  <r>
    <x v="6"/>
    <s v="DE0005557508"/>
    <n v="31"/>
    <n v="12"/>
    <n v="2016"/>
    <n v="7.87"/>
    <n v="6.93"/>
    <n v="6.53"/>
    <n v="8.2799999999999994"/>
    <n v="7.51"/>
    <n v="7.2"/>
    <n v="7.07"/>
    <n v="9.24"/>
    <n v="9.9600000000000009"/>
    <n v="9.6199999999999992"/>
    <n v="9.89"/>
    <n v="10.37"/>
    <n v="11.39"/>
  </r>
  <r>
    <x v="7"/>
    <s v="DE0005785604"/>
    <n v="31"/>
    <n v="12"/>
    <n v="2016"/>
    <n v="28.1"/>
    <n v="25"/>
    <n v="22.6"/>
    <n v="20.04"/>
    <n v="17.239999999999998"/>
    <n v="15.2"/>
    <n v="14.28"/>
    <n v="12.19"/>
    <n v="10.18"/>
    <n v="8.83"/>
    <n v="8.09"/>
    <n v="7.33"/>
    <n v="6.84"/>
  </r>
  <r>
    <x v="8"/>
    <s v="DE0007164600"/>
    <n v="31"/>
    <n v="12"/>
    <n v="2016"/>
    <n v="25.7"/>
    <n v="22.4"/>
    <n v="20.3"/>
    <n v="18.940000000000001"/>
    <n v="15.88"/>
    <n v="13.06"/>
    <n v="11.53"/>
    <n v="10.34"/>
    <n v="7.99"/>
    <n v="6.91"/>
    <n v="5.86"/>
    <n v="5.22"/>
    <n v="4.84"/>
  </r>
  <r>
    <x v="9"/>
    <s v="DE0007236101"/>
    <n v="30"/>
    <n v="9"/>
    <n v="2016"/>
    <n v="51.4"/>
    <n v="47.4"/>
    <n v="44.5"/>
    <n v="39.130000000000003"/>
    <n v="35.14"/>
    <n v="31.91"/>
    <n v="34.880000000000003"/>
    <n v="34.49"/>
    <n v="31.01"/>
    <n v="29.15"/>
    <n v="29.29"/>
    <n v="31.72"/>
    <n v="32.89"/>
  </r>
  <r>
    <x v="10"/>
    <s v="DE0008404005"/>
    <n v="31"/>
    <n v="12"/>
    <n v="2016"/>
    <n v="152"/>
    <n v="147"/>
    <n v="141"/>
    <n v="138.16999999999999"/>
    <n v="132.93"/>
    <n v="109.71"/>
    <n v="117.45"/>
    <n v="98.65"/>
    <n v="97.89"/>
    <n v="88.49"/>
    <n v="74.349999999999994"/>
    <n v="106.07"/>
    <n v="116.8"/>
  </r>
  <r>
    <x v="11"/>
    <s v="DE0008430026"/>
    <n v="31"/>
    <n v="12"/>
    <n v="2016"/>
    <n v="204"/>
    <n v="199"/>
    <n v="194"/>
    <n v="185.8"/>
    <n v="173.66"/>
    <n v="144.88"/>
    <n v="151.56"/>
    <n v="128.62"/>
    <n v="120.86"/>
    <n v="111.7"/>
    <n v="101.58"/>
    <n v="114.53"/>
    <n v="113.01"/>
  </r>
  <r>
    <x v="12"/>
    <s v="DE000BASF111"/>
    <n v="31"/>
    <n v="12"/>
    <n v="2016"/>
    <n v="36.4"/>
    <n v="33.9"/>
    <n v="32.799999999999997"/>
    <n v="34.340000000000003"/>
    <n v="30.7"/>
    <n v="30.25"/>
    <n v="28.09"/>
    <n v="27.64"/>
    <n v="24.67"/>
    <n v="20.260000000000002"/>
    <n v="20.38"/>
    <n v="21.01"/>
    <n v="18.59"/>
  </r>
  <r>
    <x v="13"/>
    <s v="DE000BAY0017"/>
    <n v="31"/>
    <n v="12"/>
    <n v="2016"/>
    <n v="35.9"/>
    <n v="34.9"/>
    <n v="31.7"/>
    <n v="30.77"/>
    <n v="24.45"/>
    <n v="25.16"/>
    <n v="22.45"/>
    <n v="23.3"/>
    <n v="22.85"/>
    <n v="22.92"/>
    <n v="21.38"/>
    <n v="22.01"/>
    <m/>
  </r>
  <r>
    <x v="14"/>
    <s v="DK0060534915"/>
    <n v="31"/>
    <n v="12"/>
    <n v="2016"/>
    <n v="31"/>
    <n v="25.8"/>
    <n v="21.5"/>
    <n v="18.07"/>
    <n v="15.21"/>
    <n v="15.48"/>
    <n v="14.51"/>
    <n v="13.47"/>
    <n v="12.92"/>
    <n v="12.15"/>
    <n v="10.85"/>
    <n v="9.9600000000000009"/>
    <n v="9.5"/>
  </r>
  <r>
    <x v="15"/>
    <s v="ES0178430E18"/>
    <n v="31"/>
    <n v="12"/>
    <n v="2016"/>
    <n v="5.0199999999999996"/>
    <n v="4.6500000000000004"/>
    <n v="4.53"/>
    <n v="3.6"/>
    <n v="4.53"/>
    <n v="4.6500000000000004"/>
    <n v="4.5"/>
    <n v="4.8"/>
    <n v="5.41"/>
    <n v="4.7699999999999996"/>
    <n v="3.66"/>
    <n v="4.22"/>
    <n v="3.49"/>
  </r>
  <r>
    <x v="16"/>
    <s v="FR0000120321"/>
    <n v="31"/>
    <n v="12"/>
    <n v="2016"/>
    <n v="50.2"/>
    <n v="47.2"/>
    <n v="43.7"/>
    <n v="41.94"/>
    <n v="35.97"/>
    <n v="37.36"/>
    <n v="34.380000000000003"/>
    <n v="29.25"/>
    <n v="24.73"/>
    <n v="22.7"/>
    <n v="19.63"/>
    <n v="22.04"/>
    <n v="22.86"/>
  </r>
  <r>
    <x v="17"/>
    <s v="FR0000120578"/>
    <n v="31"/>
    <n v="12"/>
    <n v="2016"/>
    <n v="48.6"/>
    <n v="46.4"/>
    <n v="45"/>
    <n v="44.46"/>
    <n v="42.54"/>
    <n v="42.95"/>
    <n v="43.23"/>
    <n v="41.93"/>
    <n v="40.5"/>
    <n v="36.65"/>
    <n v="34.11"/>
    <n v="32.61"/>
    <n v="33.54"/>
  </r>
  <r>
    <x v="18"/>
    <s v="FR0000120644"/>
    <n v="31"/>
    <n v="12"/>
    <n v="2016"/>
    <n v="27.2"/>
    <n v="23.7"/>
    <n v="22.2"/>
    <n v="20.49"/>
    <n v="19.489999999999998"/>
    <n v="18.239999999999998"/>
    <n v="20.55"/>
    <n v="20.149999999999999"/>
    <n v="19.38"/>
    <n v="21.61"/>
    <n v="16.82"/>
    <n v="17.59"/>
    <m/>
  </r>
  <r>
    <x v="19"/>
    <s v="GB0002875804"/>
    <n v="31"/>
    <n v="12"/>
    <n v="2016"/>
    <n v="3.88"/>
    <n v="4.01"/>
    <n v="3.02"/>
    <n v="2.41"/>
    <n v="2.72"/>
    <n v="3.27"/>
    <n v="3.69"/>
    <n v="4.03"/>
    <n v="4.54"/>
    <n v="3.76"/>
    <n v="3.43"/>
    <n v="3.39"/>
    <m/>
  </r>
  <r>
    <x v="20"/>
    <s v="GB0004544929"/>
    <n v="30"/>
    <n v="9"/>
    <n v="2016"/>
    <n v="6.6400000000000006"/>
    <n v="6.41"/>
    <n v="5.98"/>
    <n v="5.14"/>
    <n v="4.8899999999999997"/>
    <n v="5.24"/>
    <n v="5.65"/>
    <n v="7.17"/>
    <n v="6.58"/>
    <n v="6.12"/>
    <n v="5.91"/>
    <m/>
    <m/>
  </r>
  <r>
    <x v="21"/>
    <s v="GB00BH4HKS39"/>
    <n v="31"/>
    <n v="3"/>
    <n v="2016"/>
    <n v="2.2200000000000002"/>
    <n v="2.2600000000000002"/>
    <n v="2.3199999999999998"/>
    <n v="2.2999999999999998"/>
    <n v="2.46"/>
    <m/>
    <m/>
    <m/>
    <m/>
    <m/>
    <m/>
    <m/>
    <m/>
  </r>
  <r>
    <x v="22"/>
    <s v="IE00B4BNMY34"/>
    <n v="31"/>
    <n v="8"/>
    <n v="2016"/>
    <n v="14.3"/>
    <n v="11.5"/>
    <n v="10.5"/>
    <n v="9.44"/>
    <n v="8.73"/>
    <n v="7.44"/>
    <n v="6.13"/>
    <n v="5.62"/>
    <n v="4.07"/>
    <n v="3.98"/>
    <n v="3.47"/>
    <n v="2.71"/>
    <n v="2.29"/>
  </r>
  <r>
    <x v="23"/>
    <s v="NL0000009355"/>
    <n v="31"/>
    <n v="12"/>
    <n v="2016"/>
    <n v="6.94"/>
    <n v="6.45"/>
    <n v="5.81"/>
    <n v="5.15"/>
    <n v="4.55"/>
    <n v="4.78"/>
    <n v="5.05"/>
    <n v="4.76"/>
    <n v="4.83"/>
    <n v="4.0199999999999996"/>
    <n v="3.32"/>
    <n v="4.13"/>
    <n v="3.74"/>
  </r>
  <r>
    <x v="24"/>
    <s v="US00206R1023"/>
    <n v="31"/>
    <n v="12"/>
    <n v="2016"/>
    <n v="22"/>
    <n v="20.9"/>
    <n v="19.600000000000001"/>
    <n v="20.12"/>
    <n v="16.760000000000002"/>
    <n v="17.5"/>
    <n v="16.61"/>
    <n v="17.850000000000001"/>
    <n v="18.940000000000001"/>
    <n v="17.34"/>
    <n v="16.350000000000001"/>
    <n v="19.09"/>
    <n v="18.52"/>
  </r>
  <r>
    <x v="25"/>
    <s v="US02079K3059"/>
    <n v="31"/>
    <n v="12"/>
    <n v="2016"/>
    <n v="296"/>
    <n v="253"/>
    <n v="213"/>
    <n v="175.07"/>
    <n v="153.63999999999999"/>
    <n v="129.99"/>
    <n v="108.67"/>
    <n v="89.48"/>
    <n v="71.959999999999994"/>
    <n v="56.65"/>
    <n v="44.81"/>
    <n v="36.26"/>
    <n v="27.57"/>
  </r>
  <r>
    <x v="26"/>
    <s v="US09247X1019"/>
    <n v="31"/>
    <n v="12"/>
    <n v="2016"/>
    <n v="193"/>
    <n v="183"/>
    <n v="176"/>
    <n v="169.07"/>
    <n v="166.79"/>
    <n v="158.83000000000001"/>
    <n v="147.43"/>
    <n v="140.47999999999999"/>
    <n v="136.47999999999999"/>
    <n v="128.85"/>
    <n v="102.13"/>
    <n v="98.87"/>
    <n v="92.6"/>
  </r>
  <r>
    <x v="27"/>
    <s v="US1266501006"/>
    <n v="31"/>
    <n v="12"/>
    <n v="2016"/>
    <n v="36.799999999999997"/>
    <n v="35.700000000000003"/>
    <n v="34.5"/>
    <n v="33.79"/>
    <n v="33.299999999999997"/>
    <n v="32.15"/>
    <n v="30.62"/>
    <n v="29.32"/>
    <n v="27.66"/>
    <n v="25.72"/>
    <n v="24.03"/>
    <n v="21.8"/>
    <m/>
  </r>
  <r>
    <x v="28"/>
    <s v="US17275R1023"/>
    <n v="31"/>
    <n v="7"/>
    <n v="2016"/>
    <n v="13.9"/>
    <n v="13.5"/>
    <n v="12.4"/>
    <n v="11.74"/>
    <n v="11.09"/>
    <n v="10.97"/>
    <n v="9.68"/>
    <n v="8.69"/>
    <n v="7.83"/>
    <n v="6.68"/>
    <n v="5.83"/>
    <n v="5.2"/>
    <n v="3.95"/>
  </r>
  <r>
    <x v="29"/>
    <s v="US1912161007"/>
    <n v="31"/>
    <n v="12"/>
    <n v="2016"/>
    <n v="4.37"/>
    <n v="4.8499999999999996"/>
    <n v="5.44"/>
    <n v="5.88"/>
    <n v="6.94"/>
    <n v="7.54"/>
    <n v="7.34"/>
    <n v="6.99"/>
    <n v="6.76"/>
    <n v="5.38"/>
    <n v="4.43"/>
    <n v="4.6900000000000004"/>
    <n v="3.65"/>
  </r>
  <r>
    <x v="30"/>
    <s v="US1941621039"/>
    <n v="31"/>
    <n v="12"/>
    <n v="2016"/>
    <n v="-0.14000000000000001"/>
    <n v="-0.3"/>
    <n v="-0.28999999999999998"/>
    <n v="-0.05"/>
    <n v="1.53"/>
    <n v="2.76"/>
    <n v="2.56"/>
    <n v="2.65"/>
    <n v="2.85"/>
    <n v="3.3"/>
    <n v="1.92"/>
    <n v="2.25"/>
    <n v="1.38"/>
  </r>
  <r>
    <x v="31"/>
    <s v="US3696041033"/>
    <n v="31"/>
    <n v="12"/>
    <n v="2016"/>
    <n v="9.9700000000000006"/>
    <n v="9.7799999999999994"/>
    <n v="9.81"/>
    <n v="10.48"/>
    <n v="12.74"/>
    <n v="12.98"/>
    <n v="11.82"/>
    <n v="11.01"/>
    <n v="11.2"/>
    <n v="11"/>
    <n v="9.93"/>
    <n v="11.57"/>
    <n v="10.93"/>
  </r>
  <r>
    <x v="32"/>
    <s v="US4592001014"/>
    <n v="31"/>
    <n v="12"/>
    <n v="2016"/>
    <n v="18.7"/>
    <n v="17.3"/>
    <n v="16.8"/>
    <n v="14.87"/>
    <n v="12.13"/>
    <n v="21.75"/>
    <n v="16.989999999999998"/>
    <n v="17.399999999999999"/>
    <n v="19"/>
    <n v="17.43"/>
    <n v="10.06"/>
    <n v="20.55"/>
    <n v="18.920000000000002"/>
  </r>
  <r>
    <x v="33"/>
    <s v="US4781601046"/>
    <n v="31"/>
    <n v="12"/>
    <n v="2016"/>
    <n v="33.200000000000003"/>
    <n v="29.2"/>
    <n v="26.6"/>
    <n v="25.82"/>
    <n v="25.06"/>
    <n v="26.25"/>
    <n v="23.33"/>
    <n v="20.95"/>
    <n v="20.66"/>
    <n v="18.37"/>
    <n v="15.35"/>
    <n v="15.25"/>
    <n v="13.59"/>
  </r>
  <r>
    <x v="34"/>
    <s v="US5007541064"/>
    <n v="31"/>
    <n v="12"/>
    <n v="2016"/>
    <n v="49.4"/>
    <n v="48.5"/>
    <n v="46.9"/>
    <n v="47.69"/>
    <m/>
    <m/>
    <m/>
    <m/>
    <m/>
    <m/>
    <m/>
    <m/>
    <m/>
  </r>
  <r>
    <x v="35"/>
    <s v="US5801351017"/>
    <n v="31"/>
    <n v="12"/>
    <n v="2016"/>
    <n v="-3.66"/>
    <n v="-4.6900000000000004"/>
    <n v="-2.64"/>
    <n v="7.82"/>
    <n v="13.35"/>
    <n v="16.16"/>
    <n v="15.25"/>
    <n v="14.09"/>
    <n v="13.89"/>
    <n v="12.67"/>
    <n v="12"/>
    <n v="13.11"/>
    <n v="12.84"/>
  </r>
  <r>
    <x v="36"/>
    <s v="US58933Y1055"/>
    <n v="31"/>
    <n v="12"/>
    <n v="2016"/>
    <n v="17.600000000000001"/>
    <n v="17.100000000000001"/>
    <n v="17.5"/>
    <n v="16.059999999999999"/>
    <n v="17.14"/>
    <n v="17"/>
    <n v="17.52"/>
    <n v="17.93"/>
    <n v="17.64"/>
    <n v="19"/>
    <m/>
    <m/>
    <m/>
  </r>
  <r>
    <x v="37"/>
    <s v="US5949181045"/>
    <n v="30"/>
    <n v="6"/>
    <n v="2016"/>
    <n v="11.8"/>
    <n v="10.5"/>
    <n v="10.3"/>
    <n v="9.98"/>
    <n v="10.9"/>
    <n v="9.48"/>
    <n v="7.92"/>
    <n v="6.82"/>
    <n v="5.33"/>
    <n v="4.4400000000000004"/>
    <n v="3.97"/>
    <n v="3.32"/>
    <n v="3.99"/>
  </r>
  <r>
    <x v="38"/>
    <s v="US6092071058"/>
    <n v="31"/>
    <n v="12"/>
    <n v="2016"/>
    <n v="18.899999999999999"/>
    <n v="19.600000000000001"/>
    <n v="18.899999999999999"/>
    <n v="17.73"/>
    <n v="16.68"/>
    <n v="18.98"/>
    <n v="18.12"/>
    <n v="14.940000000000001"/>
    <n v="15.375"/>
    <n v="13.1325"/>
    <n v="11.385"/>
    <m/>
    <m/>
  </r>
  <r>
    <x v="39"/>
    <s v="US61166W1018"/>
    <n v="31"/>
    <n v="8"/>
    <n v="2016"/>
    <n v="14"/>
    <n v="13.7"/>
    <n v="11.2"/>
    <n v="14.94"/>
    <n v="16.23"/>
    <n v="23.74"/>
    <n v="22.14"/>
    <n v="21.57"/>
    <n v="18.690000000000001"/>
    <n v="18.420000000000002"/>
    <n v="17.09"/>
    <n v="13.75"/>
    <n v="12.01"/>
  </r>
  <r>
    <x v="40"/>
    <s v="US68389X1054"/>
    <n v="31"/>
    <n v="5"/>
    <n v="2016"/>
    <n v="11.8"/>
    <n v="11.4"/>
    <n v="11"/>
    <n v="11.2"/>
    <n v="10.5"/>
    <n v="9.61"/>
    <n v="8.91"/>
    <n v="7.85"/>
    <n v="6.13"/>
    <n v="5.01"/>
    <n v="4.47"/>
    <n v="3.31"/>
    <n v="2.87"/>
  </r>
  <r>
    <x v="41"/>
    <s v="US7134481081"/>
    <n v="31"/>
    <n v="12"/>
    <n v="2016"/>
    <n v="7.64"/>
    <n v="8.52"/>
    <n v="8.01"/>
    <n v="8.42"/>
    <n v="11.93"/>
    <n v="16.100000000000001"/>
    <n v="14.6"/>
    <n v="13.44"/>
    <n v="13.65"/>
    <n v="11.21"/>
    <n v="7.86"/>
    <n v="10.79"/>
    <n v="9.43"/>
  </r>
  <r>
    <x v="42"/>
    <s v="US7170811035"/>
    <n v="31"/>
    <n v="12"/>
    <n v="2016"/>
    <n v="11.8"/>
    <n v="11.1"/>
    <n v="10.7"/>
    <n v="10.48"/>
    <n v="11.33"/>
    <n v="11.92"/>
    <n v="11.17"/>
    <n v="10.85"/>
    <n v="10.96"/>
    <n v="11.15"/>
    <m/>
    <m/>
    <m/>
  </r>
  <r>
    <x v="43"/>
    <s v="US7181721090"/>
    <n v="31"/>
    <n v="12"/>
    <n v="2016"/>
    <n v="-2.21"/>
    <n v="-3.41"/>
    <n v="-3.48"/>
    <n v="-8.5500000000000007"/>
    <n v="-8.16"/>
    <n v="-4.8899999999999997"/>
    <n v="-2.2200000000000002"/>
    <n v="0.13"/>
    <n v="1.95"/>
    <n v="3.03"/>
    <m/>
    <m/>
    <m/>
  </r>
  <r>
    <x v="44"/>
    <s v="US7427181091"/>
    <n v="30"/>
    <n v="6"/>
    <n v="2016"/>
    <n v="22.9"/>
    <n v="22.7"/>
    <n v="22"/>
    <n v="23.23"/>
    <n v="25.81"/>
    <n v="25.06"/>
    <n v="23.3"/>
    <n v="24.59"/>
    <n v="21.61"/>
    <n v="21.65"/>
    <n v="22.91"/>
    <n v="21.32"/>
    <n v="19.79"/>
  </r>
  <r>
    <x v="45"/>
    <s v="US92343V1044"/>
    <n v="31"/>
    <n v="12"/>
    <n v="2016"/>
    <n v="10.199999999999999"/>
    <n v="8.08"/>
    <n v="6.45"/>
    <n v="4.03"/>
    <n v="2.96"/>
    <m/>
    <m/>
    <m/>
    <m/>
    <m/>
    <m/>
    <m/>
    <m/>
  </r>
  <r>
    <x v="46"/>
    <s v="US92826C8394"/>
    <n v="30"/>
    <n v="9"/>
    <n v="2016"/>
    <n v="19.8"/>
    <n v="16"/>
    <n v="13.4"/>
    <n v="13.47"/>
    <n v="8.7899999999999991"/>
    <n v="8.61"/>
    <n v="8.52"/>
    <n v="8.02"/>
    <n v="7.49"/>
    <m/>
    <m/>
    <m/>
    <m/>
  </r>
  <r>
    <x v="47"/>
    <s v="US9311421039"/>
    <n v="31"/>
    <n v="1"/>
    <n v="2016"/>
    <n v="26.9"/>
    <n v="26.5"/>
    <n v="25.1"/>
    <n v="25.21"/>
    <n v="23.59"/>
    <n v="23.04"/>
    <n v="20.86"/>
    <n v="19.489999999999998"/>
    <n v="18.82"/>
    <n v="16.63"/>
    <n v="16.260000000000002"/>
    <n v="14.91"/>
    <n v="12.77"/>
  </r>
  <r>
    <x v="48"/>
    <s v="z_BE0003793107"/>
    <n v="31"/>
    <n v="12"/>
    <n v="2016"/>
    <n v="29.1"/>
    <n v="27.9"/>
    <n v="29.7"/>
    <n v="26.2"/>
    <n v="31.08"/>
    <n v="31.32"/>
    <n v="25.6"/>
    <n v="23.34"/>
    <n v="21.97"/>
    <n v="18.899999999999999"/>
    <m/>
    <m/>
    <m/>
  </r>
  <r>
    <x v="49"/>
    <s v="z_CH0010570759"/>
    <n v="31"/>
    <n v="12"/>
    <n v="2016"/>
    <n v="12471"/>
    <n v="16156"/>
    <n v="15168"/>
    <n v="25660"/>
    <n v="22071"/>
    <n v="19373"/>
    <n v="12607"/>
    <n v="11565"/>
    <n v="11946"/>
    <n v="16177"/>
    <n v="14790"/>
    <n v="13894"/>
    <n v="11558"/>
  </r>
  <r>
    <x v="50"/>
    <s v="z_DE0006048432"/>
    <n v="31"/>
    <n v="12"/>
    <n v="2016"/>
    <n v="40.799999999999997"/>
    <n v="39.6"/>
    <n v="36.299999999999997"/>
    <n v="31.53"/>
    <n v="26.59"/>
    <n v="23.19"/>
    <n v="21.72"/>
    <n v="20"/>
    <n v="18.149999999999999"/>
    <n v="14.94"/>
    <n v="14.92"/>
    <n v="13.03"/>
    <n v="12.66"/>
  </r>
  <r>
    <x v="51"/>
    <s v="z_DE0006483001"/>
    <n v="31"/>
    <n v="12"/>
    <n v="2016"/>
    <n v="89.7"/>
    <n v="80.7"/>
    <n v="77.599999999999994"/>
    <n v="83.18"/>
    <n v="76.81"/>
    <n v="73.180000000000007"/>
    <n v="73.739999999999995"/>
    <n v="70.98"/>
    <n v="66.72"/>
    <n v="54.39"/>
    <n v="48.96"/>
    <n v="55.38"/>
    <n v="51.18"/>
  </r>
  <r>
    <x v="52"/>
    <s v="z_FR0000121220"/>
    <n v="31"/>
    <n v="8"/>
    <n v="2016"/>
    <n v="30.3"/>
    <n v="27.8"/>
    <n v="25.3"/>
    <n v="23.61"/>
    <n v="20.3"/>
    <n v="18.8"/>
    <n v="19.309999999999999"/>
    <n v="16.14"/>
    <n v="17.23"/>
    <n v="14.51"/>
    <n v="12.78"/>
    <n v="14.59"/>
    <n v="13.56"/>
  </r>
  <r>
    <x v="53"/>
    <s v="z_GB0002374006"/>
    <n v="30"/>
    <n v="6"/>
    <n v="2016"/>
    <n v="4.01"/>
    <n v="3.77"/>
    <n v="3.34"/>
    <n v="2.82"/>
    <n v="2.48"/>
    <n v="2.5499999999999998"/>
    <n v="2.0299999999999998"/>
    <n v="1.9"/>
    <n v="1.45"/>
    <n v="1.1399999999999999"/>
    <n v="1.25"/>
    <n v="1.36"/>
    <n v="1.48"/>
  </r>
  <r>
    <x v="54"/>
    <s v="z_GB0004835483"/>
    <n v="31"/>
    <n v="3"/>
    <n v="2016"/>
    <n v="17.2"/>
    <n v="16.2"/>
    <n v="15.2"/>
    <n v="13.83"/>
    <n v="15.74"/>
    <n v="15.79"/>
    <n v="15.07"/>
    <n v="13.27"/>
    <n v="12.13"/>
    <n v="9.6999999999999993"/>
    <n v="11.65"/>
    <n v="9.57"/>
    <m/>
  </r>
  <r>
    <x v="55"/>
    <s v="z_GB00B24CGK77"/>
    <n v="31"/>
    <n v="12"/>
    <n v="2016"/>
    <n v="12.200000000000001"/>
    <n v="11.34"/>
    <n v="10.33"/>
    <n v="9.3699999999999992"/>
    <n v="9.2799999999999994"/>
    <n v="8.6"/>
    <n v="8.06"/>
    <n v="7.84"/>
    <n v="6.97"/>
    <n v="5.55"/>
    <n v="4.5599999999999996"/>
    <n v="3.3"/>
    <n v="2.59"/>
  </r>
  <r>
    <x v="56"/>
    <s v="z_IE00BTN1Y115"/>
    <n v="30"/>
    <n v="4"/>
    <n v="2016"/>
    <n v="40.299999999999997"/>
    <n v="38.5"/>
    <n v="37.200000000000003"/>
    <n v="37.44"/>
    <n v="19.46"/>
    <n v="18.38"/>
    <n v="16.5"/>
    <n v="14.92"/>
    <n v="13.33"/>
    <n v="11.78"/>
    <n v="10.26"/>
    <n v="9.6"/>
    <n v="8.1199999999999992"/>
  </r>
  <r>
    <x v="57"/>
    <s v="z_US02209S1033"/>
    <n v="31"/>
    <n v="12"/>
    <n v="2016"/>
    <n v="1.34"/>
    <n v="1.52"/>
    <n v="1.65"/>
    <n v="1.47"/>
    <n v="1.53"/>
    <n v="2.0699999999999998"/>
    <n v="1.58"/>
    <n v="1.8"/>
    <n v="2.4900000000000002"/>
    <n v="1.96"/>
    <m/>
    <m/>
    <m/>
  </r>
  <r>
    <x v="58"/>
    <s v="z_US3703341046"/>
    <n v="31"/>
    <n v="5"/>
    <n v="2016"/>
    <n v="8.98"/>
    <n v="8.8699999999999992"/>
    <n v="8.51"/>
    <n v="8.35"/>
    <n v="10.67"/>
    <n v="10.41"/>
    <n v="9.9"/>
    <n v="9.8699999999999992"/>
    <n v="8.3000000000000007"/>
    <n v="7.95"/>
    <n v="10.45"/>
    <n v="7.82"/>
    <n v="8.11"/>
  </r>
  <r>
    <x v="59"/>
    <s v="z_US4278661081"/>
    <n v="31"/>
    <n v="12"/>
    <n v="2016"/>
    <n v="6.99"/>
    <n v="6.08"/>
    <n v="6.53"/>
    <n v="4.5999999999999996"/>
    <n v="6.58"/>
    <n v="7.17"/>
    <n v="4.63"/>
    <n v="3.77"/>
    <n v="3.97"/>
    <n v="3.16"/>
    <n v="1.4"/>
    <n v="2.61"/>
    <n v="2.97"/>
  </r>
  <r>
    <x v="60"/>
    <s v="z_US4878361082"/>
    <n v="31"/>
    <n v="12"/>
    <n v="2016"/>
    <n v="5.53"/>
    <n v="4.82"/>
    <n v="5.87"/>
    <n v="6.08"/>
    <n v="7.83"/>
    <n v="9.77"/>
    <n v="6.7"/>
    <n v="4.93"/>
    <n v="5.91"/>
    <n v="5.97"/>
    <n v="3.79"/>
    <n v="6.48"/>
    <n v="5.2"/>
  </r>
  <r>
    <x v="61"/>
    <s v="z_US4943681035"/>
    <n v="31"/>
    <n v="12"/>
    <n v="2016"/>
    <n v="1.02"/>
    <n v="1.26"/>
    <n v="0.62"/>
    <n v="-0.48"/>
    <n v="2"/>
    <m/>
    <m/>
    <m/>
    <m/>
    <m/>
    <m/>
    <m/>
    <m/>
  </r>
  <r>
    <x v="62"/>
    <s v="z_US57636Q1040"/>
    <n v="31"/>
    <n v="12"/>
    <n v="2016"/>
    <n v="11.2"/>
    <n v="8.24"/>
    <n v="6.76"/>
    <n v="5.4"/>
    <n v="5.89"/>
    <n v="6.27"/>
    <n v="5.61"/>
    <n v="4.63"/>
    <n v="3.98"/>
    <n v="2.7"/>
    <m/>
    <m/>
    <m/>
  </r>
  <r>
    <x v="63"/>
    <s v="z_US6153691059"/>
    <n v="31"/>
    <n v="12"/>
    <n v="2016"/>
    <n v="-6.43"/>
    <n v="-5.41"/>
    <n v="-4.04"/>
    <n v="-2.88"/>
    <n v="-0.92"/>
    <n v="1.58"/>
    <n v="1.73"/>
    <n v="-0.76"/>
    <n v="-1.34"/>
    <n v="-2.56"/>
    <n v="-4.2300000000000004"/>
    <n v="-3.12"/>
    <n v="0.6"/>
  </r>
  <r>
    <x v="64"/>
    <s v="z_US91324P1021"/>
    <n v="31"/>
    <n v="12"/>
    <n v="2016"/>
    <n v="49.1"/>
    <n v="46.6"/>
    <n v="41.1"/>
    <n v="37.21"/>
    <n v="35.47"/>
    <n v="33.729999999999997"/>
    <n v="32.68"/>
    <n v="27.23"/>
    <n v="23.78"/>
    <n v="20.58"/>
    <n v="17.3"/>
    <n v="16.010000000000002"/>
    <n v="15.47"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0">
  <r>
    <x v="0"/>
    <s v="CH0011037469"/>
    <n v="31"/>
    <n v="12"/>
    <n v="2016"/>
    <n v="21.3"/>
    <n v="18.8"/>
    <n v="15.7"/>
    <n v="14.52"/>
    <n v="17.600000000000001"/>
    <n v="17.78"/>
    <n v="20.32"/>
    <n v="17.309999999999999"/>
    <n v="14.99"/>
    <n v="14.62"/>
    <n v="14.63"/>
    <n v="11.42"/>
    <n v="6.35"/>
  </r>
  <r>
    <x v="1"/>
    <s v="CH0012005267"/>
    <n v="31"/>
    <n v="12"/>
    <n v="2016"/>
    <n v="4.74"/>
    <n v="4.05"/>
    <n v="3.54"/>
    <n v="4.4249999999999998"/>
    <n v="4.3099999999999996"/>
    <n v="3.7"/>
    <n v="3.89"/>
    <n v="3.78"/>
    <n v="4.26"/>
    <n v="3.69"/>
    <n v="3.59"/>
    <n v="2.81"/>
    <n v="3.04"/>
  </r>
  <r>
    <x v="2"/>
    <s v="CH0012032048"/>
    <n v="31"/>
    <n v="12"/>
    <n v="2016"/>
    <n v="16.7"/>
    <n v="15.3"/>
    <n v="13.8"/>
    <n v="12.548999999999999"/>
    <n v="13.750999999999999"/>
    <n v="13.863"/>
    <n v="13.055"/>
    <n v="11.858000000000001"/>
    <n v="12.343"/>
    <n v="11.834"/>
    <n v="10.387"/>
    <n v="11.209"/>
    <n v="9.2260000000000009"/>
  </r>
  <r>
    <x v="3"/>
    <s v="CH0038863350"/>
    <n v="31"/>
    <n v="12"/>
    <n v="2016"/>
    <n v="4.01"/>
    <n v="3.7"/>
    <n v="3.41"/>
    <n v="3.3479999999999999"/>
    <n v="3.3650000000000002"/>
    <n v="3.6080000000000001"/>
    <n v="3.45"/>
    <n v="3.14"/>
    <n v="3.3069999999999999"/>
    <n v="3.069"/>
    <n v="2.7730000000000001"/>
    <n v="2.8490000000000002"/>
    <n v="2.4500000000000002"/>
  </r>
  <r>
    <x v="4"/>
    <s v="DE0005200000"/>
    <n v="31"/>
    <n v="12"/>
    <n v="2016"/>
    <n v="3.51"/>
    <n v="3.22"/>
    <n v="2.99"/>
    <n v="2.91"/>
    <n v="2.5299999999999998"/>
    <n v="2.33"/>
    <n v="2.08"/>
    <n v="1.87"/>
    <n v="1.84"/>
    <n v="1.65"/>
    <n v="2.16"/>
    <n v="2.12"/>
    <n v="1.69"/>
  </r>
  <r>
    <x v="5"/>
    <s v="DE0005552004"/>
    <n v="31"/>
    <n v="12"/>
    <n v="2016"/>
    <n v="2.37"/>
    <n v="2.21"/>
    <n v="2.04"/>
    <n v="1.22"/>
    <n v="1.64"/>
    <n v="1.66"/>
    <n v="1.32"/>
    <n v="0.96"/>
    <n v="2.1"/>
    <n v="0.53"/>
    <n v="-1.4"/>
    <n v="1.1499999999999999"/>
    <n v="1.6"/>
  </r>
  <r>
    <x v="6"/>
    <s v="DE0005557508"/>
    <n v="31"/>
    <n v="12"/>
    <n v="2016"/>
    <n v="1.1100000000000001"/>
    <n v="0.97"/>
    <n v="0.81"/>
    <n v="0.71"/>
    <n v="0.53"/>
    <n v="0.63"/>
    <n v="0.57999999999999996"/>
    <n v="0.67"/>
    <n v="0.79"/>
    <n v="0.78"/>
    <n v="0.78"/>
    <n v="0.69"/>
    <n v="0.9"/>
  </r>
  <r>
    <x v="7"/>
    <s v="DE0005785604"/>
    <n v="31"/>
    <n v="12"/>
    <n v="2016"/>
    <n v="3.56"/>
    <n v="3.23"/>
    <n v="2.91"/>
    <n v="2.589"/>
    <n v="2"/>
    <n v="1.9390000000000001"/>
    <n v="1.7869999999999999"/>
    <n v="1.5549999999999999"/>
    <n v="1.339"/>
    <n v="1.05"/>
    <n v="0.88300000000000001"/>
    <n v="0.87"/>
    <n v="0.71"/>
  </r>
  <r>
    <x v="8"/>
    <s v="DE0007164600"/>
    <n v="31"/>
    <n v="12"/>
    <n v="2016"/>
    <n v="4.43"/>
    <n v="3.86"/>
    <n v="3.53"/>
    <n v="2.56"/>
    <n v="2.94"/>
    <n v="2.78"/>
    <n v="2.37"/>
    <n v="2.48"/>
    <n v="2.0299999999999998"/>
    <n v="1.47"/>
    <n v="1.55"/>
    <n v="1.59"/>
    <n v="1.52"/>
  </r>
  <r>
    <x v="9"/>
    <s v="DE0007236101"/>
    <n v="30"/>
    <n v="9"/>
    <n v="2016"/>
    <n v="7.9"/>
    <n v="7.14"/>
    <n v="6.4"/>
    <n v="8.74"/>
    <n v="6.31"/>
    <n v="5.03"/>
    <n v="5.04"/>
    <n v="6.96"/>
    <n v="4.4400000000000004"/>
    <n v="2.63"/>
    <n v="2.02"/>
    <n v="3.86"/>
    <n v="3.26"/>
  </r>
  <r>
    <x v="10"/>
    <s v="DE0008404005"/>
    <n v="31"/>
    <n v="12"/>
    <n v="2016"/>
    <n v="16.2"/>
    <n v="15.4"/>
    <n v="14.9"/>
    <n v="14.55"/>
    <n v="13.64"/>
    <n v="13.05"/>
    <n v="11.34"/>
    <n v="5.48"/>
    <n v="11.12"/>
    <n v="9.5"/>
    <n v="-5.47"/>
    <n v="17.71"/>
    <n v="16.78"/>
  </r>
  <r>
    <x v="11"/>
    <s v="DE0008430026"/>
    <n v="31"/>
    <n v="12"/>
    <n v="2016"/>
    <n v="17.3"/>
    <n v="17.100000000000001"/>
    <n v="16.8"/>
    <n v="18.73"/>
    <n v="18.309999999999999"/>
    <n v="18.5"/>
    <n v="17.98"/>
    <n v="9.06"/>
    <n v="13.06"/>
    <n v="12.95"/>
    <n v="7.48"/>
    <n v="17.899999999999999"/>
    <n v="15.12"/>
  </r>
  <r>
    <x v="12"/>
    <s v="DE000BASF111"/>
    <n v="31"/>
    <n v="12"/>
    <n v="2016"/>
    <n v="5.24"/>
    <n v="4.54"/>
    <n v="4.0999999999999996"/>
    <n v="5"/>
    <n v="5.44"/>
    <n v="5.31"/>
    <n v="5.64"/>
    <n v="6.26"/>
    <n v="5.73"/>
    <n v="3.01"/>
    <n v="3.85"/>
    <n v="4.16"/>
    <n v="3.19"/>
  </r>
  <r>
    <x v="13"/>
    <s v="DE000BAY0017"/>
    <n v="31"/>
    <n v="12"/>
    <n v="2016"/>
    <n v="7.05"/>
    <n v="6.44"/>
    <n v="5.55"/>
    <n v="4.97"/>
    <n v="4.55"/>
    <n v="4.33"/>
    <n v="3.95"/>
    <n v="3.56"/>
    <n v="2.2400000000000002"/>
    <n v="2.27"/>
    <n v="2.85"/>
    <n v="2.64"/>
    <n v="2.29"/>
  </r>
  <r>
    <x v="14"/>
    <s v="DK0060534915"/>
    <n v="31"/>
    <n v="12"/>
    <n v="2016"/>
    <n v="19.600000000000001"/>
    <n v="17.399999999999999"/>
    <n v="15.5"/>
    <n v="13.52"/>
    <n v="10.07"/>
    <n v="9.35"/>
    <n v="7.77"/>
    <n v="6"/>
    <n v="4.92"/>
    <n v="3.56"/>
    <n v="3.11"/>
    <n v="2.68"/>
    <n v="2"/>
  </r>
  <r>
    <x v="15"/>
    <s v="ES0178430E18"/>
    <n v="31"/>
    <n v="12"/>
    <n v="2016"/>
    <n v="0.82"/>
    <n v="0.75"/>
    <n v="0.69"/>
    <n v="0.52"/>
    <n v="0.61"/>
    <n v="1.01"/>
    <n v="0.87"/>
    <n v="1.2"/>
    <n v="2.25"/>
    <n v="1.71"/>
    <n v="1.63"/>
    <n v="1.87"/>
    <n v="1.3"/>
  </r>
  <r>
    <x v="16"/>
    <s v="FR0000120321"/>
    <n v="31"/>
    <n v="12"/>
    <n v="2016"/>
    <n v="7.33"/>
    <n v="6.84"/>
    <n v="6.42"/>
    <n v="6.18"/>
    <n v="5.34"/>
    <n v="5.13"/>
    <n v="4.91"/>
    <n v="4.32"/>
    <n v="4.01"/>
    <n v="3.42"/>
    <n v="3.49"/>
    <n v="3.36"/>
    <n v="2.98"/>
  </r>
  <r>
    <x v="17"/>
    <s v="FR0000120578"/>
    <n v="31"/>
    <n v="12"/>
    <n v="2016"/>
    <n v="4.8"/>
    <n v="4.82"/>
    <n v="4.4400000000000004"/>
    <n v="4.59"/>
    <n v="4.05"/>
    <n v="3.56"/>
    <n v="4.5199999999999996"/>
    <n v="5.04"/>
    <n v="5.26"/>
    <n v="4.7699999999999996"/>
    <n v="3.83"/>
    <n v="3.87"/>
    <n v="2.95"/>
  </r>
  <r>
    <x v="18"/>
    <s v="FR0000120644"/>
    <n v="31"/>
    <n v="12"/>
    <n v="2016"/>
    <n v="3.51"/>
    <n v="3.27"/>
    <n v="3.01"/>
    <n v="2.1"/>
    <n v="2.62"/>
    <n v="2.78"/>
    <n v="3.01"/>
    <n v="2.89"/>
    <n v="2.72"/>
    <n v="2.57"/>
    <n v="2.66"/>
    <n v="2.4700000000000002"/>
    <n v="2.44"/>
  </r>
  <r>
    <x v="19"/>
    <s v="GB0002875804"/>
    <n v="31"/>
    <n v="12"/>
    <n v="2016"/>
    <n v="2.6"/>
    <n v="2.17"/>
    <n v="2.13"/>
    <n v="2.2999999999999998"/>
    <n v="1.67"/>
    <n v="2.0499999999999998"/>
    <n v="1.97"/>
    <n v="1.56"/>
    <n v="1.44"/>
    <n v="1.36"/>
    <n v="1.23"/>
    <n v="1.04"/>
    <n v="0.98599999999999999"/>
  </r>
  <r>
    <x v="20"/>
    <s v="GB0004544929"/>
    <n v="30"/>
    <n v="9"/>
    <n v="2016"/>
    <n v="2.25"/>
    <n v="2.15"/>
    <n v="1.99"/>
    <n v="1.77"/>
    <n v="1.48"/>
    <n v="0.96"/>
    <n v="0.68"/>
    <n v="1.77"/>
    <n v="1.48"/>
    <n v="0.65"/>
    <n v="0.5"/>
    <n v="1.1599999999999999"/>
    <m/>
  </r>
  <r>
    <x v="21"/>
    <s v="GB00BH4HKS39"/>
    <n v="31"/>
    <n v="3"/>
    <n v="2016"/>
    <n v="6.6299999999999998E-2"/>
    <n v="4.41E-2"/>
    <n v="1.01E-2"/>
    <n v="0.22"/>
    <n v="0.41699999999999998"/>
    <n v="8.6999999999999994E-3"/>
    <n v="0.14000000000000001"/>
    <n v="0.15"/>
    <n v="0.16"/>
    <n v="0.06"/>
    <n v="0.13"/>
    <n v="-0.1"/>
    <n v="-0.28000000000000003"/>
  </r>
  <r>
    <x v="22"/>
    <s v="IE00B4BNMY34"/>
    <n v="31"/>
    <n v="8"/>
    <n v="2016"/>
    <n v="6.31"/>
    <n v="5.76"/>
    <n v="5.6"/>
    <n v="4.82"/>
    <n v="4.5199999999999996"/>
    <n v="4.21"/>
    <n v="3.84"/>
    <n v="3.4"/>
    <n v="2.66"/>
    <n v="2.68"/>
    <n v="2.65"/>
    <n v="1.97"/>
    <n v="1.61"/>
  </r>
  <r>
    <x v="23"/>
    <s v="NL0000009355"/>
    <n v="31"/>
    <n v="12"/>
    <n v="2016"/>
    <n v="2.21"/>
    <n v="2.0299999999999998"/>
    <n v="1.89"/>
    <n v="1.72"/>
    <n v="1.79"/>
    <n v="1.66"/>
    <n v="1.54"/>
    <n v="1.46"/>
    <n v="1.46"/>
    <n v="1.17"/>
    <n v="1.21"/>
    <n v="1.31"/>
    <n v="1.119"/>
  </r>
  <r>
    <x v="24"/>
    <s v="US00206R1023"/>
    <n v="31"/>
    <n v="12"/>
    <n v="2016"/>
    <n v="3.09"/>
    <n v="2.84"/>
    <n v="2.68"/>
    <n v="2.41"/>
    <n v="2.54"/>
    <n v="2.5"/>
    <n v="2.31"/>
    <n v="2.2000000000000002"/>
    <n v="2.29"/>
    <n v="2.0699999999999998"/>
    <n v="2.16"/>
    <n v="1.94"/>
    <n v="1.89"/>
  </r>
  <r>
    <x v="25"/>
    <s v="US02079K3059"/>
    <n v="31"/>
    <n v="12"/>
    <n v="2016"/>
    <n v="39.200000000000003"/>
    <n v="32.9"/>
    <n v="27.6"/>
    <n v="22.84"/>
    <n v="21.02"/>
    <n v="19.07"/>
    <n v="16.96"/>
    <n v="15.64"/>
    <n v="13.16"/>
    <n v="10.210000000000001"/>
    <n v="7.9710000000000001"/>
    <n v="6.65"/>
    <n v="4.97"/>
  </r>
  <r>
    <x v="26"/>
    <s v="US09247X1019"/>
    <n v="31"/>
    <n v="12"/>
    <n v="2016"/>
    <n v="24.6"/>
    <n v="22.3"/>
    <n v="19.5"/>
    <n v="19.600000000000001"/>
    <n v="19.34"/>
    <n v="16.579999999999998"/>
    <n v="13.68"/>
    <n v="11.85"/>
    <n v="10.94"/>
    <n v="7.13"/>
    <n v="6.45"/>
    <n v="8.17"/>
    <n v="5.33"/>
  </r>
  <r>
    <x v="27"/>
    <s v="US1266501006"/>
    <n v="31"/>
    <n v="12"/>
    <n v="2016"/>
    <n v="7.07"/>
    <n v="6.2"/>
    <n v="5.45"/>
    <n v="4.79"/>
    <n v="4.2300000000000004"/>
    <n v="3.71"/>
    <n v="3.2"/>
    <n v="2.54"/>
    <n v="2.4900000000000002"/>
    <n v="2.4300000000000002"/>
    <n v="2.1800000000000002"/>
    <n v="1.92"/>
    <n v="1.6"/>
  </r>
  <r>
    <x v="28"/>
    <s v="US17275R1023"/>
    <n v="31"/>
    <n v="7"/>
    <n v="2016"/>
    <n v="2.1"/>
    <n v="2.12"/>
    <n v="2.06"/>
    <n v="1.75"/>
    <n v="1.58"/>
    <n v="1.67"/>
    <n v="1.49"/>
    <n v="1.29"/>
    <n v="1.33"/>
    <n v="1.05"/>
    <n v="1.31"/>
    <n v="1.17"/>
    <n v="0.89"/>
  </r>
  <r>
    <x v="29"/>
    <s v="US1912161007"/>
    <n v="31"/>
    <n v="12"/>
    <n v="2016"/>
    <n v="2.2200000000000002"/>
    <n v="2.04"/>
    <n v="1.92"/>
    <n v="2"/>
    <n v="2.04"/>
    <n v="2.08"/>
    <n v="1.92"/>
    <n v="1.92"/>
    <n v="1.7450000000000001"/>
    <n v="1.53"/>
    <n v="1.575"/>
    <n v="1.35"/>
    <n v="1.1850000000000001"/>
  </r>
  <r>
    <x v="30"/>
    <s v="US1941621039"/>
    <n v="31"/>
    <n v="12"/>
    <n v="2016"/>
    <n v="3.26"/>
    <n v="2.99"/>
    <n v="2.75"/>
    <n v="2.81"/>
    <n v="2.92"/>
    <n v="2.84"/>
    <n v="2.68"/>
    <n v="2.5150000000000001"/>
    <n v="2.5"/>
    <n v="2.2650000000000001"/>
    <n v="2.0150000000000001"/>
    <n v="1.77"/>
    <n v="1.53"/>
  </r>
  <r>
    <x v="31"/>
    <s v="US3696041033"/>
    <n v="31"/>
    <n v="12"/>
    <n v="2016"/>
    <n v="1.93"/>
    <n v="1.64"/>
    <n v="1.42"/>
    <n v="1.31"/>
    <n v="1.5"/>
    <n v="1.27"/>
    <n v="1.29"/>
    <n v="1.23"/>
    <n v="1.06"/>
    <n v="1.01"/>
    <n v="1.72"/>
    <n v="2.17"/>
    <n v="2"/>
  </r>
  <r>
    <x v="32"/>
    <s v="US4592001014"/>
    <n v="31"/>
    <n v="12"/>
    <n v="2016"/>
    <n v="15.3"/>
    <n v="12.9"/>
    <n v="12.3"/>
    <n v="14.35"/>
    <n v="15.87"/>
    <n v="15.6"/>
    <n v="14.7"/>
    <n v="13.03"/>
    <n v="11.32"/>
    <n v="10.01"/>
    <n v="8.93"/>
    <n v="7.18"/>
    <n v="6.11"/>
  </r>
  <r>
    <x v="33"/>
    <s v="US4781601046"/>
    <n v="31"/>
    <n v="12"/>
    <n v="2016"/>
    <n v="6.92"/>
    <n v="6.46"/>
    <n v="5.99"/>
    <n v="5.81"/>
    <n v="5.97"/>
    <n v="5.68"/>
    <n v="5.0999999999999996"/>
    <n v="5"/>
    <n v="4.76"/>
    <n v="4.63"/>
    <n v="4.55"/>
    <n v="4.1500000000000004"/>
    <n v="3.76"/>
  </r>
  <r>
    <x v="34"/>
    <s v="US5007541064"/>
    <n v="31"/>
    <n v="12"/>
    <n v="2016"/>
    <n v="4.0999999999999996"/>
    <n v="3.71"/>
    <n v="2.84"/>
    <n v="2.04"/>
    <n v="1.98"/>
    <n v="-3"/>
    <n v="3.37"/>
    <n v="3.01"/>
    <n v="3.18"/>
    <m/>
    <m/>
    <m/>
    <m/>
  </r>
  <r>
    <x v="35"/>
    <s v="US5801351017"/>
    <n v="31"/>
    <n v="12"/>
    <n v="2016"/>
    <n v="6.59"/>
    <n v="6.07"/>
    <n v="5.41"/>
    <n v="4.9800000000000004"/>
    <n v="5.36"/>
    <n v="5.55"/>
    <n v="5.36"/>
    <n v="5.27"/>
    <n v="4.5999999999999996"/>
    <n v="3.98"/>
    <n v="3.67"/>
    <n v="3.04"/>
    <n v="2.9"/>
  </r>
  <r>
    <x v="36"/>
    <s v="US58933Y1055"/>
    <n v="31"/>
    <n v="12"/>
    <n v="2016"/>
    <n v="3.61"/>
    <n v="2.82"/>
    <n v="2.4900000000000002"/>
    <n v="1.56"/>
    <n v="1.3959999999999999"/>
    <n v="1.47"/>
    <n v="2"/>
    <n v="2.02"/>
    <n v="3.42"/>
    <n v="1.69"/>
    <n v="2.85"/>
    <n v="3.5590000000000002"/>
    <n v="2.0299999999999998"/>
  </r>
  <r>
    <x v="37"/>
    <s v="US5949181045"/>
    <n v="30"/>
    <n v="6"/>
    <n v="2016"/>
    <n v="3.65"/>
    <n v="2.99"/>
    <n v="2.48"/>
    <n v="2.63"/>
    <n v="2.63"/>
    <n v="2.67"/>
    <n v="2.73"/>
    <n v="2.69"/>
    <n v="2.1"/>
    <n v="1.62"/>
    <n v="1.87"/>
    <n v="1.42"/>
    <n v="1.2"/>
  </r>
  <r>
    <x v="38"/>
    <s v="US6092071058"/>
    <n v="31"/>
    <n v="12"/>
    <n v="2016"/>
    <n v="2.21"/>
    <n v="1.97"/>
    <n v="1.71"/>
    <n v="1.75"/>
    <n v="1.75"/>
    <n v="1.54"/>
    <n v="0.86"/>
    <n v="0.97"/>
    <n v="0.38"/>
    <n v="0.56999999999999995"/>
    <n v="0.09"/>
    <m/>
    <m/>
  </r>
  <r>
    <x v="39"/>
    <s v="US61166W1018"/>
    <n v="31"/>
    <n v="8"/>
    <n v="2016"/>
    <n v="6.54"/>
    <n v="5.6"/>
    <n v="4.1500000000000004"/>
    <n v="5.73"/>
    <n v="5.23"/>
    <n v="4.5599999999999996"/>
    <n v="3.7"/>
    <n v="2.96"/>
    <n v="2.41"/>
    <n v="4.41"/>
    <n v="3.64"/>
    <n v="1.98"/>
    <n v="1.3"/>
  </r>
  <r>
    <x v="40"/>
    <s v="US68389X1054"/>
    <n v="31"/>
    <n v="5"/>
    <n v="2016"/>
    <n v="2.52"/>
    <n v="2.2799999999999998"/>
    <n v="2.09"/>
    <n v="2.21"/>
    <n v="2.38"/>
    <n v="2.2599999999999998"/>
    <n v="1.96"/>
    <n v="1.67"/>
    <n v="1.21"/>
    <n v="1.0900000000000001"/>
    <n v="1.06"/>
    <n v="0.81"/>
    <n v="0.64"/>
  </r>
  <r>
    <x v="41"/>
    <s v="US7134481081"/>
    <n v="31"/>
    <n v="12"/>
    <n v="2016"/>
    <n v="5.43"/>
    <n v="5.0599999999999996"/>
    <n v="4.68"/>
    <n v="4.57"/>
    <n v="4.63"/>
    <n v="4.37"/>
    <n v="4.0999999999999996"/>
    <n v="4.4000000000000004"/>
    <n v="4.13"/>
    <n v="3.71"/>
    <n v="3.68"/>
    <n v="3.38"/>
    <n v="3"/>
  </r>
  <r>
    <x v="42"/>
    <s v="US7170811035"/>
    <n v="31"/>
    <n v="12"/>
    <n v="2016"/>
    <n v="2.57"/>
    <n v="2.2400000000000002"/>
    <n v="1.69"/>
    <n v="1.1100000000000001"/>
    <n v="1.42"/>
    <n v="1.65"/>
    <n v="1.94"/>
    <n v="1.27"/>
    <n v="1.02"/>
    <n v="1.23"/>
    <n v="1.2"/>
    <n v="1.17"/>
    <n v="1.52"/>
  </r>
  <r>
    <x v="43"/>
    <s v="US7181721090"/>
    <n v="31"/>
    <n v="12"/>
    <n v="2016"/>
    <n v="5.2"/>
    <n v="4.78"/>
    <n v="4.3600000000000003"/>
    <n v="4.42"/>
    <n v="5.0199999999999996"/>
    <n v="5.4"/>
    <n v="5.22"/>
    <n v="4.88"/>
    <n v="3.87"/>
    <n v="3.29"/>
    <n v="3.31"/>
    <n v="2.8"/>
    <n v="2.91"/>
  </r>
  <r>
    <x v="44"/>
    <s v="US7427181091"/>
    <n v="30"/>
    <n v="6"/>
    <n v="2016"/>
    <n v="4.29"/>
    <n v="4.17"/>
    <n v="3.56"/>
    <n v="4.0199999999999996"/>
    <n v="4.09"/>
    <n v="4.0199999999999996"/>
    <n v="3.85"/>
    <n v="3.87"/>
    <n v="3.67"/>
    <n v="3.47"/>
    <n v="3.41"/>
    <n v="3.04"/>
    <n v="2.64"/>
  </r>
  <r>
    <x v="45"/>
    <s v="US92343V1044"/>
    <n v="31"/>
    <n v="12"/>
    <n v="2016"/>
    <n v="4.16"/>
    <n v="4.07"/>
    <n v="4.01"/>
    <n v="3.99"/>
    <n v="3.35"/>
    <n v="2.84"/>
    <n v="2.2400000000000002"/>
    <n v="2.15"/>
    <n v="2.08"/>
    <n v="2.4"/>
    <n v="2.54"/>
    <n v="2.36"/>
    <n v="2.06"/>
  </r>
  <r>
    <x v="46"/>
    <s v="US92826C8394"/>
    <n v="30"/>
    <n v="9"/>
    <n v="2016"/>
    <n v="3.86"/>
    <n v="3.23"/>
    <n v="2.85"/>
    <n v="2.58"/>
    <n v="2.15"/>
    <n v="1.9"/>
    <n v="1.54"/>
    <n v="1.29"/>
    <n v="1"/>
    <n v="0.78"/>
    <n v="0.24"/>
    <m/>
    <m/>
  </r>
  <r>
    <x v="47"/>
    <s v="US9311421039"/>
    <n v="31"/>
    <n v="1"/>
    <n v="2016"/>
    <n v="4.41"/>
    <n v="4.1900000000000004"/>
    <n v="4.59"/>
    <n v="5.07"/>
    <n v="5.1100000000000003"/>
    <n v="5.0199999999999996"/>
    <n v="4.49"/>
    <n v="4.07"/>
    <n v="3.66"/>
    <n v="3.42"/>
    <n v="3.13"/>
    <n v="2.71"/>
    <n v="2.68"/>
  </r>
  <r>
    <x v="48"/>
    <s v="z_BE0003793107"/>
    <n v="31"/>
    <n v="12"/>
    <n v="2016"/>
    <n v="5.32"/>
    <n v="5.03"/>
    <n v="4.4000000000000004"/>
    <n v="4.96"/>
    <n v="5.54"/>
    <n v="4.91"/>
    <n v="4.45"/>
    <n v="3.63"/>
    <n v="3.17"/>
    <n v="2.48"/>
    <n v="2.5099999999999998"/>
    <n v="2.61"/>
    <n v="1.96"/>
  </r>
  <r>
    <x v="49"/>
    <s v="z_CH0010570759"/>
    <n v="31"/>
    <n v="12"/>
    <n v="2016"/>
    <n v="2090"/>
    <n v="1936"/>
    <n v="1761"/>
    <n v="1612"/>
    <n v="1460"/>
    <n v="1314"/>
    <n v="1187"/>
    <n v="1078"/>
    <n v="1055"/>
    <n v="850.9"/>
    <n v="1140"/>
    <n v="1091"/>
    <n v="921.2"/>
  </r>
  <r>
    <x v="50"/>
    <s v="z_DE0006048432"/>
    <n v="31"/>
    <n v="12"/>
    <n v="2016"/>
    <n v="5.56"/>
    <n v="5.2"/>
    <n v="4.8499999999999996"/>
    <n v="4.88"/>
    <n v="4.38"/>
    <n v="4.07"/>
    <n v="3.63"/>
    <n v="3.14"/>
    <n v="2.82"/>
    <n v="1.91"/>
    <n v="2.19"/>
    <n v="2.19"/>
    <n v="1.99"/>
  </r>
  <r>
    <x v="51"/>
    <s v="z_DE0006483001"/>
    <n v="31"/>
    <n v="12"/>
    <n v="2016"/>
    <n v="7.99"/>
    <n v="7.4"/>
    <n v="6.88"/>
    <n v="6.18"/>
    <n v="7.13"/>
    <n v="7.1"/>
    <n v="7.89"/>
    <n v="7.71"/>
    <n v="6.89"/>
    <n v="4.58"/>
    <n v="5.46"/>
    <n v="5.0199999999999996"/>
    <n v="4.66"/>
  </r>
  <r>
    <x v="52"/>
    <s v="z_FR0000121220"/>
    <n v="31"/>
    <n v="8"/>
    <n v="2016"/>
    <n v="5.45"/>
    <n v="4.7"/>
    <n v="4.3099999999999996"/>
    <n v="4.5999999999999996"/>
    <n v="3.343"/>
    <n v="3.52"/>
    <n v="3.3610000000000002"/>
    <n v="3.0339999999999998"/>
    <n v="2.7509999999999999"/>
    <n v="2.5499999999999998"/>
    <n v="2.48"/>
    <n v="2.4"/>
    <n v="2.0699999999999998"/>
  </r>
  <r>
    <x v="53"/>
    <s v="z_GB0002374006"/>
    <n v="30"/>
    <n v="6"/>
    <n v="2016"/>
    <n v="1.03"/>
    <n v="0.95400000000000007"/>
    <n v="0.92799999999999994"/>
    <n v="0.88800000000000001"/>
    <n v="0.95499999999999996"/>
    <n v="1.0309999999999999"/>
    <n v="0.92600000000000005"/>
    <n v="0.81599999999999995"/>
    <n v="0.70899999999999996"/>
    <n v="0.65"/>
    <n v="0.59"/>
    <n v="0.55000000000000004"/>
    <n v="0.505"/>
  </r>
  <r>
    <x v="54"/>
    <s v="z_GB0004835483"/>
    <n v="31"/>
    <n v="3"/>
    <n v="2016"/>
    <n v="2.37"/>
    <n v="2.12"/>
    <n v="2"/>
    <n v="2.04"/>
    <n v="2.09"/>
    <n v="2.04"/>
    <n v="2.64"/>
    <n v="1.52"/>
    <n v="1.22"/>
    <n v="1.25"/>
    <n v="1.34"/>
    <n v="1.1000000000000001"/>
    <m/>
  </r>
  <r>
    <x v="55"/>
    <s v="z_GB00B24CGK77"/>
    <n v="31"/>
    <n v="12"/>
    <n v="2016"/>
    <n v="3.22"/>
    <n v="2.92"/>
    <n v="2.7"/>
    <n v="2.41"/>
    <n v="2.6850000000000001"/>
    <n v="2.6949999999999998"/>
    <n v="2.6440000000000001"/>
    <n v="2.4710000000000001"/>
    <n v="2.165"/>
    <n v="1.9470000000000001"/>
    <n v="1.5780000000000001"/>
    <n v="1.234"/>
    <n v="1.071"/>
  </r>
  <r>
    <x v="56"/>
    <s v="z_IE00BTN1Y115"/>
    <n v="30"/>
    <n v="4"/>
    <n v="2016"/>
    <n v="4.16"/>
    <n v="3.83"/>
    <n v="3.37"/>
    <n v="3.79"/>
    <n v="3.81"/>
    <n v="3.69"/>
    <n v="3.41"/>
    <n v="3.37"/>
    <n v="3.22"/>
    <n v="2.92"/>
    <n v="2.6"/>
    <n v="2.41"/>
    <n v="2.2000000000000002"/>
  </r>
  <r>
    <x v="57"/>
    <s v="z_US02209S1033"/>
    <n v="31"/>
    <n v="12"/>
    <n v="2016"/>
    <n v="3.61"/>
    <n v="3.34"/>
    <n v="3.03"/>
    <n v="2.8"/>
    <n v="2.57"/>
    <n v="2.38"/>
    <n v="2.21"/>
    <n v="2.0499999999999998"/>
    <n v="1.9"/>
    <n v="1.75"/>
    <n v="1.48"/>
    <n v="1.48"/>
    <n v="1.51"/>
  </r>
  <r>
    <x v="58"/>
    <s v="z_US3703341046"/>
    <n v="31"/>
    <n v="5"/>
    <n v="2016"/>
    <n v="3.29"/>
    <n v="3.07"/>
    <n v="2.84"/>
    <n v="2.83"/>
    <n v="2.82"/>
    <n v="2.69"/>
    <n v="2.56"/>
    <n v="2.48"/>
    <n v="2.2999999999999998"/>
    <n v="1.99"/>
    <n v="1.76"/>
    <n v="1.59"/>
    <n v="1.45"/>
  </r>
  <r>
    <x v="59"/>
    <s v="z_US4278661081"/>
    <n v="31"/>
    <n v="12"/>
    <n v="2016"/>
    <n v="4.9400000000000004"/>
    <n v="4.6500000000000004"/>
    <n v="4.33"/>
    <n v="4.12"/>
    <n v="3.98"/>
    <n v="3.72"/>
    <n v="3.24"/>
    <n v="2.83"/>
    <n v="2.5499999999999998"/>
    <n v="2.17"/>
    <n v="1.88"/>
    <n v="2.08"/>
    <n v="2.37"/>
  </r>
  <r>
    <x v="60"/>
    <s v="z_US4878361082"/>
    <n v="31"/>
    <n v="12"/>
    <n v="2016"/>
    <n v="4.3099999999999996"/>
    <n v="3.9"/>
    <n v="3.52"/>
    <n v="3.52"/>
    <n v="3.81"/>
    <n v="3.77"/>
    <n v="3.61"/>
    <n v="3.38"/>
    <n v="3.3"/>
    <n v="3.16"/>
    <n v="2.99"/>
    <n v="2.76"/>
    <n v="2.5099999999999998"/>
  </r>
  <r>
    <x v="61"/>
    <s v="z_US4943681035"/>
    <n v="31"/>
    <n v="12"/>
    <n v="2016"/>
    <n v="6.95"/>
    <n v="6.54"/>
    <n v="6.07"/>
    <n v="5.76"/>
    <n v="5.7720000000000002"/>
    <n v="5.5419999999999998"/>
    <n v="5.0419999999999998"/>
    <n v="4.6100000000000003"/>
    <n v="4.4950000000000001"/>
    <n v="4.3410000000000002"/>
    <n v="3.9660000000000002"/>
    <n v="4.0819999999999999"/>
    <n v="3.746"/>
  </r>
  <r>
    <x v="62"/>
    <s v="z_US57636Q1040"/>
    <n v="31"/>
    <n v="12"/>
    <n v="2016"/>
    <n v="5.03"/>
    <n v="4.16"/>
    <n v="3.54"/>
    <n v="3.43"/>
    <n v="3.1"/>
    <n v="2.61"/>
    <n v="2.2040000000000002"/>
    <n v="1.87"/>
    <n v="1.405"/>
    <n v="1.119"/>
    <n v="0.94099999999999995"/>
    <n v="0.75800000000000001"/>
    <n v="0.33700000000000002"/>
  </r>
  <r>
    <x v="63"/>
    <s v="z_US6153691059"/>
    <n v="31"/>
    <n v="12"/>
    <n v="2016"/>
    <n v="6.09"/>
    <n v="5.4"/>
    <n v="4.76"/>
    <n v="4.5999999999999996"/>
    <n v="4.21"/>
    <n v="3.65"/>
    <n v="2.99"/>
    <n v="2.46"/>
    <n v="2.13"/>
    <n v="1.7"/>
    <n v="1.82"/>
    <n v="2.5"/>
    <n v="2.25"/>
  </r>
  <r>
    <x v="64"/>
    <s v="z_US91324P1021"/>
    <n v="31"/>
    <n v="12"/>
    <n v="2016"/>
    <n v="9.3699999999999992"/>
    <n v="8.27"/>
    <n v="7.21"/>
    <n v="6.01"/>
    <n v="5.7"/>
    <n v="5.5"/>
    <n v="5.28"/>
    <n v="4.7300000000000004"/>
    <n v="4.0999999999999996"/>
    <n v="3.24"/>
    <n v="2.95"/>
    <n v="3.5"/>
    <n v="2.97"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  <r>
    <x v="65"/>
    <m/>
    <m/>
    <m/>
    <m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00">
  <r>
    <x v="0"/>
    <s v="CH0011037469"/>
    <n v="19.727608544600937"/>
    <n v="22.350960744680847"/>
    <n v="24.993757834394906"/>
    <n v="22.175206611570246"/>
    <n v="22.664181818181813"/>
    <n v="22.519714285714286"/>
    <n v="14.414493110236219"/>
    <n v="16.910863662622763"/>
    <n v="18.718054703135419"/>
    <n v="12.794347469220247"/>
    <n v="17.398738892686257"/>
    <n v="16.291829246935201"/>
    <n v="19.59425196850394"/>
    <n v="19.59425196850394"/>
    <n v="25.398989610127941"/>
    <n v="0.29624696318872568"/>
  </r>
  <r>
    <x v="1"/>
    <s v="CH0012005267"/>
    <n v="15.929012658227846"/>
    <n v="18.642844444444442"/>
    <n v="24.52614915254237"/>
    <n v="20.999450847457627"/>
    <n v="18.551647331786544"/>
    <n v="16.958618918918919"/>
    <n v="14.703308483290488"/>
    <n v="15.558990740740743"/>
    <n v="12.801361502347419"/>
    <n v="13.330672086720869"/>
    <n v="15.262069637883009"/>
    <n v="20.517500000000002"/>
    <n v="17.285213815789472"/>
    <n v="16.958618918918919"/>
    <n v="20.523767498754133"/>
    <n v="0.21022635138395374"/>
  </r>
  <r>
    <x v="2"/>
    <s v="CH0012032048"/>
    <n v="14.574850299401199"/>
    <n v="15.908496732026144"/>
    <n v="20.028985507246375"/>
    <n v="21.507689855765399"/>
    <n v="18.122318376845321"/>
    <n v="13.272740388083388"/>
    <n v="12.194561470700881"/>
    <n v="11.553381683251812"/>
    <n v="14.242890707283481"/>
    <n v="13.731620753760351"/>
    <n v="18.831231346875903"/>
    <n v="19.493264341154429"/>
    <n v="21.385215694775635"/>
    <n v="15.908496732026144"/>
    <n v="17.130791788856303"/>
    <n v="7.6832844574779902E-2"/>
  </r>
  <r>
    <x v="3"/>
    <s v="CH0038863350"/>
    <n v="18.092269326683294"/>
    <n v="19.608108108108105"/>
    <n v="21.862170087976537"/>
    <n v="21.789127837514936"/>
    <n v="19.405646359583951"/>
    <n v="16.518847006651885"/>
    <n v="15.652173913043477"/>
    <n v="17.436305732484076"/>
    <n v="15.179921378893258"/>
    <n v="13.554903877484524"/>
    <n v="18.752253876667869"/>
    <n v="15.198315198315196"/>
    <n v="16.04081632653061"/>
    <n v="17.436305732484076"/>
    <n v="20.794254868553047"/>
    <n v="0.19258374953893287"/>
  </r>
  <r>
    <x v="4"/>
    <s v="DE0005200000"/>
    <n v="21.903133903133902"/>
    <n v="23.875776397515526"/>
    <n v="28.147157190635447"/>
    <n v="23.168384879725085"/>
    <n v="29.106719367588934"/>
    <n v="26.557939914163089"/>
    <n v="21.067307692307693"/>
    <n v="22.205882352941174"/>
    <n v="24.961956521739129"/>
    <n v="25.454545454545457"/>
    <n v="24.537037037037035"/>
    <n v="23.169811320754715"/>
    <n v="20.51284023668639"/>
    <n v="23.875776397515526"/>
    <n v="25.184996451125627"/>
    <n v="5.483465885307659E-2"/>
  </r>
  <r>
    <x v="5"/>
    <s v="DE0005552004"/>
    <n v="10.145569620253164"/>
    <n v="10.880090497737557"/>
    <n v="12.723039215686274"/>
    <n v="22.168032786885249"/>
    <n v="16.158536585365855"/>
    <n v="10.000000000000002"/>
    <n v="9"/>
    <n v="13.229166666666666"/>
    <n v="6.4214285714285708"/>
    <n v="22.471698113207545"/>
    <s v=""/>
    <n v="19.860869565217392"/>
    <n v="12.799999999999999"/>
    <n v="12.761519607843137"/>
    <n v="11.525310893936568"/>
    <n v="-9.687002425219049E-2"/>
  </r>
  <r>
    <x v="6"/>
    <s v="DE0005557508"/>
    <n v="13.608108108108107"/>
    <n v="15.57216494845361"/>
    <n v="20.60493827160494"/>
    <n v="18.661971830985916"/>
    <n v="23.452830188679243"/>
    <n v="13.642857142857144"/>
    <n v="15.28448275862069"/>
    <n v="14.410447761194028"/>
    <n v="13.025316455696201"/>
    <n v="13.782051282051281"/>
    <n v="19.256410256410255"/>
    <n v="20.057971014492754"/>
    <n v="15.644444444444444"/>
    <n v="15.57216494845361"/>
    <n v="17.69656339494923"/>
    <n v="0.13642280656079131"/>
  </r>
  <r>
    <x v="7"/>
    <s v="DE0005785604"/>
    <n v="17.797752808988765"/>
    <n v="19.616099071207429"/>
    <n v="22.670103092783503"/>
    <n v="16.670529161838548"/>
    <n v="18.600000000000001"/>
    <n v="14.973336771531716"/>
    <n v="13.333351986569669"/>
    <n v="13.451254019292604"/>
    <n v="10.816504854368933"/>
    <n v="11.501619047619048"/>
    <n v="21.1400906002265"/>
    <n v="19.37551724137931"/>
    <n v="16.588450704225352"/>
    <n v="16.670529161838548"/>
    <n v="21.140357381181879"/>
    <n v="0.2681275546774764"/>
  </r>
  <r>
    <x v="8"/>
    <s v="DE0007164600"/>
    <n v="15.239277652370205"/>
    <n v="17.489637305699485"/>
    <n v="20.787535410764871"/>
    <n v="22.7578125"/>
    <n v="21.19387755102041"/>
    <n v="21.830935251798561"/>
    <n v="17.236286919831223"/>
    <n v="15.362903225806452"/>
    <n v="16.256157635467982"/>
    <n v="17.170068027210885"/>
    <n v="22.92258064516129"/>
    <n v="25.320754716981128"/>
    <n v="25.190789473684209"/>
    <n v="20.787535410764871"/>
    <n v="18.650029927713064"/>
    <n v="-0.10282630628472178"/>
  </r>
  <r>
    <x v="9"/>
    <s v="DE0007236101"/>
    <n v="11.297468354430379"/>
    <n v="12.5"/>
    <n v="12.490625"/>
    <n v="10.797482837528605"/>
    <n v="14.114104595879558"/>
    <n v="15.429423459244532"/>
    <n v="13.515873015873016"/>
    <n v="11.125000000000002"/>
    <n v="14.252252252252251"/>
    <n v="25"/>
    <n v="47.732673267326732"/>
    <n v="17.823834196891191"/>
    <n v="19.662576687116562"/>
    <n v="14.114104595879558"/>
    <n v="13.147234293290126"/>
    <n v="-6.8503835721303807E-2"/>
  </r>
  <r>
    <x v="10"/>
    <s v="DE0008404005"/>
    <n v="8.5740740740740744"/>
    <n v="9.0194805194805188"/>
    <n v="10.976510067114095"/>
    <n v="9.4398625429553249"/>
    <n v="9.5564516129032242"/>
    <n v="8.0306513409961671"/>
    <n v="6.5176366843033504"/>
    <n v="16.228102189781023"/>
    <n v="7.837230215827339"/>
    <n v="7.8947368421052628"/>
    <s v=""/>
    <n v="8.7385657820440414"/>
    <n v="7.6245530393325378"/>
    <n v="8.6563199280590588"/>
    <n v="9.2377609458710506"/>
    <n v="6.7169538862268396E-2"/>
  </r>
  <r>
    <x v="11"/>
    <s v="DE0008430026"/>
    <n v="10.104046242774567"/>
    <n v="10.222222222222221"/>
    <n v="10.985119047619047"/>
    <n v="8.8494394020288301"/>
    <n v="8.7465865647187346"/>
    <n v="7.3513513513513518"/>
    <n v="5.2714126807563959"/>
    <n v="12.522075055187637"/>
    <n v="8.320826952526799"/>
    <n v="8.5714285714285712"/>
    <n v="17.77272727272727"/>
    <n v="7.2860335195530723"/>
    <n v="7.5648148148148149"/>
    <n v="8.7465865647187346"/>
    <n v="10.354427880343568"/>
    <n v="0.18382500461499029"/>
  </r>
  <r>
    <x v="12"/>
    <s v="DE000BASF111"/>
    <n v="12.040076335877863"/>
    <n v="13.896475770925111"/>
    <n v="17.248780487804879"/>
    <n v="13.975999999999999"/>
    <n v="14.244485294117645"/>
    <n v="13.399246704331452"/>
    <n v="9.5549645390070932"/>
    <n v="9.5367412140575087"/>
    <n v="7.5846422338568935"/>
    <n v="9.2126245847176094"/>
    <n v="13.17012987012987"/>
    <n v="8.8762019230769216"/>
    <n v="10.142633228840124"/>
    <n v="12.040076335877863"/>
    <n v="14.951024277213127"/>
    <n v="0.24177155195112987"/>
  </r>
  <r>
    <x v="13"/>
    <s v="DE000BAY0017"/>
    <n v="14.432624113475178"/>
    <n v="15.799689440993788"/>
    <n v="20.864864864864867"/>
    <n v="22.7364185110664"/>
    <n v="22.406593406593409"/>
    <n v="16.602771362586605"/>
    <n v="12.50632911392405"/>
    <n v="15.533707865168537"/>
    <n v="24.982142857142854"/>
    <n v="18.303964757709249"/>
    <n v="21.940350877192984"/>
    <n v="15.401515151515149"/>
    <n v="15.410480349344978"/>
    <n v="16.602771362586605"/>
    <n v="17.566491785039467"/>
    <n v="5.8045756422602457E-2"/>
  </r>
  <r>
    <x v="14"/>
    <s v="DK0060534915"/>
    <n v="18.76530612244898"/>
    <n v="21.137931034482762"/>
    <n v="25.799999999999997"/>
    <n v="19.249260355029588"/>
    <n v="19.736842105263158"/>
    <n v="20.133689839572192"/>
    <n v="17.065637065637066"/>
    <n v="21.125"/>
    <n v="13.498983739837399"/>
    <n v="15.510955056179775"/>
    <n v="21.237942122186496"/>
    <n v="17.623134328358208"/>
    <n v="17.795000000000002"/>
    <n v="19.249260355029588"/>
    <n v="22.962783115396622"/>
    <n v="0.19291768576431245"/>
  </r>
  <r>
    <x v="15"/>
    <s v="ES0178430E18"/>
    <n v="11.379268292682926"/>
    <n v="12.441333333333333"/>
    <n v="15.079710144927537"/>
    <n v="22.923076923076923"/>
    <n v="19.401639344262296"/>
    <n v="10.089108910891088"/>
    <n v="15.385057471264368"/>
    <n v="14.137500000000001"/>
    <n v="8.6755555555555546"/>
    <n v="9.2690058479532169"/>
    <n v="13.631901840490798"/>
    <n v="8.620320855614974"/>
    <n v="9.7769230769230777"/>
    <n v="12.441333333333333"/>
    <n v="13.210476639924494"/>
    <n v="6.1821613968853439E-2"/>
  </r>
  <r>
    <x v="16"/>
    <s v="FR0000120321"/>
    <n v="21.105047748976805"/>
    <n v="22.616959064327485"/>
    <n v="24.190031152647975"/>
    <n v="22.54045307443366"/>
    <n v="23.913857677902623"/>
    <n v="20.448343079922029"/>
    <n v="16.435845213849287"/>
    <n v="19.231481481481481"/>
    <n v="19.451371571072322"/>
    <n v="18.216374269005847"/>
    <n v="28.074498567335244"/>
    <n v="22.589285714285715"/>
    <n v="21.073825503355703"/>
    <n v="21.105047748976805"/>
    <n v="23.674947712084883"/>
    <n v="0.12176707646788754"/>
  </r>
  <r>
    <x v="17"/>
    <s v="FR0000120578"/>
    <n v="15.535416666666666"/>
    <n v="15.470954356846471"/>
    <n v="17.702702702702698"/>
    <n v="16.483660130718953"/>
    <n v="19.041975308641977"/>
    <n v="20.053370786516854"/>
    <n v="12.555309734513276"/>
    <n v="9.4940476190476186"/>
    <n v="10.46768060836502"/>
    <n v="9.5178197064989529"/>
    <n v="16.443864229765012"/>
    <n v="18.074935400516797"/>
    <n v="25.084745762711862"/>
    <n v="16.443864229765012"/>
    <n v="16.412658042111953"/>
    <n v="-1.8977405320929064E-3"/>
  </r>
  <r>
    <x v="18"/>
    <s v="FR0000120644"/>
    <n v="17.452991452991455"/>
    <n v="18.73394495412844"/>
    <n v="20.691029900332229"/>
    <n v="25.928571428571431"/>
    <n v="19.96946564885496"/>
    <n v="17.951438848920866"/>
    <n v="16.136212624584719"/>
    <n v="16.269896193771626"/>
    <n v="15.746323529411763"/>
    <n v="16.801556420233464"/>
    <n v="23.082706766917291"/>
    <n v="23.238866396761132"/>
    <n v="18.084016393442624"/>
    <n v="18.084016393442624"/>
    <n v="19.884589028744546"/>
    <n v="9.9567076037092139E-2"/>
  </r>
  <r>
    <x v="19"/>
    <s v="GB0002875804"/>
    <n v="16.115384615384613"/>
    <n v="19.308755760368662"/>
    <n v="17.704225352112676"/>
    <n v="15.217391304347828"/>
    <n v="19.389221556886231"/>
    <n v="15.224390243902441"/>
    <n v="15.51015228426396"/>
    <n v="15.791666666666668"/>
    <n v="14.003472222222221"/>
    <n v="13.235294117647058"/>
    <n v="15.97560975609756"/>
    <n v="13.740384615384615"/>
    <n v="13.184584178498985"/>
    <n v="15.51015228426396"/>
    <n v="19.571309943948513"/>
    <n v="0.26183867090749691"/>
  </r>
  <r>
    <x v="20"/>
    <s v="GB0004544929"/>
    <n v="17.111111111111111"/>
    <n v="17.906976744186046"/>
    <n v="17.150753768844222"/>
    <n v="15.050847457627119"/>
    <n v="15.452702702702704"/>
    <n v="23.875000000000004"/>
    <n v="31.970588235294112"/>
    <n v="10.717514124293784"/>
    <n v="12.216216216216216"/>
    <n v="27.646153846153844"/>
    <n v="44.82"/>
    <n v="15.344827586206899"/>
    <s v=""/>
    <n v="17.130932439977666"/>
    <n v="18.563162970106077"/>
    <n v="8.360493715952555E-2"/>
  </r>
  <r>
    <x v="21"/>
    <s v="GB00BH4HKS39"/>
    <n v="34.313725490196077"/>
    <n v="50.158730158730165"/>
    <n v="218.26732673267327"/>
    <n v="10.013636363636364"/>
    <n v="4.4748201438848927"/>
    <n v="197.93103448275863"/>
    <n v="12.607142857142856"/>
    <n v="10.133333333333335"/>
    <n v="7.671875"/>
    <n v="25.15"/>
    <n v="10.423076923076923"/>
    <s v=""/>
    <s v=""/>
    <n v="12.607142857142856"/>
    <n v="51.016594408730754"/>
    <n v="3.0466420494177369"/>
  </r>
  <r>
    <x v="22"/>
    <s v="IE00B4BNMY34"/>
    <n v="17.881141045958795"/>
    <n v="19.588541666666668"/>
    <n v="16.833928571428572"/>
    <n v="16.817427385892117"/>
    <n v="15.984513274336285"/>
    <n v="14.631828978622329"/>
    <n v="13.955729166666668"/>
    <n v="10.764705882352942"/>
    <n v="12.406015037593985"/>
    <n v="15.432835820895521"/>
    <n v="15.550943396226415"/>
    <n v="15.055837563451776"/>
    <n v="15.155279503105588"/>
    <n v="15.432835820895521"/>
    <n v="19.805546887189887"/>
    <n v="0.28333814452777806"/>
  </r>
  <r>
    <x v="23"/>
    <s v="NL0000009355"/>
    <n v="17.861990950226247"/>
    <n v="19.445812807881776"/>
    <n v="21.219576719576718"/>
    <n v="18.976744186046513"/>
    <n v="16.354748603351954"/>
    <n v="17.370481927710845"/>
    <n v="17.253246753246753"/>
    <n v="15.958904109589042"/>
    <n v="15.582191780821919"/>
    <n v="14.820512820512821"/>
    <n v="20.785123966942148"/>
    <n v="15.80152671755725"/>
    <n v="17.232350312779268"/>
    <n v="17.253246753246753"/>
    <n v="20.473405174897714"/>
    <n v="0.18664072146565602"/>
  </r>
  <r>
    <x v="24"/>
    <s v="US00206R1023"/>
    <n v="12.459546925566343"/>
    <n v="13.556338028169014"/>
    <n v="12.839552238805968"/>
    <n v="13.937759336099585"/>
    <n v="13.842519685039369"/>
    <n v="13.484"/>
    <n v="13.09090909090909"/>
    <n v="13.354545454545454"/>
    <n v="12.240174672489083"/>
    <n v="13.768115942028986"/>
    <n v="19.24074074074074"/>
    <n v="18.427835051546392"/>
    <n v="12.957671957671957"/>
    <n v="13.484"/>
    <n v="14.135933420365536"/>
    <n v="4.8348666594892897E-2"/>
  </r>
  <r>
    <x v="25"/>
    <s v="US02079K3059"/>
    <n v="19.37423469387755"/>
    <n v="23.084194528875383"/>
    <n v="28.188768115942029"/>
    <n v="23.233800350262698"/>
    <n v="26.658182683158898"/>
    <n v="18.546932354483481"/>
    <n v="19.04186320754717"/>
    <n v="18.989130434782609"/>
    <n v="23.555471124620063"/>
    <n v="15.065621939275218"/>
    <n v="43.374733408606197"/>
    <n v="34.622556390977444"/>
    <n v="42.846076458752513"/>
    <n v="23.233800350262698"/>
    <n v="26.150046865734453"/>
    <n v="0.12551741305803121"/>
  </r>
  <r>
    <x v="26"/>
    <s v="US09247X1019"/>
    <n v="13.479674796747968"/>
    <n v="14.869955156950674"/>
    <n v="17.462564102564102"/>
    <n v="18.24285714285714"/>
    <n v="16.363495346432266"/>
    <n v="12.467430639324489"/>
    <n v="13.029239766081872"/>
    <n v="16.082700421940931"/>
    <n v="21.224862888482633"/>
    <n v="18.814866760168304"/>
    <n v="33.612403100775197"/>
    <n v="18.64749082007344"/>
    <n v="20.26078799249531"/>
    <n v="17.462564102564102"/>
    <n v="16.365431015573595"/>
    <n v="-6.2827719946889737E-2"/>
  </r>
  <r>
    <x v="27"/>
    <s v="US1266501006"/>
    <n v="14.352192362093351"/>
    <n v="16.366129032258065"/>
    <n v="17.939449541284404"/>
    <n v="20.106471816283925"/>
    <n v="16.919621749408979"/>
    <n v="13.032345013477089"/>
    <n v="12.74375"/>
    <n v="13.688976377952757"/>
    <n v="12.935742971887549"/>
    <n v="11.82716049382716"/>
    <n v="18.23394495412844"/>
    <n v="16.098958333333336"/>
    <n v="16.481249999999999"/>
    <n v="16.098958333333336"/>
    <n v="17.946057479734709"/>
    <n v="0.11473407832709914"/>
  </r>
  <r>
    <x v="28"/>
    <s v="US17275R1023"/>
    <n v="13.185714285714285"/>
    <n v="13.061320754716981"/>
    <n v="13.796116504854369"/>
    <n v="14.417142857142858"/>
    <n v="16.196202531645568"/>
    <n v="9.5508982035928138"/>
    <n v="10.718120805369129"/>
    <n v="17.883720930232556"/>
    <n v="16.548872180451127"/>
    <n v="20.94285714285714"/>
    <n v="22.068702290076335"/>
    <n v="15.282051282051283"/>
    <n v="21.516853932584269"/>
    <n v="15.282051282051283"/>
    <n v="13.177347715736042"/>
    <n v="-0.13772389108438654"/>
  </r>
  <r>
    <x v="29"/>
    <s v="US1912161007"/>
    <n v="21.112612612612608"/>
    <n v="22.975490196078429"/>
    <n v="22.375"/>
    <n v="21.11"/>
    <n v="20.25"/>
    <n v="17.427884615384613"/>
    <n v="18.221354166666668"/>
    <n v="17.127604166666668"/>
    <n v="16.332378223495702"/>
    <n v="14.794117647058824"/>
    <n v="19.482539682539681"/>
    <n v="17.925925925925924"/>
    <n v="17.008438818565402"/>
    <n v="18.221354166666668"/>
    <n v="24.003072721065209"/>
    <n v="0.31730454836201805"/>
  </r>
  <r>
    <x v="30"/>
    <s v="US1941621039"/>
    <n v="21.800613496932513"/>
    <n v="23.769230769230766"/>
    <n v="24.225454545454546"/>
    <n v="24.622775800711743"/>
    <n v="22.332191780821915"/>
    <n v="18.404929577464792"/>
    <n v="17.236940298507463"/>
    <n v="15.978131212723659"/>
    <n v="16.43"/>
    <n v="15.130242825607064"/>
    <n v="19.344913151364761"/>
    <n v="18.451977401129941"/>
    <n v="18.065359477124183"/>
    <n v="18.451977401129941"/>
    <n v="25.243902439024389"/>
    <n v="0.36808656818962571"/>
  </r>
  <r>
    <x v="31"/>
    <s v="US3696041033"/>
    <n v="15.953367875647668"/>
    <n v="18.774390243902438"/>
    <n v="21.93661971830986"/>
    <n v="19.29007633587786"/>
    <n v="18.686666666666667"/>
    <n v="16.527559055118108"/>
    <n v="13.883720930232558"/>
    <n v="14.869918699186991"/>
    <n v="14.273584905660377"/>
    <n v="16.03960396039604"/>
    <n v="21.552325581395348"/>
    <n v="17.208294930875574"/>
    <n v="17.524999999999999"/>
    <n v="17.208294930875574"/>
    <n v="20.805616037240032"/>
    <n v="0.20904576082724202"/>
  </r>
  <r>
    <x v="32"/>
    <s v="US4592001014"/>
    <n v="9.7614379084967311"/>
    <n v="11.57751937984496"/>
    <n v="11.188617886178861"/>
    <n v="11.180487804878048"/>
    <n v="11.81915563957152"/>
    <n v="12.278846153846155"/>
    <n v="12.508843537414966"/>
    <n v="11.263238679969302"/>
    <n v="11.563604240282686"/>
    <n v="8.4075924075924071"/>
    <n v="12.105263157894736"/>
    <n v="13.555710306406686"/>
    <n v="13.453355155482814"/>
    <n v="11.57751937984496"/>
    <n v="11.983150575020057"/>
    <n v="3.5036105910671189E-2"/>
  </r>
  <r>
    <x v="33"/>
    <s v="US4781601046"/>
    <n v="15.765895953757225"/>
    <n v="16.888544891640866"/>
    <n v="17.148580968280466"/>
    <n v="17.998278829604132"/>
    <n v="15.33500837520938"/>
    <n v="12.341549295774648"/>
    <n v="12.858823529411765"/>
    <n v="12.370000000000001"/>
    <n v="13.531512605042018"/>
    <n v="12.922246220302375"/>
    <n v="14.659340659340661"/>
    <n v="15.922891566265058"/>
    <n v="15.984042553191491"/>
    <n v="15.33500837520938"/>
    <n v="17.832786974564801"/>
    <n v="0.16288081090280571"/>
  </r>
  <r>
    <x v="34"/>
    <s v="US5007541064"/>
    <n v="19.139024390243904"/>
    <n v="21.150943396226413"/>
    <n v="25.619718309859159"/>
    <s v=""/>
    <s v=""/>
    <s v=""/>
    <s v=""/>
    <s v=""/>
    <s v=""/>
    <s v=""/>
    <s v=""/>
    <s v=""/>
    <s v=""/>
    <n v="21.150943396226413"/>
    <n v="25.503493851904015"/>
    <n v="0.20578516873408814"/>
  </r>
  <r>
    <x v="35"/>
    <s v="US5801351017"/>
    <n v="19.417298937784523"/>
    <n v="21.080724876441515"/>
    <n v="21.837338262476894"/>
    <n v="18.815261044176705"/>
    <n v="18.102611940298505"/>
    <n v="15.893693693693693"/>
    <n v="18.718283582089551"/>
    <n v="14.565464895635676"/>
    <n v="13.573913043478262"/>
    <n v="15.625628140703517"/>
    <n v="16.051771117166211"/>
    <n v="14.605263157894736"/>
    <n v="11.627586206896552"/>
    <n v="16.051771117166211"/>
    <n v="22.892241636352793"/>
    <n v="0.42615051443583019"/>
  </r>
  <r>
    <x v="36"/>
    <s v="US58933Y1055"/>
    <n v="15.335180055401663"/>
    <n v="19.631205673758867"/>
    <n v="21.212851405622487"/>
    <n v="36.403846153846153"/>
    <n v="35.852435530085963"/>
    <n v="27.85034013605442"/>
    <n v="18.850000000000001"/>
    <n v="17.841584158415841"/>
    <n v="10.684210526315789"/>
    <n v="17.988165680473372"/>
    <n v="20.389473684210525"/>
    <n v="12.24782242202866"/>
    <n v="15.669950738916256"/>
    <n v="18.850000000000001"/>
    <n v="21.458750565281992"/>
    <n v="0.13839525545262554"/>
  </r>
  <r>
    <x v="37"/>
    <s v="US5949181045"/>
    <n v="14.909589041095892"/>
    <n v="18.200668896321069"/>
    <n v="17.802419354838708"/>
    <n v="15.855513307984793"/>
    <n v="13.134980988593156"/>
    <n v="11.456928838951312"/>
    <n v="9.5238095238095237"/>
    <n v="8.5539033457249083"/>
    <n v="11.319047619047618"/>
    <n v="16.981481481481481"/>
    <n v="15.759358288770052"/>
    <n v="16.408450704225352"/>
    <n v="20.7"/>
    <n v="15.759358288770052"/>
    <n v="18.927049821754629"/>
    <n v="0.20100384006383298"/>
  </r>
  <r>
    <x v="38"/>
    <s v="US6092071058"/>
    <n v="19.149321266968325"/>
    <n v="21.482233502538072"/>
    <n v="26.222222222222225"/>
    <n v="20.75714285714286"/>
    <n v="20.171428571428571"/>
    <n v="8.3766233766233764"/>
    <n v="21.09186046511628"/>
    <n v="5.1319587628865975"/>
    <n v="19.95"/>
    <n v="2.1789473684210527"/>
    <s v=""/>
    <s v=""/>
    <s v=""/>
    <n v="20.060714285714283"/>
    <n v="23.764896736756722"/>
    <n v="0.18464858221326019"/>
  </r>
  <r>
    <x v="39"/>
    <s v="US61166W1018"/>
    <n v="13.24617737003058"/>
    <n v="15.469642857142857"/>
    <n v="23.53012048192771"/>
    <n v="20.183246073298427"/>
    <n v="18.717017208413001"/>
    <n v="19.103070175438599"/>
    <n v="18.629729729729732"/>
    <n v="17.787162162162161"/>
    <n v="34.80497925311203"/>
    <n v="25.90702947845805"/>
    <n v="19.159340659340657"/>
    <n v="23.949494949494952"/>
    <n v="24.5"/>
    <n v="19.159340659340657"/>
    <n v="17.229324346721175"/>
    <n v="-0.100735006853096"/>
  </r>
  <r>
    <x v="40"/>
    <s v="US68389X1054"/>
    <n v="16.015873015873016"/>
    <n v="17.701754385964914"/>
    <n v="20.808612440191389"/>
    <n v="19.013574660633484"/>
    <n v="14.193277310924371"/>
    <n v="11.712389380530974"/>
    <n v="17.459183673469386"/>
    <n v="13.514970059880241"/>
    <n v="16.190082644628099"/>
    <n v="20.954128440366972"/>
    <n v="18.283018867924525"/>
    <n v="17.555555555555554"/>
    <n v="20"/>
    <n v="17.555555555555554"/>
    <n v="17.917427119814533"/>
    <n v="2.0612937204625537E-2"/>
  </r>
  <r>
    <x v="41"/>
    <s v="US7134481081"/>
    <n v="19.351749539594845"/>
    <n v="20.766798418972332"/>
    <n v="21.350427350427353"/>
    <n v="20.691466083150985"/>
    <n v="17.913606911447083"/>
    <n v="15.659038901601832"/>
    <n v="16.182926829268293"/>
    <n v="14.847727272727271"/>
    <n v="14.721549636803873"/>
    <n v="14.762803234501348"/>
    <n v="20.625"/>
    <n v="18.538461538461537"/>
    <n v="19.78"/>
    <n v="18.538461538461537"/>
    <n v="21.967433973659148"/>
    <n v="0.18496531808119898"/>
  </r>
  <r>
    <x v="42"/>
    <s v="US7170811035"/>
    <n v="12.645914396887161"/>
    <n v="14.508928571428569"/>
    <n v="19.100591715976332"/>
    <n v="28.063063063063058"/>
    <n v="21.570422535211268"/>
    <n v="15.199575757575758"/>
    <n v="11.154639175257733"/>
    <n v="13.78740157480315"/>
    <n v="17.833333333333336"/>
    <n v="14.398373983739837"/>
    <n v="18.941666666666666"/>
    <n v="22.196581196581196"/>
    <n v="15.342105263157896"/>
    <n v="15.342105263157896"/>
    <n v="17.665710403140569"/>
    <n v="0.15145282216010569"/>
  </r>
  <r>
    <x v="43"/>
    <s v="US7181721090"/>
    <n v="19.399999999999999"/>
    <n v="21.10460251046025"/>
    <n v="20.162844036697244"/>
    <n v="18.427601809954751"/>
    <n v="17.356573705179283"/>
    <n v="15.488888888888887"/>
    <n v="15.03448275862069"/>
    <n v="11.993852459016393"/>
    <n v="12.452196382428939"/>
    <n v="13.224924012158054"/>
    <s v=""/>
    <s v=""/>
    <s v=""/>
    <n v="16.422731297034083"/>
    <n v="22.546375623929073"/>
    <n v="0.37287612006420079"/>
  </r>
  <r>
    <x v="44"/>
    <s v="US7427181091"/>
    <n v="19.393939393939394"/>
    <n v="19.952038369304557"/>
    <n v="21.977528089887638"/>
    <n v="19.549751243781099"/>
    <n v="18.8239608801956"/>
    <n v="15.236318407960201"/>
    <n v="16.51168831168831"/>
    <n v="15.498708010335916"/>
    <n v="13.923705722070846"/>
    <n v="17.524495677233428"/>
    <n v="17.944281524926684"/>
    <n v="18.63486842105263"/>
    <n v="19.981060606060606"/>
    <n v="18.63486842105263"/>
    <n v="20.631083007873041"/>
    <n v="0.1071225479953053"/>
  </r>
  <r>
    <x v="45"/>
    <s v="US92343V1044"/>
    <n v="12.54326923076923"/>
    <n v="12.82063882063882"/>
    <n v="11.526184538653366"/>
    <n v="11.724310776942355"/>
    <n v="14.66865671641791"/>
    <n v="15.235915492957748"/>
    <n v="17.910714285714281"/>
    <n v="16.641860465116281"/>
    <n v="15.927884615384617"/>
    <n v="14.125"/>
    <n v="17.200787401574804"/>
    <n v="15.805084745762711"/>
    <n v="14.621359223300971"/>
    <n v="14.66865671641791"/>
    <n v="12.959682092888483"/>
    <n v="-0.11650518902774887"/>
  </r>
  <r>
    <x v="46"/>
    <s v="US92826C8394"/>
    <n v="20.215025906735754"/>
    <n v="24.157894736842106"/>
    <n v="24.442105263157892"/>
    <n v="20.675387596899224"/>
    <n v="22.220930232558139"/>
    <n v="17.668421052631579"/>
    <n v="13.915584415584416"/>
    <n v="14.391472868217054"/>
    <n v="17.2775"/>
    <n v="19.676282051282051"/>
    <s v=""/>
    <s v=""/>
    <s v=""/>
    <n v="19.945653979008902"/>
    <n v="25.58780127889818"/>
    <n v="0.28287602431222147"/>
  </r>
  <r>
    <x v="47"/>
    <s v="US9311421039"/>
    <n v="15.433106575963718"/>
    <n v="15.837708830548925"/>
    <n v="18.514161220043576"/>
    <n v="14.729783037475345"/>
    <n v="13.688845401174168"/>
    <n v="12.223107569721117"/>
    <n v="12.487750556792873"/>
    <n v="13.127764127764127"/>
    <n v="12.87431693989071"/>
    <n v="14.845029239766083"/>
    <n v="15.230031948881789"/>
    <n v="17.014760147601475"/>
    <n v="19.552238805970148"/>
    <n v="14.845029239766083"/>
    <n v="16.083919756328118"/>
    <n v="8.3454905783773015E-2"/>
  </r>
  <r>
    <x v="48"/>
    <s v="z_BE0003793107"/>
    <n v="22.894821804511274"/>
    <n v="24.214801590457252"/>
    <n v="28.250299999999996"/>
    <n v="22.897298387096775"/>
    <n v="19.215984476534295"/>
    <n v="17.653399185336045"/>
    <n v="13.780105955056179"/>
    <n v="15.790016528925618"/>
    <n v="16.456969400630914"/>
    <n v="9.4806846774193527"/>
    <n v="20.90306772908367"/>
    <n v="15.635393103448278"/>
    <n v="13.844572448979592"/>
    <n v="17.653399185336045"/>
    <n v="26.64343257136607"/>
    <n v="0.50925225740647595"/>
  </r>
  <r>
    <x v="49"/>
    <s v="z_CH0010570759"/>
    <n v="34.794258373205743"/>
    <n v="37.561983471074377"/>
    <n v="42.373651334469052"/>
    <n v="35.459057071960295"/>
    <n v="32.945205479452056"/>
    <n v="26.267123287671232"/>
    <n v="26.444818871103621"/>
    <n v="27.922077922077921"/>
    <n v="24.080568720379148"/>
    <n v="26.560112821718182"/>
    <n v="34.885964912280699"/>
    <n v="28.139321723189735"/>
    <n v="23.827616152844115"/>
    <n v="28.139321723189735"/>
    <n v="40.207031070018893"/>
    <n v="0.42885572955669748"/>
  </r>
  <r>
    <x v="50"/>
    <s v="z_DE0006048432"/>
    <n v="17.688848920863311"/>
    <n v="18.913461538461537"/>
    <n v="21.27835051546392"/>
    <n v="18.32377049180328"/>
    <n v="19.248858447488587"/>
    <n v="15.282555282555283"/>
    <n v="12.283746556473831"/>
    <n v="14.820063694267514"/>
    <n v="12.918439716312058"/>
    <n v="11.827225130890053"/>
    <n v="17.547945205479451"/>
    <n v="16.968036529680365"/>
    <n v="14.2378391959799"/>
    <n v="16.968036529680365"/>
    <n v="19.887659383250014"/>
    <n v="0.17206604007851278"/>
  </r>
  <r>
    <x v="51"/>
    <s v="z_DE0006483001"/>
    <n v="15.200250312891114"/>
    <n v="16.412162162162161"/>
    <n v="19.462209302325583"/>
    <n v="24.95145631067961"/>
    <n v="21.32538569424965"/>
    <n v="18.591549295774648"/>
    <n v="14.569074778200255"/>
    <n v="14.727626459143968"/>
    <n v="12.214804063860667"/>
    <n v="13.06768558951965"/>
    <n v="16.565934065934066"/>
    <n v="15.589641434262951"/>
    <n v="14.113733905579398"/>
    <n v="15.589641434262951"/>
    <n v="17.29673703199671"/>
    <n v="0.10950191541813781"/>
  </r>
  <r>
    <x v="52"/>
    <s v="z_FR0000121220"/>
    <n v="17.299082568807339"/>
    <n v="20.059574468085106"/>
    <n v="18.197215777262183"/>
    <n v="16.297826086956523"/>
    <n v="19.973078073586599"/>
    <n v="17.860795454545453"/>
    <n v="15.41803034811068"/>
    <n v="14.945616348055372"/>
    <n v="14.605597964376591"/>
    <n v="18.141176470588235"/>
    <n v="19.508064516129032"/>
    <n v="17.337500000000002"/>
    <n v="13.613526570048309"/>
    <n v="17.337500000000002"/>
    <n v="20.738350991677969"/>
    <n v="0.19615578899368225"/>
  </r>
  <r>
    <x v="53"/>
    <s v="z_GB0002374006"/>
    <n v="18.563106796116504"/>
    <n v="20.041928721174003"/>
    <n v="19.83836206896552"/>
    <n v="21.013513513513512"/>
    <n v="19.68586387434555"/>
    <n v="15.9262851600388"/>
    <n v="13.747300215982721"/>
    <n v="12.990196078431373"/>
    <n v="12.291960507757405"/>
    <n v="14.215384615384615"/>
    <n v="17.576271186440678"/>
    <n v="16.536363636363635"/>
    <n v="16.297029702970299"/>
    <n v="16.536363636363635"/>
    <n v="20.165585614090599"/>
    <n v="0.21946916852664433"/>
  </r>
  <r>
    <x v="54"/>
    <s v="z_GB0004835483"/>
    <n v="25.134743459915612"/>
    <n v="28.842430188679248"/>
    <n v="26.279189999999996"/>
    <n v="24.429803921568624"/>
    <n v="25.18941244019139"/>
    <n v="19.695884558823526"/>
    <n v="13.406381628787877"/>
    <n v="19.297121052631578"/>
    <n v="12.18985"/>
    <n v="17.529753599999999"/>
    <n v="16.37469029850746"/>
    <n v="17.942603636363636"/>
    <s v=""/>
    <n v="19.496502805727552"/>
    <n v="28.025304652378466"/>
    <n v="0.43745290792076719"/>
  </r>
  <r>
    <x v="55"/>
    <s v="z_GB00B24CGK77"/>
    <n v="21.049689440993788"/>
    <n v="23.212328767123289"/>
    <n v="23.262962962962963"/>
    <n v="21.618257261410786"/>
    <n v="17.350513966480445"/>
    <n v="13.989758812615955"/>
    <n v="11.690011346444781"/>
    <n v="13.865503844597328"/>
    <n v="15.066531177829098"/>
    <n v="12.869635336414996"/>
    <n v="17.948650190114069"/>
    <n v="18.383784440842788"/>
    <n v="17.424528478057891"/>
    <n v="17.424528478057891"/>
    <n v="24.558959700471036"/>
    <n v="0.40944759173238388"/>
  </r>
  <r>
    <x v="56"/>
    <s v="z_IE00BTN1Y115"/>
    <n v="18.358173076923077"/>
    <n v="19.939947780678853"/>
    <n v="22.091988130563799"/>
    <n v="15.519788918205805"/>
    <n v="12.257217847769029"/>
    <n v="10.352303523035232"/>
    <n v="12.243401759530791"/>
    <n v="12.964391691394658"/>
    <n v="9.9378881987577632"/>
    <n v="16.671232876712327"/>
    <n v="20.373076923076923"/>
    <n v="20.796680497925308"/>
    <n v="18.36363636363636"/>
    <n v="16.671232876712327"/>
    <n v="20.080634558920199"/>
    <n v="0.20450807132389048"/>
  </r>
  <r>
    <x v="57"/>
    <s v="z_US02209S1033"/>
    <n v="17.673130193905816"/>
    <n v="19.101796407185628"/>
    <n v="19.211221122112214"/>
    <n v="17.596428571428575"/>
    <n v="14.937743190661481"/>
    <n v="13.210084033613446"/>
    <n v="13.416289592760181"/>
    <n v="12.009756097560977"/>
    <n v="10.331578947368421"/>
    <n v="5.3280000000000003"/>
    <n v="16.2"/>
    <n v="15.202027027027029"/>
    <n v="11.957615894039735"/>
    <n v="14.937743190661481"/>
    <n v="20.485559856579677"/>
    <n v="0.37139590600181727"/>
  </r>
  <r>
    <x v="58"/>
    <s v="z_US3703341046"/>
    <n v="19.240121580547111"/>
    <n v="20.618892508143322"/>
    <n v="19.77112676056338"/>
    <n v="19.409893992932862"/>
    <n v="16.695035460992909"/>
    <n v="14.247211895910782"/>
    <n v="15.535156250000002"/>
    <n v="14.360887096774194"/>
    <n v="11.126086956521739"/>
    <n v="15.879396984924623"/>
    <n v="17.386363636363637"/>
    <n v="16.317610062893081"/>
    <n v="17.068965517241381"/>
    <n v="16.695035460992909"/>
    <n v="20.844462332150307"/>
    <n v="0.24854256110161144"/>
  </r>
  <r>
    <x v="59"/>
    <s v="z_US4278661081"/>
    <n v="18.585020242914979"/>
    <n v="19.744086021505375"/>
    <n v="20.616628175519629"/>
    <n v="25.225728155339805"/>
    <n v="24.429648241206031"/>
    <n v="19.413978494623656"/>
    <n v="19.067901234567902"/>
    <n v="16.660777385159008"/>
    <n v="14.035294117647059"/>
    <n v="16.009216589861751"/>
    <n v="20.957446808510639"/>
    <n v="24.00480769230769"/>
    <n v="23.683544303797468"/>
    <n v="19.744086021505375"/>
    <n v="20.785078231121396"/>
    <n v="5.2724254163103224E-2"/>
  </r>
  <r>
    <x v="60"/>
    <s v="z_US4878361082"/>
    <n v="17.923433874709978"/>
    <n v="19.807692307692307"/>
    <n v="20.53125"/>
    <n v="18.59090909090909"/>
    <n v="16.028871391076116"/>
    <n v="14.814323607427056"/>
    <n v="14.008310249307479"/>
    <n v="15.112426035502958"/>
    <n v="16.121212121212125"/>
    <n v="13.876582278481013"/>
    <n v="17.535117056856187"/>
    <n v="18.166666666666668"/>
    <n v="17.438247011952193"/>
    <n v="17.438247011952193"/>
    <n v="21.319493422464809"/>
    <n v="0.22257090450963379"/>
  </r>
  <r>
    <x v="61"/>
    <s v="z_US4943681035"/>
    <n v="19.78273381294964"/>
    <n v="21.022935779816514"/>
    <n v="20.971993410214168"/>
    <n v="20.059027777777779"/>
    <n v="18.097713097713097"/>
    <n v="15.234572356549984"/>
    <n v="14.58944863149544"/>
    <n v="13.67462039045553"/>
    <n v="14.173526140155728"/>
    <n v="12.149274360746372"/>
    <n v="17.483610690872414"/>
    <n v="16.646251837334642"/>
    <n v="16.190603310197545"/>
    <n v="16.646251837334642"/>
    <n v="22.183161083871891"/>
    <n v="0.33262198004952248"/>
  </r>
  <r>
    <x v="62"/>
    <s v="z_US57636Q1040"/>
    <n v="18.646123260437378"/>
    <n v="22.545673076923077"/>
    <n v="27.502824858757062"/>
    <n v="25.119533527696792"/>
    <n v="26.950322580645164"/>
    <n v="18.822988505747126"/>
    <n v="16.915607985480939"/>
    <n v="11.984491978609626"/>
    <n v="18.219217081850534"/>
    <n v="12.773011617515639"/>
    <n v="22.869287991498407"/>
    <s v=""/>
    <s v=""/>
    <n v="18.822988505747126"/>
    <n v="25.288654543275715"/>
    <n v="0.34349837888677781"/>
  </r>
  <r>
    <x v="63"/>
    <s v="z_US6153691059"/>
    <n v="15.321839080459771"/>
    <n v="17.279629629629628"/>
    <n v="21.079831932773111"/>
    <n v="20.82826086956522"/>
    <n v="18.63895486935867"/>
    <n v="13.786301369863015"/>
    <n v="11.264214046822742"/>
    <n v="10.788617886178862"/>
    <n v="12.582159624413146"/>
    <n v="11.81764705882353"/>
    <n v="19.615384615384617"/>
    <n v="27.624000000000002"/>
    <n v="27.493333333333332"/>
    <n v="17.279629629629628"/>
    <n v="18.910781841109706"/>
    <n v="9.4397405872815643E-2"/>
  </r>
  <r>
    <x v="64"/>
    <s v="z_US91324P1021"/>
    <n v="13.413020277481325"/>
    <n v="15.197097944377269"/>
    <n v="16.316227461858531"/>
    <n v="16.820299500831947"/>
    <n v="13.210526315789473"/>
    <n v="9.8618181818181814"/>
    <n v="9.5984848484848477"/>
    <n v="7.634249471458773"/>
    <n v="7.434146341463415"/>
    <n v="8.2098765432098766"/>
    <n v="19.728813559322035"/>
    <n v="15.37142857142857"/>
    <n v="20.915824915824913"/>
    <n v="13.413020277481325"/>
    <n v="16.760561293286116"/>
    <n v="0.24957399202809438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  <r>
    <x v="65"/>
    <m/>
    <e v="#N/A"/>
    <e v="#N/A"/>
    <e v="#N/A"/>
    <e v="#N/A"/>
    <e v="#N/A"/>
    <e v="#N/A"/>
    <e v="#N/A"/>
    <e v="#N/A"/>
    <e v="#N/A"/>
    <e v="#N/A"/>
    <e v="#N/A"/>
    <e v="#N/A"/>
    <e v="#N/A"/>
    <e v="#N/A"/>
    <e v="#N/A"/>
    <e v="#N/A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00">
  <r>
    <x v="0"/>
    <s v="CH0011037469"/>
    <m/>
    <n v="91.78"/>
    <n v="91.66"/>
    <n v="91.75"/>
    <n v="91.74"/>
    <n v="91.25"/>
    <n v="92.2"/>
    <n v="94.6"/>
    <n v="96.9"/>
    <n v="100.8"/>
    <n v="104"/>
    <n v="106.4"/>
  </r>
  <r>
    <x v="1"/>
    <s v="CH0012005267"/>
    <m/>
    <n v="2374"/>
    <n v="2399"/>
    <n v="2426"/>
    <n v="2706"/>
    <n v="2746"/>
    <n v="2638"/>
    <n v="2638"/>
    <n v="2644"/>
    <n v="2729"/>
    <n v="2729"/>
    <n v="2739"/>
  </r>
  <r>
    <x v="2"/>
    <s v="CH0012032048"/>
    <m/>
    <n v="862.56"/>
    <n v="862.56"/>
    <n v="862.56"/>
    <n v="862.56"/>
    <n v="862.56"/>
    <n v="862.56"/>
    <n v="862.56"/>
    <n v="862.56"/>
    <n v="862.6"/>
    <n v="862.6"/>
    <n v="862.6"/>
  </r>
  <r>
    <x v="3"/>
    <s v="CH0038863350"/>
    <m/>
    <n v="3188"/>
    <n v="3225"/>
    <n v="3225"/>
    <n v="3225"/>
    <n v="3300"/>
    <n v="3465"/>
    <n v="3650"/>
    <n v="3830"/>
    <n v="3931"/>
    <n v="4007"/>
    <n v="4035"/>
  </r>
  <r>
    <x v="4"/>
    <s v="DE0005200000"/>
    <m/>
    <n v="252"/>
    <n v="252"/>
    <n v="252"/>
    <n v="252"/>
    <n v="252"/>
    <n v="252"/>
    <n v="252"/>
    <n v="252"/>
    <n v="252"/>
    <n v="252"/>
    <n v="252"/>
  </r>
  <r>
    <x v="5"/>
    <s v="DE0005552004"/>
    <m/>
    <n v="1213"/>
    <n v="1211"/>
    <n v="1209"/>
    <n v="1209"/>
    <n v="1209"/>
    <n v="1209"/>
    <n v="1209"/>
    <n v="1209"/>
    <n v="1208"/>
    <n v="1202"/>
    <n v="1193"/>
  </r>
  <r>
    <x v="6"/>
    <s v="DE0005557508"/>
    <m/>
    <n v="4607"/>
    <n v="4536"/>
    <n v="4451"/>
    <n v="4321"/>
    <n v="4321"/>
    <n v="4321"/>
    <n v="4361"/>
    <n v="4361"/>
    <n v="4361"/>
    <n v="4361"/>
    <n v="4198"/>
  </r>
  <r>
    <x v="7"/>
    <s v="DE0005785604"/>
    <m/>
    <n v="545.73"/>
    <n v="541.53"/>
    <n v="539.08000000000004"/>
    <n v="534.55999999999995"/>
    <n v="489.71"/>
    <n v="487.5"/>
    <n v="483.6"/>
    <n v="483.6"/>
    <n v="465.6"/>
    <n v="463.2"/>
    <n v="456.3"/>
  </r>
  <r>
    <x v="8"/>
    <s v="DE0007164600"/>
    <m/>
    <n v="1229"/>
    <n v="1229"/>
    <n v="1229"/>
    <n v="1229"/>
    <n v="1228"/>
    <n v="1227"/>
    <n v="1226"/>
    <n v="1226"/>
    <n v="1246"/>
    <n v="1268"/>
    <n v="1266"/>
  </r>
  <r>
    <x v="9"/>
    <s v="DE0007236101"/>
    <m/>
    <n v="881"/>
    <n v="881"/>
    <n v="881"/>
    <n v="881"/>
    <n v="914.2"/>
    <n v="914.2"/>
    <n v="914.2"/>
    <n v="914.2"/>
    <n v="914.2"/>
    <n v="891"/>
    <n v="891"/>
  </r>
  <r>
    <x v="10"/>
    <s v="DE0008404005"/>
    <m/>
    <n v="457"/>
    <n v="457"/>
    <n v="456.5"/>
    <n v="455.95"/>
    <n v="455.3"/>
    <n v="454.5"/>
    <n v="453.9"/>
    <n v="453.05"/>
    <n v="450.2"/>
    <n v="432.2"/>
    <n v="406"/>
  </r>
  <r>
    <x v="11"/>
    <s v="DE0008430026"/>
    <m/>
    <n v="166.84"/>
    <n v="172.94"/>
    <n v="179.34"/>
    <n v="179.34"/>
    <n v="179.3"/>
    <n v="188.5"/>
    <n v="197.4"/>
    <n v="206.4"/>
    <n v="217.9"/>
    <n v="229.6"/>
    <n v="229.6"/>
  </r>
  <r>
    <x v="12"/>
    <s v="DE000BASF111"/>
    <m/>
    <n v="918.5"/>
    <n v="918.5"/>
    <n v="918.5"/>
    <n v="918.5"/>
    <n v="918.5"/>
    <n v="918.5"/>
    <n v="918.5"/>
    <n v="918.5"/>
    <n v="956.4"/>
    <n v="999.4"/>
    <n v="1029"/>
  </r>
  <r>
    <x v="13"/>
    <s v="DE000BAY0017"/>
    <m/>
    <n v="826.95"/>
    <n v="826.95"/>
    <n v="826.95"/>
    <n v="826.95"/>
    <n v="826.95"/>
    <n v="826.9"/>
    <n v="826.9"/>
    <n v="764.3"/>
    <n v="764.3"/>
    <n v="764.3"/>
    <n v="730.3"/>
  </r>
  <r>
    <x v="14"/>
    <s v="DK0060534915"/>
    <m/>
    <n v="2600"/>
    <n v="2650"/>
    <n v="2750"/>
    <n v="2800"/>
    <n v="2780"/>
    <n v="2860"/>
    <n v="2940"/>
    <n v="3040"/>
    <m/>
    <m/>
    <m/>
  </r>
  <r>
    <x v="15"/>
    <s v="ES0178430E18"/>
    <m/>
    <n v="4975"/>
    <n v="4657"/>
    <n v="4551"/>
    <n v="4551"/>
    <n v="4511"/>
    <n v="4522"/>
    <n v="4553"/>
    <n v="4705"/>
    <n v="4774"/>
    <n v="4921"/>
    <n v="4921"/>
  </r>
  <r>
    <x v="16"/>
    <s v="FR0000120321"/>
    <m/>
    <n v="562.98"/>
    <n v="561.23"/>
    <n v="605.9"/>
    <n v="608.80999999999995"/>
    <n v="602.98"/>
    <n v="601"/>
    <n v="599"/>
    <n v="602.4"/>
    <n v="618"/>
    <n v="639.6"/>
    <n v="658.8"/>
  </r>
  <r>
    <x v="17"/>
    <s v="FR0000120578"/>
    <m/>
    <n v="1306"/>
    <n v="1319"/>
    <n v="1324"/>
    <n v="1326"/>
    <n v="1341"/>
    <n v="1311"/>
    <n v="1319"/>
    <n v="1316"/>
    <n v="1366"/>
    <n v="1359"/>
    <n v="1396"/>
  </r>
  <r>
    <x v="18"/>
    <s v="FR0000120644"/>
    <m/>
    <n v="615.23"/>
    <n v="600.08000000000004"/>
    <n v="586.41999999999996"/>
    <n v="593.33000000000004"/>
    <n v="600.64"/>
    <n v="616.23"/>
    <n v="613.48"/>
    <n v="513.79999999999995"/>
    <n v="512.79999999999995"/>
    <n v="521.79999999999995"/>
    <n v="528.4"/>
  </r>
  <r>
    <x v="19"/>
    <s v="GB0002875804"/>
    <m/>
    <n v="2027"/>
    <n v="2027"/>
    <n v="2026"/>
    <n v="2026"/>
    <n v="2026"/>
    <n v="2026"/>
    <n v="2025"/>
    <n v="2025"/>
    <n v="2025"/>
    <m/>
    <m/>
  </r>
  <r>
    <x v="20"/>
    <s v="GB0004544929"/>
    <m/>
    <n v="1036"/>
    <n v="1036"/>
    <n v="1068"/>
    <n v="1068"/>
    <n v="1068"/>
    <n v="1068"/>
    <n v="1068"/>
    <n v="1068"/>
    <m/>
    <m/>
    <m/>
  </r>
  <r>
    <x v="21"/>
    <s v="GB00BH4HKS39"/>
    <m/>
    <n v="28813"/>
    <n v="28812"/>
    <m/>
    <m/>
    <m/>
    <m/>
    <m/>
    <m/>
    <m/>
    <m/>
    <m/>
  </r>
  <r>
    <x v="22"/>
    <s v="IE00B4BNMY34"/>
    <m/>
    <n v="650.04"/>
    <n v="656.56"/>
    <n v="666.36"/>
    <n v="676.6"/>
    <n v="690.1"/>
    <n v="696.4"/>
    <m/>
    <m/>
    <m/>
    <m/>
    <m/>
  </r>
  <r>
    <x v="23"/>
    <s v="NL0000009355"/>
    <m/>
    <n v="3000"/>
    <n v="3000"/>
    <n v="3000"/>
    <n v="3000"/>
    <n v="3000"/>
    <n v="3000"/>
    <n v="3000"/>
    <n v="3000"/>
    <n v="3000"/>
    <n v="3000"/>
    <n v="3000"/>
  </r>
  <r>
    <x v="24"/>
    <s v="US00206R1023"/>
    <m/>
    <n v="6145"/>
    <n v="5187"/>
    <n v="5226"/>
    <n v="5581"/>
    <n v="5927"/>
    <n v="5911"/>
    <n v="5902"/>
    <n v="5893"/>
    <n v="6044"/>
    <n v="6239"/>
    <m/>
  </r>
  <r>
    <x v="25"/>
    <s v="US02079K3059"/>
    <m/>
    <n v="687.35"/>
    <n v="680.17"/>
    <n v="671.66"/>
    <n v="659.96"/>
    <n v="649.79"/>
    <n v="642.6"/>
    <n v="635.6"/>
    <n v="630.20000000000005"/>
    <n v="625.79999999999995"/>
    <n v="618"/>
    <n v="586"/>
  </r>
  <r>
    <x v="26"/>
    <s v="US09247X1019"/>
    <m/>
    <n v="169.04"/>
    <n v="164.79"/>
    <n v="166.59"/>
    <n v="168.88"/>
    <n v="138.46"/>
    <n v="131.19999999999999"/>
    <m/>
    <m/>
    <m/>
    <m/>
    <m/>
  </r>
  <r>
    <x v="27"/>
    <s v="US1266501006"/>
    <m/>
    <n v="1101"/>
    <n v="1140"/>
    <n v="1180"/>
    <n v="1231"/>
    <n v="1298"/>
    <n v="1363"/>
    <n v="1391"/>
    <n v="1439"/>
    <n v="1437"/>
    <m/>
    <m/>
  </r>
  <r>
    <x v="28"/>
    <s v="US17275R1023"/>
    <m/>
    <n v="5085"/>
    <n v="5107"/>
    <n v="5389"/>
    <n v="5298"/>
    <n v="5435"/>
    <n v="5655"/>
    <n v="5785"/>
    <n v="5893"/>
    <n v="6059"/>
    <n v="6059"/>
    <n v="6331"/>
  </r>
  <r>
    <x v="29"/>
    <s v="US1912161007"/>
    <m/>
    <n v="4349"/>
    <n v="4366"/>
    <n v="4402"/>
    <n v="4469"/>
    <n v="4526"/>
    <n v="4584"/>
    <n v="4606"/>
    <n v="4624"/>
    <n v="4636"/>
    <n v="4636"/>
    <n v="4738"/>
  </r>
  <r>
    <x v="30"/>
    <s v="US1941621039"/>
    <m/>
    <n v="892.74"/>
    <n v="907.08"/>
    <n v="918.94"/>
    <n v="935.39"/>
    <n v="959.2"/>
    <n v="987.8"/>
    <n v="987.4"/>
    <n v="1003"/>
    <n v="1018"/>
    <n v="1025"/>
    <n v="1032"/>
  </r>
  <r>
    <x v="31"/>
    <s v="US3696041033"/>
    <m/>
    <n v="9379"/>
    <n v="10057"/>
    <n v="10061"/>
    <n v="10406"/>
    <n v="10573"/>
    <n v="10615"/>
    <n v="10663"/>
    <n v="10537"/>
    <n v="9988"/>
    <n v="10277"/>
    <n v="10484"/>
  </r>
  <r>
    <x v="32"/>
    <s v="US4592001014"/>
    <m/>
    <n v="970.11"/>
    <n v="990.52"/>
    <n v="1054"/>
    <n v="1117"/>
    <n v="1163"/>
    <n v="1220"/>
    <n v="1305"/>
    <n v="1339"/>
    <n v="1385"/>
    <n v="1507"/>
    <n v="1574"/>
  </r>
  <r>
    <x v="33"/>
    <s v="US4781601046"/>
    <m/>
    <n v="2755"/>
    <n v="2783"/>
    <n v="2821"/>
    <n v="2778"/>
    <n v="2724"/>
    <n v="2738"/>
    <n v="2754"/>
    <n v="2769"/>
    <n v="2840"/>
    <n v="2893"/>
    <n v="2975"/>
  </r>
  <r>
    <x v="34"/>
    <s v="US5007541064"/>
    <n v="1214"/>
    <n v="1214"/>
    <m/>
    <m/>
    <m/>
    <m/>
    <m/>
    <m/>
    <m/>
    <m/>
    <m/>
    <m/>
  </r>
  <r>
    <x v="35"/>
    <s v="US5801351017"/>
    <m/>
    <n v="906.08"/>
    <n v="962.9"/>
    <n v="990.4"/>
    <n v="1003"/>
    <n v="1021"/>
    <n v="1054"/>
    <n v="1107"/>
    <n v="1115"/>
    <n v="1165"/>
    <n v="1204"/>
    <n v="1263"/>
  </r>
  <r>
    <x v="36"/>
    <s v="US58933Y1055"/>
    <m/>
    <n v="2781"/>
    <n v="2838"/>
    <n v="2928"/>
    <n v="3027"/>
    <n v="3041"/>
    <n v="3082"/>
    <n v="3108"/>
    <m/>
    <m/>
    <m/>
    <m/>
  </r>
  <r>
    <x v="37"/>
    <s v="US5949181045"/>
    <m/>
    <n v="8027"/>
    <n v="8239"/>
    <n v="8328"/>
    <n v="8381"/>
    <n v="8376"/>
    <n v="8668"/>
    <n v="8908"/>
    <n v="9151"/>
    <n v="9380"/>
    <n v="10062"/>
    <n v="10710"/>
  </r>
  <r>
    <x v="38"/>
    <s v="US6092071058"/>
    <m/>
    <n v="1580"/>
    <n v="1664"/>
    <n v="1705"/>
    <n v="1778"/>
    <n v="1768"/>
    <n v="1749"/>
    <n v="1478"/>
    <n v="1469"/>
    <n v="1534"/>
    <n v="1636"/>
    <n v="1670"/>
  </r>
  <r>
    <x v="39"/>
    <s v="US61166W1018"/>
    <m/>
    <n v="467.9"/>
    <n v="485.26"/>
    <n v="529.03"/>
    <n v="534.37"/>
    <n v="535.29999999999995"/>
    <n v="540.4"/>
    <n v="545.9"/>
    <n v="548.6"/>
    <n v="545.6"/>
    <n v="543.20000000000005"/>
    <n v="536.4"/>
  </r>
  <r>
    <x v="40"/>
    <s v="US68389X1054"/>
    <m/>
    <n v="4343"/>
    <n v="4464"/>
    <n v="4646"/>
    <n v="4905"/>
    <n v="5068"/>
    <n v="5026"/>
    <n v="5007"/>
    <n v="5150"/>
    <n v="5107"/>
    <n v="5232"/>
    <n v="5145"/>
  </r>
  <r>
    <x v="41"/>
    <s v="US7134481081"/>
    <m/>
    <n v="1445"/>
    <n v="1482"/>
    <n v="1522"/>
    <n v="1543"/>
    <n v="1564"/>
    <n v="1581"/>
    <n v="1565"/>
    <n v="1553"/>
    <n v="1605"/>
    <n v="1638"/>
    <n v="1656"/>
  </r>
  <r>
    <x v="42"/>
    <s v="US7170811035"/>
    <m/>
    <n v="6175"/>
    <n v="6291"/>
    <n v="6399"/>
    <n v="7276"/>
    <n v="7575"/>
    <n v="8012"/>
    <n v="8070"/>
    <m/>
    <m/>
    <m/>
    <m/>
  </r>
  <r>
    <x v="43"/>
    <s v="US7181721090"/>
    <m/>
    <n v="1549"/>
    <n v="1547"/>
    <n v="1589"/>
    <n v="1564"/>
    <n v="1726"/>
    <n v="1802"/>
    <n v="1887"/>
    <n v="2007"/>
    <m/>
    <m/>
    <m/>
  </r>
  <r>
    <x v="44"/>
    <s v="US7427181091"/>
    <m/>
    <n v="2715"/>
    <n v="2711"/>
    <n v="2742"/>
    <n v="2748"/>
    <n v="2766"/>
    <n v="2844"/>
    <n v="2915"/>
    <n v="3033"/>
    <n v="3132"/>
    <n v="3179"/>
    <m/>
  </r>
  <r>
    <x v="45"/>
    <s v="US92343V1044"/>
    <m/>
    <n v="4074"/>
    <n v="4155"/>
    <m/>
    <m/>
    <m/>
    <m/>
    <m/>
    <m/>
    <m/>
    <m/>
    <m/>
  </r>
  <r>
    <x v="46"/>
    <s v="US92826C8394"/>
    <m/>
    <n v="2215"/>
    <n v="3120"/>
    <n v="3120"/>
    <n v="3244"/>
    <n v="3296"/>
    <n v="3340"/>
    <m/>
    <m/>
    <m/>
    <m/>
    <m/>
  </r>
  <r>
    <x v="47"/>
    <s v="US9311421039"/>
    <n v="3162"/>
    <n v="3228"/>
    <n v="3233"/>
    <n v="3314"/>
    <n v="3418"/>
    <n v="3516"/>
    <n v="3759"/>
    <n v="3925"/>
    <n v="3973"/>
    <n v="4131"/>
    <n v="4165"/>
    <n v="4234"/>
  </r>
  <r>
    <x v="48"/>
    <s v="z_BE0003793107"/>
    <m/>
    <n v="1608"/>
    <n v="1608"/>
    <n v="1608"/>
    <n v="1607"/>
    <n v="1606"/>
    <n v="1605"/>
    <n v="1604"/>
    <n v="1597.9"/>
    <n v="1561.1"/>
    <n v="1554.7"/>
    <n v="1535.5"/>
  </r>
  <r>
    <x v="49"/>
    <s v="z_CH0010570759"/>
    <m/>
    <n v="0.14000000000000001"/>
    <n v="0.14000000000000001"/>
    <n v="0.14000000000000001"/>
    <n v="0.14000000000000001"/>
    <n v="0.14000000000000001"/>
    <n v="0.14000000000000001"/>
    <n v="0.1"/>
    <n v="0.1"/>
    <n v="0.1"/>
    <n v="0.1"/>
    <n v="0.1"/>
  </r>
  <r>
    <x v="50"/>
    <s v="z_DE0006048432"/>
    <m/>
    <n v="437.96"/>
    <n v="437.96"/>
    <n v="437.96"/>
    <n v="437.96"/>
    <n v="438"/>
    <n v="438"/>
    <n v="438"/>
    <n v="438"/>
    <n v="438"/>
    <n v="438"/>
    <n v="438"/>
  </r>
  <r>
    <x v="51"/>
    <s v="z_DE0006483001"/>
    <m/>
    <n v="185.73"/>
    <n v="185.73"/>
    <n v="185.65"/>
    <n v="185.23"/>
    <m/>
    <m/>
    <m/>
    <m/>
    <m/>
    <m/>
    <m/>
  </r>
  <r>
    <x v="52"/>
    <s v="z_FR0000121220"/>
    <m/>
    <n v="157.13"/>
    <n v="157.1"/>
    <n v="157.1"/>
    <n v="157.1"/>
    <n v="157.1"/>
    <n v="157.1"/>
    <n v="157.1"/>
    <m/>
    <m/>
    <m/>
    <m/>
  </r>
  <r>
    <x v="53"/>
    <s v="z_GB0002374006"/>
    <m/>
    <n v="2754"/>
    <n v="2754"/>
    <n v="2754"/>
    <n v="2754"/>
    <n v="2754"/>
    <n v="2754"/>
    <n v="2822"/>
    <n v="2803"/>
    <n v="2931"/>
    <n v="3051"/>
    <n v="3060"/>
  </r>
  <r>
    <x v="54"/>
    <s v="z_GB0004835483"/>
    <n v="1620"/>
    <n v="1676"/>
    <n v="1673"/>
    <n v="1670"/>
    <n v="1664"/>
    <n v="1659"/>
    <n v="1641"/>
    <n v="1585"/>
    <n v="1506"/>
    <n v="1506"/>
    <m/>
    <m/>
  </r>
  <r>
    <x v="55"/>
    <s v="z_GB00B24CGK77"/>
    <m/>
    <n v="736.54"/>
    <n v="736.54"/>
    <n v="736.54"/>
    <n v="734.2"/>
    <n v="728.6"/>
    <n v="725.9"/>
    <n v="722.6"/>
    <n v="722.6"/>
    <n v="722.4"/>
    <m/>
    <m/>
  </r>
  <r>
    <x v="56"/>
    <s v="z_IE00BTN1Y115"/>
    <m/>
    <n v="1422"/>
    <n v="999"/>
    <n v="1016"/>
    <n v="1037"/>
    <n v="1070"/>
    <n v="1097"/>
    <n v="1119"/>
    <n v="1125"/>
    <n v="1143"/>
    <n v="1155"/>
    <n v="1210"/>
  </r>
  <r>
    <x v="57"/>
    <s v="z_US02209S1033"/>
    <m/>
    <n v="1960"/>
    <n v="1972"/>
    <n v="1993"/>
    <n v="2010"/>
    <n v="2046"/>
    <n v="2089"/>
    <n v="2081"/>
    <n v="2061"/>
    <n v="2108"/>
    <n v="2097"/>
    <n v="2084"/>
  </r>
  <r>
    <x v="58"/>
    <s v="z_US3703341046"/>
    <m/>
    <n v="598.70000000000005"/>
    <n v="612.5"/>
    <n v="640.79999999999995"/>
    <n v="648.5"/>
    <n v="644.79999999999995"/>
    <n v="651.20000000000005"/>
    <n v="650.79999999999995"/>
    <n v="595"/>
    <n v="680"/>
    <n v="712"/>
    <n v="738"/>
  </r>
  <r>
    <x v="59"/>
    <s v="z_US4278661081"/>
    <m/>
    <n v="216.78"/>
    <n v="221.05"/>
    <n v="223.9"/>
    <n v="223.79"/>
    <n v="225.21"/>
    <n v="227"/>
    <n v="228"/>
    <n v="227"/>
    <n v="227"/>
    <n v="230.3"/>
    <n v="240.5"/>
  </r>
  <r>
    <x v="60"/>
    <s v="z_US4878361082"/>
    <m/>
    <n v="350.02"/>
    <n v="356"/>
    <n v="362.8"/>
    <n v="361.27"/>
    <n v="357.3"/>
    <n v="365.1"/>
    <n v="380.6"/>
    <n v="381.9"/>
    <n v="390.1"/>
    <n v="397.7"/>
    <n v="405.3"/>
  </r>
  <r>
    <x v="61"/>
    <s v="z_US4943681035"/>
    <m/>
    <n v="360.9"/>
    <n v="365.3"/>
    <n v="380.8"/>
    <n v="389.3"/>
    <n v="395.7"/>
    <n v="406.9"/>
    <n v="416.3"/>
    <n v="413.6"/>
    <n v="420.9"/>
    <n v="455.6"/>
    <n v="461.5"/>
  </r>
  <r>
    <x v="62"/>
    <s v="z_US57636Q1040"/>
    <m/>
    <n v="1116"/>
    <n v="1153"/>
    <n v="1194"/>
    <n v="1232"/>
    <n v="1269"/>
    <n v="1309"/>
    <n v="1298"/>
    <m/>
    <m/>
    <m/>
    <m/>
  </r>
  <r>
    <x v="63"/>
    <s v="z_US6153691059"/>
    <m/>
    <n v="196.08"/>
    <n v="204.36"/>
    <n v="213.96"/>
    <n v="223.25"/>
    <n v="222.44"/>
    <n v="230.8"/>
    <n v="236.9"/>
    <n v="235.1"/>
    <n v="251.4"/>
    <n v="278.60000000000002"/>
    <n v="290.3"/>
  </r>
  <r>
    <x v="64"/>
    <s v="z_US91324P1021"/>
    <m/>
    <n v="953"/>
    <n v="954"/>
    <n v="988"/>
    <n v="1019"/>
    <n v="1039"/>
    <n v="1086"/>
    <n v="1147"/>
    <n v="1201"/>
    <n v="1253"/>
    <n v="1345"/>
    <n v="1358"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  <r>
    <x v="65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PivotTable7" cacheId="0" dataOnRows="1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D36:E50" firstHeaderRow="1" firstDataRow="2" firstDataCol="1"/>
  <pivotFields count="18">
    <pivotField axis="axisCol" showAll="0" defaultSubtotal="0">
      <items count="66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x="64"/>
        <item h="1" x="22"/>
        <item h="1" x="28"/>
        <item h="1" x="7"/>
        <item h="1" x="34"/>
        <item h="1" x="25"/>
        <item h="1" x="52"/>
        <item h="1" x="59"/>
      </items>
    </pivotField>
    <pivotField showAll="0" defaultSubtotal="0"/>
    <pivotField numFmtId="173" showAll="0" defaultSubtotal="0"/>
    <pivotField numFmtId="173" showAll="0" defaultSubtotal="0"/>
    <pivotField numFmtId="173" showAll="0" defaultSubtotal="0"/>
    <pivotField dataField="1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numFmtId="166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">
    <i>
      <x v="20"/>
    </i>
  </colItems>
  <dataFields count="13">
    <dataField name="Jahr+2" fld="5" baseField="0" baseItem="8" numFmtId="10"/>
    <dataField name="Jahr+1" fld="6" baseField="0" baseItem="8" numFmtId="10"/>
    <dataField name="Jahr+0" fld="7" baseField="0" baseItem="8" numFmtId="10"/>
    <dataField name="Jahr-1" fld="8" baseField="0" baseItem="8" numFmtId="10"/>
    <dataField name="Jahr-2" fld="9" baseField="0" baseItem="8" numFmtId="10"/>
    <dataField name="Jahr-3" fld="10" baseField="0" baseItem="8" numFmtId="10"/>
    <dataField name="Jahr-4" fld="11" baseField="0" baseItem="8" numFmtId="10"/>
    <dataField name="Jahr-5" fld="12" baseField="0" baseItem="8" numFmtId="10"/>
    <dataField name="Jahr-6" fld="13" baseField="0" baseItem="8" numFmtId="10"/>
    <dataField name="Jahr-7" fld="14" baseField="0" baseItem="8" numFmtId="10"/>
    <dataField name="Jahr-8" fld="15" baseField="0" baseItem="8" numFmtId="10"/>
    <dataField name="Jahr-9" fld="16" baseField="0" baseItem="8" numFmtId="10"/>
    <dataField name="Jahr-10" fld="17" baseField="0" baseItem="8" numFmtId="1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6" cacheId="1" dataOnRows="1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D18:E33" firstHeaderRow="1" firstDataRow="2" firstDataCol="1"/>
  <pivotFields count="19">
    <pivotField axis="axisCol" showAll="0" defaultSubtotal="0">
      <items count="66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x="64"/>
        <item h="1" x="22"/>
        <item h="1" x="28"/>
        <item h="1" x="7"/>
        <item h="1" x="34"/>
        <item h="1" x="25"/>
        <item h="1" x="52"/>
        <item h="1" x="59"/>
      </items>
    </pivotField>
    <pivotField showAll="0" defaultSubtotal="0"/>
    <pivotField numFmtId="173" showAll="0" defaultSubtotal="0"/>
    <pivotField numFmtId="173" showAll="0" defaultSubtotal="0"/>
    <pivotField numFmtId="173" showAll="0" defaultSubtotal="0"/>
    <pivotField dataField="1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rowItems>
  <colFields count="1">
    <field x="0"/>
  </colFields>
  <colItems count="1">
    <i>
      <x v="20"/>
    </i>
  </colItems>
  <dataFields count="14">
    <dataField name="Jahr+2" fld="5" baseField="0" baseItem="8" numFmtId="164"/>
    <dataField name="Jahr+1" fld="6" baseField="0" baseItem="8" numFmtId="164"/>
    <dataField name="Jahr+0" fld="7" baseField="0" baseItem="8" numFmtId="164"/>
    <dataField name="Jahr-1" fld="8" baseField="0" baseItem="8" numFmtId="164"/>
    <dataField name="Jahr-2" fld="9" baseField="0" baseItem="8" numFmtId="164"/>
    <dataField name="Jahr-3" fld="10" baseField="0" baseItem="8" numFmtId="164"/>
    <dataField name="Jahr-4" fld="11" baseField="0" baseItem="8" numFmtId="164"/>
    <dataField name="Jahr-5" fld="12" baseField="0" baseItem="8" numFmtId="164"/>
    <dataField name="Jahr-6" fld="13" baseField="0" baseItem="8" numFmtId="164"/>
    <dataField name="Jahr-7" fld="14" baseField="0" baseItem="8" numFmtId="164"/>
    <dataField name="Jahr-8" fld="15" baseField="0" baseItem="8" numFmtId="164"/>
    <dataField name="Jahr-9" fld="16" baseField="0" baseItem="8" numFmtId="164"/>
    <dataField name="Jahr-10" fld="17" baseField="0" baseItem="8" numFmtId="164"/>
    <dataField name="Jahr-11" fld="18" baseField="0" baseItem="8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5" dataOnRows="1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D2:E15" firstHeaderRow="1" firstDataRow="2" firstDataCol="1"/>
  <pivotFields count="14">
    <pivotField axis="axisCol" showAll="0" defaultSubtotal="0">
      <items count="69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m="1" x="68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m="1" x="66"/>
        <item h="1" x="64"/>
        <item h="1" x="22"/>
        <item h="1" x="28"/>
        <item h="1" x="7"/>
        <item h="1" m="1" x="67"/>
        <item h="1" x="34"/>
        <item h="1" x="25"/>
        <item h="1" x="52"/>
        <item h="1" x="59"/>
      </items>
    </pivotField>
    <pivotField showAll="0" defaultSubtotal="0"/>
    <pivotField dataField="1" showAll="0" defaultSubtotal="0"/>
    <pivotField dataField="1" numFmtId="164" showAll="0" defaultSubtotal="0"/>
    <pivotField dataField="1" numFmtId="164" showAll="0" defaultSubtotal="0"/>
    <pivotField dataField="1" numFmtId="164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0"/>
  </colFields>
  <colItems count="1">
    <i>
      <x v="20"/>
    </i>
  </colItems>
  <dataFields count="12">
    <dataField name="Jahr-0" fld="2" baseField="0" baseItem="8" numFmtId="164"/>
    <dataField name="Jahr-1" fld="3" baseField="0" baseItem="8" numFmtId="164"/>
    <dataField name="Jahr-2" fld="4" baseField="0" baseItem="8" numFmtId="164"/>
    <dataField name="Jahr-3" fld="5" baseField="0" baseItem="8" numFmtId="164"/>
    <dataField name="Jahr-4" fld="6" baseField="0" baseItem="8" numFmtId="164"/>
    <dataField name="Jahr-5" fld="7" baseField="0" baseItem="8" numFmtId="164"/>
    <dataField name="Jahr-6" fld="8" baseField="0" baseItem="8" numFmtId="164"/>
    <dataField name="Jahr-7" fld="9" baseField="0" baseItem="8" numFmtId="164"/>
    <dataField name="Jahr-8" fld="10" baseField="0" baseItem="8" numFmtId="164"/>
    <dataField name="Jahr-9" fld="11" baseField="0" baseItem="8" numFmtId="164"/>
    <dataField name="Jahr-10" fld="12" baseField="0" baseItem="8" numFmtId="164"/>
    <dataField name="Jahr-11" fld="13" baseField="0" baseItem="20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4" cacheId="2" dataOnRows="1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A36:B50" firstHeaderRow="1" firstDataRow="2" firstDataCol="1"/>
  <pivotFields count="18">
    <pivotField axis="axisCol" showAll="0" defaultSubtotal="0">
      <items count="66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x="64"/>
        <item h="1" x="22"/>
        <item h="1" x="28"/>
        <item h="1" x="7"/>
        <item h="1" x="34"/>
        <item h="1" x="25"/>
        <item h="1" x="52"/>
        <item h="1" x="59"/>
      </items>
    </pivotField>
    <pivotField showAll="0" defaultSubtotal="0"/>
    <pivotField numFmtId="173" showAll="0" defaultSubtotal="0"/>
    <pivotField numFmtId="173" showAll="0" defaultSubtotal="0"/>
    <pivotField numFmtId="173" showAll="0" defaultSubtotal="0"/>
    <pivotField dataField="1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">
    <i>
      <x v="20"/>
    </i>
  </colItems>
  <dataFields count="13">
    <dataField name="Jahr+2" fld="5" baseField="0" baseItem="8" numFmtId="164"/>
    <dataField name="Jahr+1" fld="6" baseField="0" baseItem="8" numFmtId="164"/>
    <dataField name="Jahr+0" fld="7" baseField="0" baseItem="8" numFmtId="164"/>
    <dataField name="Jahr-1" fld="8" baseField="0" baseItem="8" numFmtId="164"/>
    <dataField name="Jahr-2" fld="9" baseField="0" baseItem="8" numFmtId="164"/>
    <dataField name="Jahr-3" fld="10" baseField="0" baseItem="8" numFmtId="164"/>
    <dataField name="Jahr-4" fld="11" baseField="0" baseItem="8" numFmtId="164"/>
    <dataField name="Jahr-5" fld="12" baseField="0" baseItem="8" numFmtId="164"/>
    <dataField name="Jahr-6" fld="13" baseField="0" baseItem="8" numFmtId="164"/>
    <dataField name="Jahr-7" fld="14" baseField="0" baseItem="8" numFmtId="164"/>
    <dataField name="Jahr-8" fld="15" baseField="0" baseItem="8" numFmtId="164"/>
    <dataField name="Jahr-9" fld="16" baseField="0" baseItem="8" numFmtId="164"/>
    <dataField name="Jahr-10" fld="17" baseField="0" baseItem="8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3" cacheId="3" dataOnRows="1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A19:B33" firstHeaderRow="1" firstDataRow="2" firstDataCol="1"/>
  <pivotFields count="18">
    <pivotField axis="axisCol" showAll="0" defaultSubtotal="0">
      <items count="66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x="64"/>
        <item h="1" x="22"/>
        <item h="1" x="28"/>
        <item h="1" x="7"/>
        <item h="1" x="34"/>
        <item h="1" x="25"/>
        <item h="1" x="52"/>
        <item h="1" x="59"/>
      </items>
    </pivotField>
    <pivotField showAll="0" defaultSubtotal="0"/>
    <pivotField numFmtId="173" showAll="0" defaultSubtotal="0"/>
    <pivotField numFmtId="173" showAll="0" defaultSubtotal="0"/>
    <pivotField numFmtId="173" showAll="0" defaultSubtotal="0"/>
    <pivotField dataField="1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numFmtId="167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">
    <i>
      <x v="20"/>
    </i>
  </colItems>
  <dataFields count="13">
    <dataField name="Jahr+2" fld="5" baseField="0" baseItem="8" numFmtId="164"/>
    <dataField name="Jahr+1" fld="6" baseField="0" baseItem="8" numFmtId="164"/>
    <dataField name="Jahr+0" fld="7" baseField="0" baseItem="8" numFmtId="164"/>
    <dataField name="Jahr-1" fld="8" baseField="0" baseItem="8" numFmtId="164"/>
    <dataField name="Jahr-2" fld="9" baseField="0" baseItem="8" numFmtId="164"/>
    <dataField name="Jahr-3" fld="10" baseField="0" baseItem="8" numFmtId="164"/>
    <dataField name="Jahr-4" fld="11" baseField="0" baseItem="8" numFmtId="164"/>
    <dataField name="Jahr-5" fld="12" baseField="0" baseItem="8" numFmtId="164"/>
    <dataField name="Jahr-6" fld="13" baseField="0" baseItem="8" numFmtId="164"/>
    <dataField name="Jahr-7" fld="14" baseField="0" baseItem="8" numFmtId="164"/>
    <dataField name="Jahr-8" fld="15" baseField="0" baseItem="8" numFmtId="164"/>
    <dataField name="Jahr-9" fld="16" baseField="0" baseItem="8" numFmtId="164"/>
    <dataField name="Jahr-10" fld="17" baseField="0" baseItem="8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2" cacheId="4" dataOnRows="1" dataPosition="0" applyNumberFormats="0" applyBorderFormats="0" applyFontFormats="0" applyPatternFormats="0" applyAlignmentFormats="0" applyWidthHeightFormats="1" dataCaption="Werte" updatedVersion="4" minRefreshableVersion="3" useAutoFormatting="1" rowGrandTotals="0" colGrandTotals="0" itemPrintTitles="1" createdVersion="4" indent="0" outline="1" outlineData="1" multipleFieldFilters="0" chartFormat="1">
  <location ref="A2:B16" firstHeaderRow="1" firstDataRow="2" firstDataCol="1"/>
  <pivotFields count="18">
    <pivotField axis="axisCol" showAll="0" defaultSubtotal="0">
      <items count="66">
        <item h="1" x="10"/>
        <item h="1" x="57"/>
        <item h="1" x="48"/>
        <item h="1" x="24"/>
        <item h="1" x="12"/>
        <item h="1" x="13"/>
        <item h="1" x="4"/>
        <item h="1" x="26"/>
        <item h="1" x="19"/>
        <item h="1" x="29"/>
        <item h="1" x="30"/>
        <item h="1" x="18"/>
        <item h="1" x="5"/>
        <item h="1" x="6"/>
        <item h="1" x="53"/>
        <item h="1" x="31"/>
        <item h="1" x="58"/>
        <item h="1" x="50"/>
        <item h="1" x="32"/>
        <item h="1" x="20"/>
        <item x="33"/>
        <item h="1" x="61"/>
        <item h="1" x="49"/>
        <item h="1" x="16"/>
        <item h="1" x="35"/>
        <item h="1" x="36"/>
        <item h="1" x="37"/>
        <item h="1" x="38"/>
        <item h="1" x="39"/>
        <item h="1" x="11"/>
        <item h="1" x="3"/>
        <item h="1" x="1"/>
        <item h="1" x="40"/>
        <item h="1" x="41"/>
        <item h="1" x="42"/>
        <item h="1" x="43"/>
        <item h="1" x="44"/>
        <item h="1" x="55"/>
        <item h="1" x="2"/>
        <item h="1" x="54"/>
        <item h="1" x="17"/>
        <item h="1" x="8"/>
        <item h="1" x="9"/>
        <item h="1" x="0"/>
        <item h="1" x="15"/>
        <item h="1" x="23"/>
        <item h="1" x="45"/>
        <item h="1" x="21"/>
        <item h="1" x="47"/>
        <item h="1" x="56"/>
        <item h="1" x="60"/>
        <item h="1" x="62"/>
        <item h="1" x="63"/>
        <item h="1" x="46"/>
        <item h="1" x="65"/>
        <item h="1" x="51"/>
        <item h="1" x="14"/>
        <item h="1" x="27"/>
        <item h="1" x="64"/>
        <item h="1" x="22"/>
        <item h="1" x="28"/>
        <item h="1" x="7"/>
        <item h="1" x="34"/>
        <item h="1" x="25"/>
        <item h="1" x="52"/>
        <item h="1" x="59"/>
      </items>
    </pivotField>
    <pivotField showAll="0" defaultSubtotal="0"/>
    <pivotField dataField="1" showAll="0" defaultSubtotal="0"/>
    <pivotField dataField="1" numFmtId="164" showAll="0" defaultSubtotal="0"/>
    <pivotField dataField="1" numFmtId="164" showAll="0" defaultSubtotal="0"/>
    <pivotField dataField="1" numFmtId="164" showAll="0" defaultSubtotal="0"/>
    <pivotField dataField="1" numFmtId="164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numFmtId="164" showAll="0" defaultSubtotal="0"/>
    <pivotField numFmtId="164" showAll="0" defaultSubtotal="0"/>
    <pivotField numFmtId="166" showAll="0" defaultSubtota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">
    <i>
      <x v="20"/>
    </i>
  </colItems>
  <dataFields count="13">
    <dataField name="Jahr+2" fld="2" baseField="0" baseItem="8" numFmtId="164"/>
    <dataField name="Jahr+1" fld="3" baseField="0" baseItem="8" numFmtId="164"/>
    <dataField name="Jahr+0" fld="4" baseField="0" baseItem="8" numFmtId="164"/>
    <dataField name="Jahr-1" fld="5" baseField="0" baseItem="8" numFmtId="164"/>
    <dataField name="Jahr-2" fld="6" baseField="0" baseItem="8" numFmtId="164"/>
    <dataField name="Jahr-3" fld="7" baseField="0" baseItem="8" numFmtId="164"/>
    <dataField name="Jahr-4" fld="8" baseField="0" baseItem="8" numFmtId="164"/>
    <dataField name="Jahr-5" fld="9" baseField="0" baseItem="8" numFmtId="164"/>
    <dataField name="Jahr-6" fld="10" baseField="0" baseItem="8" numFmtId="164"/>
    <dataField name="Jahr-7" fld="11" baseField="0" baseItem="8" numFmtId="164"/>
    <dataField name="Jahr-8" fld="12" baseField="0" baseItem="8" numFmtId="164"/>
    <dataField name="Jahr-9" fld="13" baseField="0" baseItem="8" numFmtId="164"/>
    <dataField name="Jahr-10" fld="14" baseField="0" baseItem="8" numFmtId="164"/>
  </dataFields>
  <chartFormats count="6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11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0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0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0" format="7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0" format="7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ommunity.hamsterrad-system.de/index.php?thread/1-freiwillige-unterst%C3%BCtzung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zoomScale="85" zoomScaleNormal="85" workbookViewId="0">
      <selection activeCell="G24" sqref="G24"/>
    </sheetView>
  </sheetViews>
  <sheetFormatPr baseColWidth="10" defaultRowHeight="15"/>
  <cols>
    <col min="1" max="1" width="7.5703125" customWidth="1"/>
    <col min="2" max="2" width="23.7109375" customWidth="1"/>
    <col min="3" max="3" width="100.7109375" customWidth="1"/>
    <col min="4" max="4" width="7.5703125" customWidth="1"/>
    <col min="5" max="5" width="23.7109375" customWidth="1"/>
    <col min="6" max="6" width="100.7109375" customWidth="1"/>
    <col min="7" max="7" width="28.140625" customWidth="1"/>
    <col min="8" max="13" width="23.85546875" customWidth="1"/>
    <col min="14" max="14" width="23.85546875" bestFit="1" customWidth="1"/>
    <col min="15" max="16" width="23.85546875" customWidth="1"/>
    <col min="17" max="17" width="23.85546875" bestFit="1" customWidth="1"/>
    <col min="18" max="18" width="23.85546875" customWidth="1"/>
    <col min="19" max="21" width="23.85546875" bestFit="1" customWidth="1"/>
    <col min="22" max="22" width="23.85546875" customWidth="1"/>
    <col min="23" max="28" width="23.85546875" bestFit="1" customWidth="1"/>
    <col min="29" max="31" width="23.85546875" customWidth="1"/>
    <col min="32" max="35" width="23.85546875" bestFit="1" customWidth="1"/>
    <col min="36" max="36" width="23.85546875" customWidth="1"/>
    <col min="37" max="37" width="23.85546875" bestFit="1" customWidth="1"/>
    <col min="38" max="38" width="23.85546875" customWidth="1"/>
    <col min="39" max="40" width="23.85546875" bestFit="1" customWidth="1"/>
    <col min="41" max="43" width="23.85546875" customWidth="1"/>
    <col min="44" max="44" width="23.85546875" bestFit="1" customWidth="1"/>
    <col min="45" max="49" width="23.85546875" customWidth="1"/>
    <col min="50" max="52" width="23.85546875" bestFit="1" customWidth="1"/>
    <col min="53" max="54" width="23.85546875" customWidth="1"/>
    <col min="55" max="55" width="23.85546875" bestFit="1" customWidth="1"/>
    <col min="56" max="63" width="23.85546875" customWidth="1"/>
    <col min="64" max="64" width="23.85546875" bestFit="1" customWidth="1"/>
    <col min="65" max="65" width="23.85546875" customWidth="1"/>
    <col min="66" max="68" width="23.85546875" bestFit="1" customWidth="1"/>
    <col min="69" max="69" width="15.7109375" bestFit="1" customWidth="1"/>
  </cols>
  <sheetData>
    <row r="1" spans="1:5">
      <c r="A1" s="107" t="s">
        <v>229</v>
      </c>
      <c r="B1" s="107"/>
      <c r="D1" s="107" t="s">
        <v>246</v>
      </c>
      <c r="E1" s="107"/>
    </row>
    <row r="2" spans="1:5">
      <c r="B2" s="76" t="s">
        <v>227</v>
      </c>
      <c r="E2" s="76" t="s">
        <v>227</v>
      </c>
    </row>
    <row r="3" spans="1:5">
      <c r="A3" s="76" t="s">
        <v>228</v>
      </c>
      <c r="B3" t="s">
        <v>48</v>
      </c>
      <c r="D3" s="76" t="s">
        <v>228</v>
      </c>
      <c r="E3" t="s">
        <v>48</v>
      </c>
    </row>
    <row r="4" spans="1:5">
      <c r="A4" s="77" t="s">
        <v>231</v>
      </c>
      <c r="B4" s="2">
        <v>15.765895953757225</v>
      </c>
      <c r="D4" s="77" t="s">
        <v>245</v>
      </c>
      <c r="E4" s="2"/>
    </row>
    <row r="5" spans="1:5">
      <c r="A5" s="77" t="s">
        <v>232</v>
      </c>
      <c r="B5" s="2">
        <v>16.888544891640866</v>
      </c>
      <c r="D5" s="77" t="s">
        <v>234</v>
      </c>
      <c r="E5" s="2">
        <v>2755</v>
      </c>
    </row>
    <row r="6" spans="1:5">
      <c r="A6" s="77" t="s">
        <v>233</v>
      </c>
      <c r="B6" s="2">
        <v>17.148580968280466</v>
      </c>
      <c r="D6" s="77" t="s">
        <v>235</v>
      </c>
      <c r="E6" s="2">
        <v>2783</v>
      </c>
    </row>
    <row r="7" spans="1:5">
      <c r="A7" s="77" t="s">
        <v>234</v>
      </c>
      <c r="B7" s="2">
        <v>17.998278829604132</v>
      </c>
      <c r="D7" s="77" t="s">
        <v>236</v>
      </c>
      <c r="E7" s="2">
        <v>2821</v>
      </c>
    </row>
    <row r="8" spans="1:5">
      <c r="A8" s="77" t="s">
        <v>235</v>
      </c>
      <c r="B8" s="2">
        <v>15.33500837520938</v>
      </c>
      <c r="D8" s="77" t="s">
        <v>237</v>
      </c>
      <c r="E8" s="2">
        <v>2778</v>
      </c>
    </row>
    <row r="9" spans="1:5">
      <c r="A9" s="77" t="s">
        <v>236</v>
      </c>
      <c r="B9" s="2">
        <v>12.341549295774648</v>
      </c>
      <c r="D9" s="77" t="s">
        <v>238</v>
      </c>
      <c r="E9" s="2">
        <v>2724</v>
      </c>
    </row>
    <row r="10" spans="1:5">
      <c r="A10" s="77" t="s">
        <v>237</v>
      </c>
      <c r="B10" s="2">
        <v>12.858823529411765</v>
      </c>
      <c r="D10" s="77" t="s">
        <v>239</v>
      </c>
      <c r="E10" s="2">
        <v>2738</v>
      </c>
    </row>
    <row r="11" spans="1:5">
      <c r="A11" s="77" t="s">
        <v>238</v>
      </c>
      <c r="B11" s="2">
        <v>12.370000000000001</v>
      </c>
      <c r="D11" s="77" t="s">
        <v>240</v>
      </c>
      <c r="E11" s="2">
        <v>2754</v>
      </c>
    </row>
    <row r="12" spans="1:5">
      <c r="A12" s="77" t="s">
        <v>239</v>
      </c>
      <c r="B12" s="2">
        <v>13.531512605042018</v>
      </c>
      <c r="D12" s="77" t="s">
        <v>241</v>
      </c>
      <c r="E12" s="2">
        <v>2769</v>
      </c>
    </row>
    <row r="13" spans="1:5">
      <c r="A13" s="77" t="s">
        <v>240</v>
      </c>
      <c r="B13" s="2">
        <v>12.922246220302375</v>
      </c>
      <c r="D13" s="77" t="s">
        <v>242</v>
      </c>
      <c r="E13" s="2">
        <v>2840</v>
      </c>
    </row>
    <row r="14" spans="1:5">
      <c r="A14" s="77" t="s">
        <v>241</v>
      </c>
      <c r="B14" s="2">
        <v>14.659340659340661</v>
      </c>
      <c r="D14" s="77" t="s">
        <v>243</v>
      </c>
      <c r="E14" s="2">
        <v>2893</v>
      </c>
    </row>
    <row r="15" spans="1:5">
      <c r="A15" s="77" t="s">
        <v>242</v>
      </c>
      <c r="B15" s="2">
        <v>15.922891566265058</v>
      </c>
      <c r="D15" s="77" t="s">
        <v>247</v>
      </c>
      <c r="E15" s="2">
        <v>2975</v>
      </c>
    </row>
    <row r="16" spans="1:5">
      <c r="A16" s="77" t="s">
        <v>243</v>
      </c>
      <c r="B16" s="2">
        <v>15.984042553191491</v>
      </c>
    </row>
    <row r="17" spans="1:5">
      <c r="D17" s="107" t="s">
        <v>248</v>
      </c>
      <c r="E17" s="107"/>
    </row>
    <row r="18" spans="1:5">
      <c r="A18" s="107" t="s">
        <v>230</v>
      </c>
      <c r="B18" s="107"/>
      <c r="E18" s="76" t="s">
        <v>227</v>
      </c>
    </row>
    <row r="19" spans="1:5">
      <c r="B19" s="76" t="s">
        <v>227</v>
      </c>
      <c r="D19" s="76" t="s">
        <v>228</v>
      </c>
      <c r="E19" t="s">
        <v>48</v>
      </c>
    </row>
    <row r="20" spans="1:5">
      <c r="A20" s="76" t="s">
        <v>228</v>
      </c>
      <c r="B20" t="s">
        <v>48</v>
      </c>
      <c r="D20" s="77" t="s">
        <v>231</v>
      </c>
      <c r="E20" s="2">
        <v>3.45</v>
      </c>
    </row>
    <row r="21" spans="1:5">
      <c r="A21" s="77" t="s">
        <v>231</v>
      </c>
      <c r="B21" s="2">
        <v>6.92</v>
      </c>
      <c r="D21" s="77" t="s">
        <v>232</v>
      </c>
      <c r="E21" s="2">
        <v>3.24</v>
      </c>
    </row>
    <row r="22" spans="1:5">
      <c r="A22" s="77" t="s">
        <v>232</v>
      </c>
      <c r="B22" s="2">
        <v>6.46</v>
      </c>
      <c r="D22" s="77" t="s">
        <v>233</v>
      </c>
      <c r="E22" s="2">
        <v>3.07</v>
      </c>
    </row>
    <row r="23" spans="1:5">
      <c r="A23" s="77" t="s">
        <v>233</v>
      </c>
      <c r="B23" s="2">
        <v>5.99</v>
      </c>
      <c r="D23" s="77" t="s">
        <v>234</v>
      </c>
      <c r="E23" s="2">
        <v>2.95</v>
      </c>
    </row>
    <row r="24" spans="1:5">
      <c r="A24" s="77" t="s">
        <v>234</v>
      </c>
      <c r="B24" s="2">
        <v>5.81</v>
      </c>
      <c r="D24" s="77" t="s">
        <v>235</v>
      </c>
      <c r="E24" s="2">
        <v>2.76</v>
      </c>
    </row>
    <row r="25" spans="1:5">
      <c r="A25" s="77" t="s">
        <v>235</v>
      </c>
      <c r="B25" s="2">
        <v>5.97</v>
      </c>
      <c r="D25" s="77" t="s">
        <v>236</v>
      </c>
      <c r="E25" s="2">
        <v>2.59</v>
      </c>
    </row>
    <row r="26" spans="1:5">
      <c r="A26" s="77" t="s">
        <v>236</v>
      </c>
      <c r="B26" s="2">
        <v>5.68</v>
      </c>
      <c r="D26" s="77" t="s">
        <v>237</v>
      </c>
      <c r="E26" s="2">
        <v>2.4</v>
      </c>
    </row>
    <row r="27" spans="1:5">
      <c r="A27" s="77" t="s">
        <v>237</v>
      </c>
      <c r="B27" s="2">
        <v>5.0999999999999996</v>
      </c>
      <c r="D27" s="77" t="s">
        <v>238</v>
      </c>
      <c r="E27" s="2">
        <v>2.25</v>
      </c>
    </row>
    <row r="28" spans="1:5">
      <c r="A28" s="77" t="s">
        <v>238</v>
      </c>
      <c r="B28" s="2">
        <v>5</v>
      </c>
      <c r="D28" s="77" t="s">
        <v>239</v>
      </c>
      <c r="E28" s="2">
        <v>2.11</v>
      </c>
    </row>
    <row r="29" spans="1:5">
      <c r="A29" s="77" t="s">
        <v>239</v>
      </c>
      <c r="B29" s="2">
        <v>4.76</v>
      </c>
      <c r="D29" s="77" t="s">
        <v>240</v>
      </c>
      <c r="E29" s="2">
        <v>1.93</v>
      </c>
    </row>
    <row r="30" spans="1:5">
      <c r="A30" s="77" t="s">
        <v>240</v>
      </c>
      <c r="B30" s="2">
        <v>4.63</v>
      </c>
      <c r="D30" s="77" t="s">
        <v>241</v>
      </c>
      <c r="E30" s="2">
        <v>1.7949999999999999</v>
      </c>
    </row>
    <row r="31" spans="1:5">
      <c r="A31" s="77" t="s">
        <v>241</v>
      </c>
      <c r="B31" s="2">
        <v>4.55</v>
      </c>
      <c r="D31" s="77" t="s">
        <v>242</v>
      </c>
      <c r="E31" s="2">
        <v>1.62</v>
      </c>
    </row>
    <row r="32" spans="1:5">
      <c r="A32" s="77" t="s">
        <v>242</v>
      </c>
      <c r="B32" s="2">
        <v>4.1500000000000004</v>
      </c>
      <c r="D32" s="77" t="s">
        <v>243</v>
      </c>
      <c r="E32" s="2">
        <v>1.4550000000000001</v>
      </c>
    </row>
    <row r="33" spans="1:5">
      <c r="A33" s="77" t="s">
        <v>243</v>
      </c>
      <c r="B33" s="2">
        <v>3.76</v>
      </c>
      <c r="D33" s="77" t="s">
        <v>247</v>
      </c>
      <c r="E33" s="2">
        <v>1.2749999999999999</v>
      </c>
    </row>
    <row r="35" spans="1:5">
      <c r="A35" s="107" t="s">
        <v>244</v>
      </c>
      <c r="B35" s="107"/>
      <c r="D35" s="107" t="s">
        <v>309</v>
      </c>
      <c r="E35" s="107"/>
    </row>
    <row r="36" spans="1:5">
      <c r="B36" s="76" t="s">
        <v>227</v>
      </c>
      <c r="E36" s="76" t="s">
        <v>227</v>
      </c>
    </row>
    <row r="37" spans="1:5">
      <c r="A37" s="76" t="s">
        <v>228</v>
      </c>
      <c r="B37" t="s">
        <v>48</v>
      </c>
      <c r="D37" s="76" t="s">
        <v>228</v>
      </c>
      <c r="E37" t="s">
        <v>48</v>
      </c>
    </row>
    <row r="38" spans="1:5">
      <c r="A38" s="77" t="s">
        <v>231</v>
      </c>
      <c r="B38" s="2">
        <v>33.200000000000003</v>
      </c>
      <c r="D38" s="77" t="s">
        <v>231</v>
      </c>
      <c r="E38" s="9">
        <v>0.49855491329479773</v>
      </c>
    </row>
    <row r="39" spans="1:5">
      <c r="A39" s="77" t="s">
        <v>232</v>
      </c>
      <c r="B39" s="2">
        <v>29.2</v>
      </c>
      <c r="D39" s="77" t="s">
        <v>232</v>
      </c>
      <c r="E39" s="9">
        <v>0.50154798761609909</v>
      </c>
    </row>
    <row r="40" spans="1:5">
      <c r="A40" s="77" t="s">
        <v>233</v>
      </c>
      <c r="B40" s="2">
        <v>26.6</v>
      </c>
      <c r="D40" s="77" t="s">
        <v>233</v>
      </c>
      <c r="E40" s="9">
        <v>0.51252086811352249</v>
      </c>
    </row>
    <row r="41" spans="1:5">
      <c r="A41" s="77" t="s">
        <v>234</v>
      </c>
      <c r="B41" s="2">
        <v>25.82</v>
      </c>
      <c r="D41" s="77" t="s">
        <v>234</v>
      </c>
      <c r="E41" s="9">
        <v>0.68743170764468298</v>
      </c>
    </row>
    <row r="42" spans="1:5">
      <c r="A42" s="77" t="s">
        <v>235</v>
      </c>
      <c r="B42" s="2">
        <v>25.06</v>
      </c>
      <c r="D42" s="77" t="s">
        <v>235</v>
      </c>
      <c r="E42" s="9">
        <v>0.70147961029244921</v>
      </c>
    </row>
    <row r="43" spans="1:5">
      <c r="A43" s="77" t="s">
        <v>236</v>
      </c>
      <c r="B43" s="2">
        <v>26.25</v>
      </c>
      <c r="D43" s="77" t="s">
        <v>236</v>
      </c>
      <c r="E43" s="9">
        <v>0.45598591549295775</v>
      </c>
    </row>
    <row r="44" spans="1:5">
      <c r="A44" s="77" t="s">
        <v>237</v>
      </c>
      <c r="B44" s="2">
        <v>23.33</v>
      </c>
      <c r="D44" s="77" t="s">
        <v>237</v>
      </c>
      <c r="E44" s="9">
        <v>0.47058823529411764</v>
      </c>
    </row>
    <row r="45" spans="1:5">
      <c r="A45" s="77" t="s">
        <v>238</v>
      </c>
      <c r="B45" s="2">
        <v>20.95</v>
      </c>
      <c r="D45" s="77" t="s">
        <v>238</v>
      </c>
      <c r="E45" s="9">
        <v>0.51740969162995598</v>
      </c>
    </row>
    <row r="46" spans="1:5">
      <c r="A46" s="77" t="s">
        <v>239</v>
      </c>
      <c r="B46" s="2">
        <v>20.66</v>
      </c>
      <c r="D46" s="77" t="s">
        <v>239</v>
      </c>
      <c r="E46" s="9">
        <v>0.51920834075047118</v>
      </c>
    </row>
    <row r="47" spans="1:5">
      <c r="A47" s="77" t="s">
        <v>240</v>
      </c>
      <c r="B47" s="2">
        <v>18.37</v>
      </c>
      <c r="D47" s="77" t="s">
        <v>240</v>
      </c>
      <c r="E47" s="9">
        <v>0.49261706122333737</v>
      </c>
    </row>
    <row r="48" spans="1:5">
      <c r="A48" s="77" t="s">
        <v>241</v>
      </c>
      <c r="B48" s="2">
        <v>15.35</v>
      </c>
      <c r="D48" s="77" t="s">
        <v>241</v>
      </c>
      <c r="E48" s="9">
        <v>0.73167089320935486</v>
      </c>
    </row>
    <row r="49" spans="1:5">
      <c r="A49" s="77" t="s">
        <v>242</v>
      </c>
      <c r="B49" s="2">
        <v>15.25</v>
      </c>
      <c r="D49" s="77" t="s">
        <v>242</v>
      </c>
      <c r="E49" s="9">
        <v>0.69030205328355676</v>
      </c>
    </row>
    <row r="50" spans="1:5">
      <c r="A50" s="77" t="s">
        <v>243</v>
      </c>
      <c r="B50" s="2">
        <v>13.59</v>
      </c>
      <c r="D50" s="77" t="s">
        <v>243</v>
      </c>
      <c r="E50" s="9">
        <v>0.88510371696905965</v>
      </c>
    </row>
  </sheetData>
  <mergeCells count="6">
    <mergeCell ref="A1:B1"/>
    <mergeCell ref="A18:B18"/>
    <mergeCell ref="A35:B35"/>
    <mergeCell ref="D1:E1"/>
    <mergeCell ref="D17:E17"/>
    <mergeCell ref="D35:E35"/>
  </mergeCells>
  <pageMargins left="0.7" right="0.7" top="0.78740157499999996" bottom="0.78740157499999996" header="0.3" footer="0.3"/>
  <pageSetup paperSize="9" orientation="portrait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7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5.140625" customWidth="1"/>
    <col min="4" max="4" width="14.7109375" bestFit="1" customWidth="1"/>
    <col min="5" max="5" width="15.140625" customWidth="1"/>
    <col min="6" max="6" width="14.42578125" customWidth="1"/>
    <col min="7" max="14" width="14.85546875" customWidth="1"/>
    <col min="15" max="15" width="15.85546875" customWidth="1"/>
    <col min="16" max="16" width="18" customWidth="1"/>
    <col min="17" max="17" width="16.5703125" customWidth="1"/>
    <col min="18" max="18" width="33.42578125" customWidth="1"/>
  </cols>
  <sheetData>
    <row r="1" spans="1:18">
      <c r="A1" s="1"/>
      <c r="B1" s="37"/>
      <c r="C1" s="111" t="s">
        <v>196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37"/>
      <c r="Q1" s="1"/>
      <c r="R1" s="1"/>
    </row>
    <row r="2" spans="1:18">
      <c r="A2" s="1"/>
      <c r="B2" s="37"/>
      <c r="C2" s="37">
        <v>2018</v>
      </c>
      <c r="D2" s="37">
        <v>2017</v>
      </c>
      <c r="E2" s="37">
        <v>2016</v>
      </c>
      <c r="F2" s="37">
        <v>2015</v>
      </c>
      <c r="G2" s="37">
        <v>2014</v>
      </c>
      <c r="H2" s="37">
        <v>2013</v>
      </c>
      <c r="I2" s="37">
        <v>2012</v>
      </c>
      <c r="J2" s="37">
        <v>2011</v>
      </c>
      <c r="K2" s="37">
        <v>2010</v>
      </c>
      <c r="L2" s="37">
        <v>2009</v>
      </c>
      <c r="M2" s="37">
        <v>2008</v>
      </c>
      <c r="N2" s="37">
        <v>2007</v>
      </c>
      <c r="O2" s="37">
        <v>2006</v>
      </c>
      <c r="P2" s="37"/>
      <c r="Q2" s="1"/>
      <c r="R2" s="1"/>
    </row>
    <row r="3" spans="1:18">
      <c r="A3" s="1" t="s">
        <v>0</v>
      </c>
      <c r="B3" s="37" t="s">
        <v>1</v>
      </c>
      <c r="C3" s="37" t="s">
        <v>163</v>
      </c>
      <c r="D3" s="37" t="s">
        <v>106</v>
      </c>
      <c r="E3" s="37" t="s">
        <v>107</v>
      </c>
      <c r="F3" s="37" t="s">
        <v>96</v>
      </c>
      <c r="G3" s="37" t="s">
        <v>97</v>
      </c>
      <c r="H3" s="37" t="s">
        <v>98</v>
      </c>
      <c r="I3" s="37" t="s">
        <v>99</v>
      </c>
      <c r="J3" s="37" t="s">
        <v>100</v>
      </c>
      <c r="K3" s="37" t="s">
        <v>101</v>
      </c>
      <c r="L3" s="37" t="s">
        <v>102</v>
      </c>
      <c r="M3" s="37" t="s">
        <v>103</v>
      </c>
      <c r="N3" s="37" t="s">
        <v>104</v>
      </c>
      <c r="O3" s="37" t="s">
        <v>105</v>
      </c>
      <c r="P3" s="37" t="s">
        <v>115</v>
      </c>
      <c r="Q3" s="1" t="s">
        <v>121</v>
      </c>
      <c r="R3" s="1" t="s">
        <v>116</v>
      </c>
    </row>
    <row r="4" spans="1:18">
      <c r="A4" t="s">
        <v>78</v>
      </c>
      <c r="B4" s="38" t="s">
        <v>159</v>
      </c>
      <c r="C4" s="71">
        <f>IF(VLOOKUP(A4,Schlußkurse!A$5:AU$105,35,FALSE)&gt;0,IF(VLOOKUP(A4,Dividende_je_Aktie!A$3:AM$103,7,FALSE)&lt;&gt;"",VLOOKUP(A4,Dividende_je_Aktie!A$3:AM$103,7,FALSE)/VLOOKUP(A4,Schlußkurse!A$5:AU$105,35,FALSE),""),"")</f>
        <v>3.0699808415584749E-2</v>
      </c>
      <c r="D4" s="71">
        <f>IF(VLOOKUP(A4,Schlußkurse!A$5:AU$105,36,FALSE)&gt;0,IF(VLOOKUP(A4,Dividende_je_Aktie!A$3:AM$103,8,FALSE)&lt;&gt;"",VLOOKUP(A4,Dividende_je_Aktie!A$3:AM$103,8,FALSE)/VLOOKUP(A4,Schlußkurse!A$5:AU$105,36,FALSE),""),"")</f>
        <v>2.8795944327796547E-2</v>
      </c>
      <c r="E4" s="71">
        <f>IF(VLOOKUP(A4,Schlußkurse!A$5:AU$105,37,FALSE)&gt;0,IF(VLOOKUP(A4,Dividende_je_Aktie!A$3:AM$103,9,FALSE)&lt;&gt;"",VLOOKUP(A4,Dividende_je_Aktie!A$3:AM$103,9,FALSE)/VLOOKUP(A4,Schlußkurse!A$5:AU$105,37,FALSE),""),"")</f>
        <v>2.8032477041566951E-2</v>
      </c>
      <c r="F4" s="71">
        <f>IF(VLOOKUP(A4,Schlußkurse!A$5:AU$105,38,FALSE)&gt;0,IF(VLOOKUP(A4,Dividende_je_Aktie!A$3:AM$103,10,FALSE)&lt;&gt;"",VLOOKUP(A4,Dividende_je_Aktie!A$3:AM$103,10,FALSE)/VLOOKUP(A4,Schlußkurse!A$5:AU$105,38,FALSE),""),"")</f>
        <v>3.4535877559133371E-2</v>
      </c>
      <c r="G4" s="71">
        <f>IF(VLOOKUP(A4,Schlußkurse!A$5:AU$105,39,FALSE)&gt;0,IF(VLOOKUP(A4,Dividende_je_Aktie!A$3:AM$103,11,FALSE)&lt;&gt;"",VLOOKUP(A4,Dividende_je_Aktie!A$3:AM$103,11,FALSE)/VLOOKUP(A4,Schlußkurse!A$5:AU$105,39,FALSE),""),"")</f>
        <v>2.8203292339534551E-2</v>
      </c>
      <c r="H4" s="71">
        <f>IF(VLOOKUP(A4,Schlußkurse!A$5:AU$105,40,FALSE)&gt;0,IF(VLOOKUP(A4,Dividende_je_Aktie!A$3:AM$103,12,FALSE)&lt;&gt;"",VLOOKUP(A4,Dividende_je_Aktie!A$3:AM$103,12,FALSE)/VLOOKUP(A4,Schlußkurse!A$5:AU$105,40,FALSE),""),"")</f>
        <v>2.5924042256488578E-2</v>
      </c>
      <c r="I4" s="71">
        <f>IF(VLOOKUP(A4,Schlußkurse!A$5:AU$105,41,FALSE)&gt;0,IF(VLOOKUP(A4,Dividende_je_Aktie!A$3:AM$103,13,FALSE)&lt;&gt;"",VLOOKUP(A4,Dividende_je_Aktie!A$3:AM$103,13,FALSE)/VLOOKUP(A4,Schlußkurse!A$5:AU$105,41,FALSE),""),"")</f>
        <v>3.0112409419516737E-2</v>
      </c>
      <c r="J4" s="71">
        <f>IF(VLOOKUP(A4,Schlußkurse!A$5:AU$105,42,FALSE)&gt;0,IF(VLOOKUP(A4,Dividende_je_Aktie!A$3:AM$103,14,FALSE)&lt;&gt;"",VLOOKUP(A4,Dividende_je_Aktie!A$3:AM$103,14,FALSE)/VLOOKUP(A4,Schlußkurse!A$5:AU$105,42,FALSE),""),"")</f>
        <v>2.6099398740225748E-2</v>
      </c>
      <c r="K4" s="71">
        <f>IF(VLOOKUP(A4,Schlußkurse!A$5:AU$105,43,FALSE)&gt;0,IF(VLOOKUP(A4,Dividende_je_Aktie!A$3:AM$103,15,FALSE)&lt;&gt;"",VLOOKUP(A4,Dividende_je_Aktie!A$3:AM$103,15,FALSE)/VLOOKUP(A4,Schlußkurse!A$5:AU$105,43,FALSE),""),"")</f>
        <v>1.9994038141354219E-2</v>
      </c>
      <c r="L4" s="71">
        <f>IF(VLOOKUP(A4,Schlußkurse!A$5:AU$105,44,FALSE)&gt;0,IF(VLOOKUP(A4,Dividende_je_Aktie!A$3:AM$103,16,FALSE)&lt;&gt;"",VLOOKUP(A4,Dividende_je_Aktie!A$3:AM$103,16,FALSE)/VLOOKUP(A4,Schlußkurse!A$5:AU$105,44,FALSE),""),"")</f>
        <v>2.8173778861817822E-2</v>
      </c>
      <c r="M4" s="71">
        <f>IF(VLOOKUP(A4,Schlußkurse!A$5:AU$105,45,FALSE)&gt;0,IF(VLOOKUP(A4,Dividende_je_Aktie!A$3:AM$103,17,FALSE)&lt;&gt;"",VLOOKUP(A4,Dividende_je_Aktie!A$3:AM$103,17,FALSE)/VLOOKUP(A4,Schlußkurse!A$5:AU$105,45,FALSE),""),"")</f>
        <v>1.8700139917118309E-2</v>
      </c>
      <c r="N4" s="71">
        <f>IF(VLOOKUP(A4,Schlußkurse!A$5:AU$105,46,FALSE)&gt;0,IF(VLOOKUP(A4,Dividende_je_Aktie!A$3:AM$103,18,FALSE)&lt;&gt;"",VLOOKUP(A4,Dividende_je_Aktie!A$3:AM$103,18,FALSE)/VLOOKUP(A4,Schlußkurse!A$5:AU$105,46,FALSE),""),"")</f>
        <v>1.4189528783486014E-2</v>
      </c>
      <c r="O4" s="71">
        <f>IF(VLOOKUP(A4,Schlußkurse!A$5:AU$105,47,FALSE)&gt;0,IF(VLOOKUP(A4,Dividende_je_Aktie!A$3:AM$103,19,FALSE)&lt;&gt;"",VLOOKUP(A4,Dividende_je_Aktie!A$3:AM$103,19,FALSE)/VLOOKUP(A4,Schlußkurse!A$5:AU$105,47,FALSE),""),"")</f>
        <v>2.6522320944194624E-2</v>
      </c>
      <c r="P4" s="71">
        <f t="shared" ref="P4:P35" si="0">AVERAGE(C4:O4)</f>
        <v>2.6152542826755245E-2</v>
      </c>
      <c r="Q4" s="5">
        <f ca="1">VLOOKUP(A4,Dividende_je_Aktie!A$3:AM$103,24,FALSE)/VLOOKUP(A4,Schlußkurse!A$5:AU$105,35,FALSE)</f>
        <v>2.9367103554133009E-2</v>
      </c>
      <c r="R4" s="5">
        <f t="shared" ref="R4:R35" ca="1" si="1">IF(P4=0,0,(Q4/P4)-1)</f>
        <v>0.12291580014502923</v>
      </c>
    </row>
    <row r="5" spans="1:18">
      <c r="A5" t="s">
        <v>2</v>
      </c>
      <c r="B5" s="38" t="s">
        <v>3</v>
      </c>
      <c r="C5" s="71">
        <f>IF(VLOOKUP(A5,Schlußkurse!A$5:AU$105,35,FALSE)&gt;0,IF(VLOOKUP(A5,Dividende_je_Aktie!A$3:AM$103,7,FALSE)&lt;&gt;"",VLOOKUP(A5,Dividende_je_Aktie!A$3:AM$103,7,FALSE)/VLOOKUP(A5,Schlußkurse!A$5:AU$105,35,FALSE),""),"")</f>
        <v>3.9998135186280058E-2</v>
      </c>
      <c r="D5" s="71">
        <f>IF(VLOOKUP(A5,Schlußkurse!A$5:AU$105,36,FALSE)&gt;0,IF(VLOOKUP(A5,Dividende_je_Aktie!A$3:AM$103,8,FALSE)&lt;&gt;"",VLOOKUP(A5,Dividende_je_Aktie!A$3:AM$103,8,FALSE)/VLOOKUP(A5,Schlußkurse!A$5:AU$105,36,FALSE),""),"")</f>
        <v>3.7614140373852772E-2</v>
      </c>
      <c r="E5" s="71">
        <f>IF(VLOOKUP(A5,Schlußkurse!A$5:AU$105,37,FALSE)&gt;0,IF(VLOOKUP(A5,Dividende_je_Aktie!A$3:AM$103,9,FALSE)&lt;&gt;"",VLOOKUP(A5,Dividende_je_Aktie!A$3:AM$103,9,FALSE)/VLOOKUP(A5,Schlußkurse!A$5:AU$105,37,FALSE),""),"")</f>
        <v>3.0637195619461526E-2</v>
      </c>
      <c r="F5" s="71">
        <f>IF(VLOOKUP(A5,Schlußkurse!A$5:AU$105,38,FALSE)&gt;0,IF(VLOOKUP(A5,Dividende_je_Aktie!A$3:AM$103,10,FALSE)&lt;&gt;"",VLOOKUP(A5,Dividende_je_Aktie!A$3:AM$103,10,FALSE)/VLOOKUP(A5,Schlußkurse!A$5:AU$105,38,FALSE),""),"")</f>
        <v>2.8303134534483926E-2</v>
      </c>
      <c r="G5" s="71">
        <f>IF(VLOOKUP(A5,Schlußkurse!A$5:AU$105,39,FALSE)&gt;0,IF(VLOOKUP(A5,Dividende_je_Aktie!A$3:AM$103,11,FALSE)&lt;&gt;"",VLOOKUP(A5,Dividende_je_Aktie!A$3:AM$103,11,FALSE)/VLOOKUP(A5,Schlußkurse!A$5:AU$105,39,FALSE),""),"")</f>
        <v>3.46433609813201E-2</v>
      </c>
      <c r="H5" s="71">
        <f>IF(VLOOKUP(A5,Schlußkurse!A$5:AU$105,40,FALSE)&gt;0,IF(VLOOKUP(A5,Dividende_je_Aktie!A$3:AM$103,12,FALSE)&lt;&gt;"",VLOOKUP(A5,Dividende_je_Aktie!A$3:AM$103,12,FALSE)/VLOOKUP(A5,Schlußkurse!A$5:AU$105,40,FALSE),""),"")</f>
        <v>3.9364500774460694E-2</v>
      </c>
      <c r="I5" s="71">
        <f>IF(VLOOKUP(A5,Schlußkurse!A$5:AU$105,41,FALSE)&gt;0,IF(VLOOKUP(A5,Dividende_je_Aktie!A$3:AM$103,13,FALSE)&lt;&gt;"",VLOOKUP(A5,Dividende_je_Aktie!A$3:AM$103,13,FALSE)/VLOOKUP(A5,Schlußkurse!A$5:AU$105,41,FALSE),""),"")</f>
        <v>4.2310747261996365E-2</v>
      </c>
      <c r="J5" s="71">
        <f>IF(VLOOKUP(A5,Schlußkurse!A$5:AU$105,42,FALSE)&gt;0,IF(VLOOKUP(A5,Dividende_je_Aktie!A$3:AM$103,14,FALSE)&lt;&gt;"",VLOOKUP(A5,Dividende_je_Aktie!A$3:AM$103,14,FALSE)/VLOOKUP(A5,Schlußkurse!A$5:AU$105,42,FALSE),""),"")</f>
        <v>3.9787132042354248E-2</v>
      </c>
      <c r="K5" s="71">
        <f>IF(VLOOKUP(A5,Schlußkurse!A$5:AU$105,43,FALSE)&gt;0,IF(VLOOKUP(A5,Dividende_je_Aktie!A$3:AM$103,15,FALSE)&lt;&gt;"",VLOOKUP(A5,Dividende_je_Aktie!A$3:AM$103,15,FALSE)/VLOOKUP(A5,Schlußkurse!A$5:AU$105,43,FALSE),""),"")</f>
        <v>3.7041247813282774E-2</v>
      </c>
      <c r="L5" s="71">
        <f>IF(VLOOKUP(A5,Schlußkurse!A$5:AU$105,44,FALSE)&gt;0,IF(VLOOKUP(A5,Dividende_je_Aktie!A$3:AM$103,16,FALSE)&lt;&gt;"",VLOOKUP(A5,Dividende_je_Aktie!A$3:AM$103,16,FALSE)/VLOOKUP(A5,Schlußkurse!A$5:AU$105,44,FALSE),""),"")</f>
        <v>3.8422302988116726E-2</v>
      </c>
      <c r="M5" s="71">
        <f>IF(VLOOKUP(A5,Schlußkurse!A$5:AU$105,45,FALSE)&gt;0,IF(VLOOKUP(A5,Dividende_je_Aktie!A$3:AM$103,17,FALSE)&lt;&gt;"",VLOOKUP(A5,Dividende_je_Aktie!A$3:AM$103,17,FALSE)/VLOOKUP(A5,Schlußkurse!A$5:AU$105,45,FALSE),""),"")</f>
        <v>2.5916745557605168E-2</v>
      </c>
      <c r="N5" s="71">
        <f>IF(VLOOKUP(A5,Schlußkurse!A$5:AU$105,46,FALSE)&gt;0,IF(VLOOKUP(A5,Dividende_je_Aktie!A$3:AM$103,18,FALSE)&lt;&gt;"",VLOOKUP(A5,Dividende_je_Aktie!A$3:AM$103,18,FALSE)/VLOOKUP(A5,Schlußkurse!A$5:AU$105,46,FALSE),""),"")</f>
        <v>1.9252725409738325E-2</v>
      </c>
      <c r="O5" s="71">
        <f>IF(VLOOKUP(A5,Schlußkurse!A$5:AU$105,47,FALSE)&gt;0,IF(VLOOKUP(A5,Dividende_je_Aktie!A$3:AM$103,19,FALSE)&lt;&gt;"",VLOOKUP(A5,Dividende_je_Aktie!A$3:AM$103,19,FALSE)/VLOOKUP(A5,Schlußkurse!A$5:AU$105,47,FALSE),""),"")</f>
        <v>1.6746896352887557E-2</v>
      </c>
      <c r="P5" s="71">
        <f t="shared" si="0"/>
        <v>3.3079866530449246E-2</v>
      </c>
      <c r="Q5" s="5">
        <f ca="1">VLOOKUP(A5,Dividende_je_Aktie!A$3:AM$103,24,FALSE)/VLOOKUP(A5,Schlußkurse!A$5:AU$105,35,FALSE)</f>
        <v>3.8329338817580952E-2</v>
      </c>
      <c r="R5" s="5">
        <f t="shared" ca="1" si="1"/>
        <v>0.15869085452021658</v>
      </c>
    </row>
    <row r="6" spans="1:18">
      <c r="A6" t="s">
        <v>4</v>
      </c>
      <c r="B6" s="38" t="s">
        <v>5</v>
      </c>
      <c r="C6" s="71">
        <f>IF(VLOOKUP(A6,Schlußkurse!A$5:AU$105,35,FALSE)&gt;0,IF(VLOOKUP(A6,Dividende_je_Aktie!A$3:AM$103,7,FALSE)&lt;&gt;"",VLOOKUP(A6,Dividende_je_Aktie!A$3:AM$103,7,FALSE)/VLOOKUP(A6,Schlußkurse!A$5:AU$105,35,FALSE),""),"")</f>
        <v>3.7715694330320459E-2</v>
      </c>
      <c r="D6" s="71">
        <f>IF(VLOOKUP(A6,Schlußkurse!A$5:AU$105,36,FALSE)&gt;0,IF(VLOOKUP(A6,Dividende_je_Aktie!A$3:AM$103,8,FALSE)&lt;&gt;"",VLOOKUP(A6,Dividende_je_Aktie!A$3:AM$103,8,FALSE)/VLOOKUP(A6,Schlußkurse!A$5:AU$105,36,FALSE),""),"")</f>
        <v>3.5168447000821695E-2</v>
      </c>
      <c r="E6" s="71">
        <f>IF(VLOOKUP(A6,Schlußkurse!A$5:AU$105,37,FALSE)&gt;0,IF(VLOOKUP(A6,Dividende_je_Aktie!A$3:AM$103,9,FALSE)&lt;&gt;"",VLOOKUP(A6,Dividende_je_Aktie!A$3:AM$103,9,FALSE)/VLOOKUP(A6,Schlußkurse!A$5:AU$105,37,FALSE),""),"")</f>
        <v>2.9305354558610709E-2</v>
      </c>
      <c r="F6" s="71">
        <f>IF(VLOOKUP(A6,Schlußkurse!A$5:AU$105,38,FALSE)&gt;0,IF(VLOOKUP(A6,Dividende_je_Aktie!A$3:AM$103,10,FALSE)&lt;&gt;"",VLOOKUP(A6,Dividende_je_Aktie!A$3:AM$103,10,FALSE)/VLOOKUP(A6,Schlußkurse!A$5:AU$105,38,FALSE),""),"")</f>
        <v>2.9640607632456469E-2</v>
      </c>
      <c r="G6" s="71">
        <f>IF(VLOOKUP(A6,Schlußkurse!A$5:AU$105,39,FALSE)&gt;0,IF(VLOOKUP(A6,Dividende_je_Aktie!A$3:AM$103,11,FALSE)&lt;&gt;"",VLOOKUP(A6,Dividende_je_Aktie!A$3:AM$103,11,FALSE)/VLOOKUP(A6,Schlußkurse!A$5:AU$105,39,FALSE),""),"")</f>
        <v>3.1300160513643663E-2</v>
      </c>
      <c r="H6" s="71">
        <f>IF(VLOOKUP(A6,Schlußkurse!A$5:AU$105,40,FALSE)&gt;0,IF(VLOOKUP(A6,Dividende_je_Aktie!A$3:AM$103,12,FALSE)&lt;&gt;"",VLOOKUP(A6,Dividende_je_Aktie!A$3:AM$103,12,FALSE)/VLOOKUP(A6,Schlußkurse!A$5:AU$105,40,FALSE),""),"")</f>
        <v>3.9945652173913042E-2</v>
      </c>
      <c r="I6" s="71">
        <f>IF(VLOOKUP(A6,Schlußkurse!A$5:AU$105,41,FALSE)&gt;0,IF(VLOOKUP(A6,Dividende_je_Aktie!A$3:AM$103,13,FALSE)&lt;&gt;"",VLOOKUP(A6,Dividende_je_Aktie!A$3:AM$103,13,FALSE)/VLOOKUP(A6,Schlußkurse!A$5:AU$105,41,FALSE),""),"")</f>
        <v>4.2713567839195984E-2</v>
      </c>
      <c r="J6" s="71">
        <f>IF(VLOOKUP(A6,Schlußkurse!A$5:AU$105,42,FALSE)&gt;0,IF(VLOOKUP(A6,Dividende_je_Aktie!A$3:AM$103,14,FALSE)&lt;&gt;"",VLOOKUP(A6,Dividende_je_Aktie!A$3:AM$103,14,FALSE)/VLOOKUP(A6,Schlußkurse!A$5:AU$105,42,FALSE),""),"")</f>
        <v>4.8175182481751823E-2</v>
      </c>
      <c r="K6" s="71">
        <f>IF(VLOOKUP(A6,Schlußkurse!A$5:AU$105,43,FALSE)&gt;0,IF(VLOOKUP(A6,Dividende_je_Aktie!A$3:AM$103,15,FALSE)&lt;&gt;"",VLOOKUP(A6,Dividende_je_Aktie!A$3:AM$103,15,FALSE)/VLOOKUP(A6,Schlußkurse!A$5:AU$105,43,FALSE),""),"")</f>
        <v>3.4129692832764506E-2</v>
      </c>
      <c r="L6" s="71">
        <f>IF(VLOOKUP(A6,Schlußkurse!A$5:AU$105,44,FALSE)&gt;0,IF(VLOOKUP(A6,Dividende_je_Aktie!A$3:AM$103,16,FALSE)&lt;&gt;"",VLOOKUP(A6,Dividende_je_Aktie!A$3:AM$103,16,FALSE)/VLOOKUP(A6,Schlußkurse!A$5:AU$105,44,FALSE),""),"")</f>
        <v>3.0769230769230771E-2</v>
      </c>
      <c r="M6" s="71">
        <f>IF(VLOOKUP(A6,Schlußkurse!A$5:AU$105,45,FALSE)&gt;0,IF(VLOOKUP(A6,Dividende_je_Aktie!A$3:AM$103,17,FALSE)&lt;&gt;"",VLOOKUP(A6,Dividende_je_Aktie!A$3:AM$103,17,FALSE)/VLOOKUP(A6,Schlußkurse!A$5:AU$105,45,FALSE),""),"")</f>
        <v>2.3517382413087932E-2</v>
      </c>
      <c r="N6" s="71">
        <f>IF(VLOOKUP(A6,Schlußkurse!A$5:AU$105,46,FALSE)&gt;0,IF(VLOOKUP(A6,Dividende_je_Aktie!A$3:AM$103,18,FALSE)&lt;&gt;"",VLOOKUP(A6,Dividende_je_Aktie!A$3:AM$103,18,FALSE)/VLOOKUP(A6,Schlußkurse!A$5:AU$105,46,FALSE),""),"")</f>
        <v>1.5560640732265445E-2</v>
      </c>
      <c r="O6" s="71">
        <f>IF(VLOOKUP(A6,Schlußkurse!A$5:AU$105,47,FALSE)&gt;0,IF(VLOOKUP(A6,Dividende_je_Aktie!A$3:AM$103,19,FALSE)&lt;&gt;"",VLOOKUP(A6,Dividende_je_Aktie!A$3:AM$103,19,FALSE)/VLOOKUP(A6,Schlußkurse!A$5:AU$105,47,FALSE),""),"")</f>
        <v>1.2671059300557525E-2</v>
      </c>
      <c r="P6" s="71">
        <f t="shared" si="0"/>
        <v>3.1585590198355391E-2</v>
      </c>
      <c r="Q6" s="5">
        <f ca="1">VLOOKUP(A6,Dividende_je_Aktie!A$3:AM$103,24,FALSE)/VLOOKUP(A6,Schlußkurse!A$5:AU$105,35,FALSE)</f>
        <v>3.5932621199671326E-2</v>
      </c>
      <c r="R6" s="5">
        <f t="shared" ca="1" si="1"/>
        <v>0.13762703099789708</v>
      </c>
    </row>
    <row r="7" spans="1:18">
      <c r="A7" t="s">
        <v>6</v>
      </c>
      <c r="B7" s="38" t="s">
        <v>7</v>
      </c>
      <c r="C7" s="71">
        <f>IF(VLOOKUP(A7,Schlußkurse!A$5:AU$105,35,FALSE)&gt;0,IF(VLOOKUP(A7,Dividende_je_Aktie!A$3:AM$103,7,FALSE)&lt;&gt;"",VLOOKUP(A7,Dividende_je_Aktie!A$3:AM$103,7,FALSE)/VLOOKUP(A7,Schlußkurse!A$5:AU$105,35,FALSE),""),"")</f>
        <v>3.349414197105445E-2</v>
      </c>
      <c r="D7" s="71">
        <f>IF(VLOOKUP(A7,Schlußkurse!A$5:AU$105,36,FALSE)&gt;0,IF(VLOOKUP(A7,Dividende_je_Aktie!A$3:AM$103,8,FALSE)&lt;&gt;"",VLOOKUP(A7,Dividende_je_Aktie!A$3:AM$103,8,FALSE)/VLOOKUP(A7,Schlußkurse!A$5:AU$105,36,FALSE),""),"")</f>
        <v>3.1977946243969678E-2</v>
      </c>
      <c r="E7" s="71">
        <f>IF(VLOOKUP(A7,Schlußkurse!A$5:AU$105,37,FALSE)&gt;0,IF(VLOOKUP(A7,Dividende_je_Aktie!A$3:AM$103,9,FALSE)&lt;&gt;"",VLOOKUP(A7,Dividende_je_Aktie!A$3:AM$103,9,FALSE)/VLOOKUP(A7,Schlußkurse!A$5:AU$105,37,FALSE),""),"")</f>
        <v>3.0181086519114688E-2</v>
      </c>
      <c r="F7" s="71">
        <f>IF(VLOOKUP(A7,Schlußkurse!A$5:AU$105,38,FALSE)&gt;0,IF(VLOOKUP(A7,Dividende_je_Aktie!A$3:AM$103,10,FALSE)&lt;&gt;"",VLOOKUP(A7,Dividende_je_Aktie!A$3:AM$103,10,FALSE)/VLOOKUP(A7,Schlußkurse!A$5:AU$105,38,FALSE),""),"")</f>
        <v>3.015764222069911E-2</v>
      </c>
      <c r="G7" s="71">
        <f>IF(VLOOKUP(A7,Schlußkurse!A$5:AU$105,39,FALSE)&gt;0,IF(VLOOKUP(A7,Dividende_je_Aktie!A$3:AM$103,11,FALSE)&lt;&gt;"",VLOOKUP(A7,Dividende_je_Aktie!A$3:AM$103,11,FALSE)/VLOOKUP(A7,Schlußkurse!A$5:AU$105,39,FALSE),""),"")</f>
        <v>3.2924961715160794E-2</v>
      </c>
      <c r="H7" s="71">
        <f>IF(VLOOKUP(A7,Schlußkurse!A$5:AU$105,40,FALSE)&gt;0,IF(VLOOKUP(A7,Dividende_je_Aktie!A$3:AM$103,12,FALSE)&lt;&gt;"",VLOOKUP(A7,Dividende_je_Aktie!A$3:AM$103,12,FALSE)/VLOOKUP(A7,Schlußkurse!A$5:AU$105,40,FALSE),""),"")</f>
        <v>3.4395973154362415E-2</v>
      </c>
      <c r="I7" s="71">
        <f>IF(VLOOKUP(A7,Schlußkurse!A$5:AU$105,41,FALSE)&gt;0,IF(VLOOKUP(A7,Dividende_je_Aktie!A$3:AM$103,13,FALSE)&lt;&gt;"",VLOOKUP(A7,Dividende_je_Aktie!A$3:AM$103,13,FALSE)/VLOOKUP(A7,Schlußkurse!A$5:AU$105,41,FALSE),""),"")</f>
        <v>3.6111111111111108E-2</v>
      </c>
      <c r="J7" s="71">
        <f>IF(VLOOKUP(A7,Schlußkurse!A$5:AU$105,42,FALSE)&gt;0,IF(VLOOKUP(A7,Dividende_je_Aktie!A$3:AM$103,14,FALSE)&lt;&gt;"",VLOOKUP(A7,Dividende_je_Aktie!A$3:AM$103,14,FALSE)/VLOOKUP(A7,Schlußkurse!A$5:AU$105,42,FALSE),""),"")</f>
        <v>3.3789954337899546E-2</v>
      </c>
      <c r="K7" s="71">
        <f>IF(VLOOKUP(A7,Schlußkurse!A$5:AU$105,43,FALSE)&gt;0,IF(VLOOKUP(A7,Dividende_je_Aktie!A$3:AM$103,15,FALSE)&lt;&gt;"",VLOOKUP(A7,Dividende_je_Aktie!A$3:AM$103,15,FALSE)/VLOOKUP(A7,Schlußkurse!A$5:AU$105,43,FALSE),""),"")</f>
        <v>3.1872509960159362E-2</v>
      </c>
      <c r="L7" s="71">
        <f>IF(VLOOKUP(A7,Schlußkurse!A$5:AU$105,44,FALSE)&gt;0,IF(VLOOKUP(A7,Dividende_je_Aktie!A$3:AM$103,16,FALSE)&lt;&gt;"",VLOOKUP(A7,Dividende_je_Aktie!A$3:AM$103,16,FALSE)/VLOOKUP(A7,Schlußkurse!A$5:AU$105,44,FALSE),""),"")</f>
        <v>3.3653846153846152E-2</v>
      </c>
      <c r="M7" s="71">
        <f>IF(VLOOKUP(A7,Schlußkurse!A$5:AU$105,45,FALSE)&gt;0,IF(VLOOKUP(A7,Dividende_je_Aktie!A$3:AM$103,17,FALSE)&lt;&gt;"",VLOOKUP(A7,Dividende_je_Aktie!A$3:AM$103,17,FALSE)/VLOOKUP(A7,Schlußkurse!A$5:AU$105,45,FALSE),""),"")</f>
        <v>2.3461538461538461E-2</v>
      </c>
      <c r="N7" s="71">
        <f>IF(VLOOKUP(A7,Schlußkurse!A$5:AU$105,46,FALSE)&gt;0,IF(VLOOKUP(A7,Dividende_je_Aktie!A$3:AM$103,18,FALSE)&lt;&gt;"",VLOOKUP(A7,Dividende_je_Aktie!A$3:AM$103,18,FALSE)/VLOOKUP(A7,Schlußkurse!A$5:AU$105,46,FALSE),""),"")</f>
        <v>2.4018475750577369E-2</v>
      </c>
      <c r="O7" s="71">
        <f>IF(VLOOKUP(A7,Schlußkurse!A$5:AU$105,47,FALSE)&gt;0,IF(VLOOKUP(A7,Dividende_je_Aktie!A$3:AM$103,19,FALSE)&lt;&gt;"",VLOOKUP(A7,Dividende_je_Aktie!A$3:AM$103,19,FALSE)/VLOOKUP(A7,Schlußkurse!A$5:AU$105,47,FALSE),""),"")</f>
        <v>2.2900763358778629E-2</v>
      </c>
      <c r="P7" s="71">
        <f t="shared" si="0"/>
        <v>3.0687688535251671E-2</v>
      </c>
      <c r="Q7" s="5">
        <f ca="1">VLOOKUP(A7,Dividende_je_Aktie!A$3:AM$103,24,FALSE)/VLOOKUP(A7,Schlußkurse!A$5:AU$105,35,FALSE)</f>
        <v>3.2432804962095108E-2</v>
      </c>
      <c r="R7" s="5">
        <f t="shared" ca="1" si="1"/>
        <v>5.6866988363714066E-2</v>
      </c>
    </row>
    <row r="8" spans="1:18">
      <c r="A8" t="s">
        <v>8</v>
      </c>
      <c r="B8" s="38" t="s">
        <v>9</v>
      </c>
      <c r="C8" s="71">
        <f>IF(VLOOKUP(A8,Schlußkurse!A$5:AU$105,35,FALSE)&gt;0,IF(VLOOKUP(A8,Dividende_je_Aktie!A$3:AM$103,7,FALSE)&lt;&gt;"",VLOOKUP(A8,Dividende_je_Aktie!A$3:AM$103,7,FALSE)/VLOOKUP(A8,Schlußkurse!A$5:AU$105,35,FALSE),""),"")</f>
        <v>9.6253902185223731E-3</v>
      </c>
      <c r="D8" s="71">
        <f>IF(VLOOKUP(A8,Schlußkurse!A$5:AU$105,36,FALSE)&gt;0,IF(VLOOKUP(A8,Dividende_je_Aktie!A$3:AM$103,8,FALSE)&lt;&gt;"",VLOOKUP(A8,Dividende_je_Aktie!A$3:AM$103,8,FALSE)/VLOOKUP(A8,Schlußkurse!A$5:AU$105,36,FALSE),""),"")</f>
        <v>9.4953173777315297E-3</v>
      </c>
      <c r="E8" s="71">
        <f>IF(VLOOKUP(A8,Schlußkurse!A$5:AU$105,37,FALSE)&gt;0,IF(VLOOKUP(A8,Dividende_je_Aktie!A$3:AM$103,9,FALSE)&lt;&gt;"",VLOOKUP(A8,Dividende_je_Aktie!A$3:AM$103,9,FALSE)/VLOOKUP(A8,Schlußkurse!A$5:AU$105,37,FALSE),""),"")</f>
        <v>8.3174904942965779E-3</v>
      </c>
      <c r="F8" s="71">
        <f>IF(VLOOKUP(A8,Schlußkurse!A$5:AU$105,38,FALSE)&gt;0,IF(VLOOKUP(A8,Dividende_je_Aktie!A$3:AM$103,10,FALSE)&lt;&gt;"",VLOOKUP(A8,Dividende_je_Aktie!A$3:AM$103,10,FALSE)/VLOOKUP(A8,Schlußkurse!A$5:AU$105,38,FALSE),""),"")</f>
        <v>1.0382675763868287E-2</v>
      </c>
      <c r="G8" s="71">
        <f>IF(VLOOKUP(A8,Schlußkurse!A$5:AU$105,39,FALSE)&gt;0,IF(VLOOKUP(A8,Dividende_je_Aktie!A$3:AM$103,11,FALSE)&lt;&gt;"",VLOOKUP(A8,Dividende_je_Aktie!A$3:AM$103,11,FALSE)/VLOOKUP(A8,Schlußkurse!A$5:AU$105,39,FALSE),""),"")</f>
        <v>9.5057034220532317E-3</v>
      </c>
      <c r="H8" s="71">
        <f>IF(VLOOKUP(A8,Schlußkurse!A$5:AU$105,40,FALSE)&gt;0,IF(VLOOKUP(A8,Dividende_je_Aktie!A$3:AM$103,12,FALSE)&lt;&gt;"",VLOOKUP(A8,Dividende_je_Aktie!A$3:AM$103,12,FALSE)/VLOOKUP(A8,Schlußkurse!A$5:AU$105,40,FALSE),""),"")</f>
        <v>1.1312217194570134E-2</v>
      </c>
      <c r="I8" s="71">
        <f>IF(VLOOKUP(A8,Schlußkurse!A$5:AU$105,41,FALSE)&gt;0,IF(VLOOKUP(A8,Dividende_je_Aktie!A$3:AM$103,13,FALSE)&lt;&gt;"",VLOOKUP(A8,Dividende_je_Aktie!A$3:AM$103,13,FALSE)/VLOOKUP(A8,Schlußkurse!A$5:AU$105,41,FALSE),""),"")</f>
        <v>1.5974440894568689E-2</v>
      </c>
      <c r="J8" s="71">
        <f>IF(VLOOKUP(A8,Schlußkurse!A$5:AU$105,42,FALSE)&gt;0,IF(VLOOKUP(A8,Dividende_je_Aktie!A$3:AM$103,14,FALSE)&lt;&gt;"",VLOOKUP(A8,Dividende_je_Aktie!A$3:AM$103,14,FALSE)/VLOOKUP(A8,Schlußkurse!A$5:AU$105,42,FALSE),""),"")</f>
        <v>1.6857314870559904E-2</v>
      </c>
      <c r="K8" s="71">
        <f>IF(VLOOKUP(A8,Schlußkurse!A$5:AU$105,43,FALSE)&gt;0,IF(VLOOKUP(A8,Dividende_je_Aktie!A$3:AM$103,15,FALSE)&lt;&gt;"",VLOOKUP(A8,Dividende_je_Aktie!A$3:AM$103,15,FALSE)/VLOOKUP(A8,Schlußkurse!A$5:AU$105,43,FALSE),""),"")</f>
        <v>1.5240583496625298E-2</v>
      </c>
      <c r="L8" s="71">
        <f>IF(VLOOKUP(A8,Schlußkurse!A$5:AU$105,44,FALSE)&gt;0,IF(VLOOKUP(A8,Dividende_je_Aktie!A$3:AM$103,16,FALSE)&lt;&gt;"",VLOOKUP(A8,Dividende_je_Aktie!A$3:AM$103,16,FALSE)/VLOOKUP(A8,Schlußkurse!A$5:AU$105,44,FALSE),""),"")</f>
        <v>1.6666666666666666E-2</v>
      </c>
      <c r="M8" s="71">
        <f>IF(VLOOKUP(A8,Schlußkurse!A$5:AU$105,45,FALSE)&gt;0,IF(VLOOKUP(A8,Dividende_je_Aktie!A$3:AM$103,17,FALSE)&lt;&gt;"",VLOOKUP(A8,Dividende_je_Aktie!A$3:AM$103,17,FALSE)/VLOOKUP(A8,Schlußkurse!A$5:AU$105,45,FALSE),""),"")</f>
        <v>1.320754716981132E-2</v>
      </c>
      <c r="N8" s="71">
        <f>IF(VLOOKUP(A8,Schlußkurse!A$5:AU$105,46,FALSE)&gt;0,IF(VLOOKUP(A8,Dividende_je_Aktie!A$3:AM$103,18,FALSE)&lt;&gt;"",VLOOKUP(A8,Dividende_je_Aktie!A$3:AM$103,18,FALSE)/VLOOKUP(A8,Schlußkurse!A$5:AU$105,46,FALSE),""),"")</f>
        <v>1.2214983713355049E-2</v>
      </c>
      <c r="O8" s="71">
        <f>IF(VLOOKUP(A8,Schlußkurse!A$5:AU$105,47,FALSE)&gt;0,IF(VLOOKUP(A8,Dividende_je_Aktie!A$3:AM$103,19,FALSE)&lt;&gt;"",VLOOKUP(A8,Dividende_je_Aktie!A$3:AM$103,19,FALSE)/VLOOKUP(A8,Schlußkurse!A$5:AU$105,47,FALSE),""),"")</f>
        <v>1.6442291882411652E-2</v>
      </c>
      <c r="P8" s="71">
        <f t="shared" si="0"/>
        <v>1.271097101269544E-2</v>
      </c>
      <c r="Q8" s="5">
        <f ca="1">VLOOKUP(A8,Dividende_je_Aktie!A$3:AM$103,24,FALSE)/VLOOKUP(A8,Schlußkurse!A$5:AU$105,35,FALSE)</f>
        <v>9.5343392299687829E-3</v>
      </c>
      <c r="R8" s="5">
        <f t="shared" ca="1" si="1"/>
        <v>-0.24991259751547745</v>
      </c>
    </row>
    <row r="9" spans="1:18">
      <c r="A9" t="s">
        <v>10</v>
      </c>
      <c r="B9" s="38" t="s">
        <v>11</v>
      </c>
      <c r="C9" s="71">
        <f>IF(VLOOKUP(A9,Schlußkurse!A$5:AU$105,35,FALSE)&gt;0,IF(VLOOKUP(A9,Dividende_je_Aktie!A$3:AM$103,7,FALSE)&lt;&gt;"",VLOOKUP(A9,Dividende_je_Aktie!A$3:AM$103,7,FALSE)/VLOOKUP(A9,Schlußkurse!A$5:AU$105,35,FALSE),""),"")</f>
        <v>4.3668122270742356E-2</v>
      </c>
      <c r="D9" s="71">
        <f>IF(VLOOKUP(A9,Schlußkurse!A$5:AU$105,36,FALSE)&gt;0,IF(VLOOKUP(A9,Dividende_je_Aktie!A$3:AM$103,8,FALSE)&lt;&gt;"",VLOOKUP(A9,Dividende_je_Aktie!A$3:AM$103,8,FALSE)/VLOOKUP(A9,Schlußkurse!A$5:AU$105,36,FALSE),""),"")</f>
        <v>3.9925140361821577E-2</v>
      </c>
      <c r="E9" s="71">
        <f>IF(VLOOKUP(A9,Schlußkurse!A$5:AU$105,37,FALSE)&gt;0,IF(VLOOKUP(A9,Dividende_je_Aktie!A$3:AM$103,9,FALSE)&lt;&gt;"",VLOOKUP(A9,Dividende_je_Aktie!A$3:AM$103,9,FALSE)/VLOOKUP(A9,Schlußkurse!A$5:AU$105,37,FALSE),""),"")</f>
        <v>3.2748988634174532E-2</v>
      </c>
      <c r="F9" s="71">
        <f>IF(VLOOKUP(A9,Schlußkurse!A$5:AU$105,38,FALSE)&gt;0,IF(VLOOKUP(A9,Dividende_je_Aktie!A$3:AM$103,10,FALSE)&lt;&gt;"",VLOOKUP(A9,Dividende_je_Aktie!A$3:AM$103,10,FALSE)/VLOOKUP(A9,Schlußkurse!A$5:AU$105,38,FALSE),""),"")</f>
        <v>3.142909964873359E-2</v>
      </c>
      <c r="G9" s="71">
        <f>IF(VLOOKUP(A9,Schlußkurse!A$5:AU$105,39,FALSE)&gt;0,IF(VLOOKUP(A9,Dividende_je_Aktie!A$3:AM$103,11,FALSE)&lt;&gt;"",VLOOKUP(A9,Dividende_je_Aktie!A$3:AM$103,11,FALSE)/VLOOKUP(A9,Schlußkurse!A$5:AU$105,39,FALSE),""),"")</f>
        <v>3.0188679245283019E-2</v>
      </c>
      <c r="H9" s="71">
        <f>IF(VLOOKUP(A9,Schlußkurse!A$5:AU$105,40,FALSE)&gt;0,IF(VLOOKUP(A9,Dividende_je_Aktie!A$3:AM$103,12,FALSE)&lt;&gt;"",VLOOKUP(A9,Dividende_je_Aktie!A$3:AM$103,12,FALSE)/VLOOKUP(A9,Schlußkurse!A$5:AU$105,40,FALSE),""),"")</f>
        <v>4.2168674698795178E-2</v>
      </c>
      <c r="I9" s="71">
        <f>IF(VLOOKUP(A9,Schlußkurse!A$5:AU$105,41,FALSE)&gt;0,IF(VLOOKUP(A9,Dividende_je_Aktie!A$3:AM$103,13,FALSE)&lt;&gt;"",VLOOKUP(A9,Dividende_je_Aktie!A$3:AM$103,13,FALSE)/VLOOKUP(A9,Schlußkurse!A$5:AU$105,41,FALSE),""),"")</f>
        <v>5.8922558922558918E-2</v>
      </c>
      <c r="J9" s="71">
        <f>IF(VLOOKUP(A9,Schlußkurse!A$5:AU$105,42,FALSE)&gt;0,IF(VLOOKUP(A9,Dividende_je_Aktie!A$3:AM$103,14,FALSE)&lt;&gt;"",VLOOKUP(A9,Dividende_je_Aktie!A$3:AM$103,14,FALSE)/VLOOKUP(A9,Schlußkurse!A$5:AU$105,42,FALSE),""),"")</f>
        <v>5.1181102362204731E-2</v>
      </c>
      <c r="K9" s="71">
        <f>IF(VLOOKUP(A9,Schlußkurse!A$5:AU$105,43,FALSE)&gt;0,IF(VLOOKUP(A9,Dividende_je_Aktie!A$3:AM$103,15,FALSE)&lt;&gt;"",VLOOKUP(A9,Dividende_je_Aktie!A$3:AM$103,15,FALSE)/VLOOKUP(A9,Schlußkurse!A$5:AU$105,43,FALSE),""),"")</f>
        <v>4.449388209121246E-2</v>
      </c>
      <c r="L9" s="71">
        <f>IF(VLOOKUP(A9,Schlußkurse!A$5:AU$105,44,FALSE)&gt;0,IF(VLOOKUP(A9,Dividende_je_Aktie!A$3:AM$103,16,FALSE)&lt;&gt;"",VLOOKUP(A9,Dividende_je_Aktie!A$3:AM$103,16,FALSE)/VLOOKUP(A9,Schlußkurse!A$5:AU$105,44,FALSE),""),"")</f>
        <v>5.037783375314861E-2</v>
      </c>
      <c r="M9" s="71">
        <f>IF(VLOOKUP(A9,Schlußkurse!A$5:AU$105,45,FALSE)&gt;0,IF(VLOOKUP(A9,Dividende_je_Aktie!A$3:AM$103,17,FALSE)&lt;&gt;"",VLOOKUP(A9,Dividende_je_Aktie!A$3:AM$103,17,FALSE)/VLOOKUP(A9,Schlußkurse!A$5:AU$105,45,FALSE),""),"")</f>
        <v>3.8281582305401955E-2</v>
      </c>
      <c r="N9" s="71">
        <f>IF(VLOOKUP(A9,Schlußkurse!A$5:AU$105,46,FALSE)&gt;0,IF(VLOOKUP(A9,Dividende_je_Aktie!A$3:AM$103,18,FALSE)&lt;&gt;"",VLOOKUP(A9,Dividende_je_Aktie!A$3:AM$103,18,FALSE)/VLOOKUP(A9,Schlußkurse!A$5:AU$105,46,FALSE),""),"")</f>
        <v>3.2837127845884412E-2</v>
      </c>
      <c r="O9" s="71">
        <f>IF(VLOOKUP(A9,Schlußkurse!A$5:AU$105,47,FALSE)&gt;0,IF(VLOOKUP(A9,Dividende_je_Aktie!A$3:AM$103,19,FALSE)&lt;&gt;"",VLOOKUP(A9,Dividende_je_Aktie!A$3:AM$103,19,FALSE)/VLOOKUP(A9,Schlußkurse!A$5:AU$105,47,FALSE),""),"")</f>
        <v>3.41796875E-2</v>
      </c>
      <c r="P9" s="71">
        <f t="shared" si="0"/>
        <v>4.0800190741535486E-2</v>
      </c>
      <c r="Q9" s="5">
        <f ca="1">VLOOKUP(A9,Dividende_je_Aktie!A$3:AM$103,24,FALSE)/VLOOKUP(A9,Schlußkurse!A$5:AU$105,35,FALSE)</f>
        <v>4.104803493449781E-2</v>
      </c>
      <c r="R9" s="5">
        <f t="shared" ca="1" si="1"/>
        <v>6.0745841736964401E-3</v>
      </c>
    </row>
    <row r="10" spans="1:18">
      <c r="A10" t="s">
        <v>12</v>
      </c>
      <c r="B10" s="38" t="s">
        <v>13</v>
      </c>
      <c r="C10" s="71">
        <f>IF(VLOOKUP(A10,Schlußkurse!A$5:AU$105,35,FALSE)&gt;0,IF(VLOOKUP(A10,Dividende_je_Aktie!A$3:AM$103,7,FALSE)&lt;&gt;"",VLOOKUP(A10,Dividende_je_Aktie!A$3:AM$103,7,FALSE)/VLOOKUP(A10,Schlußkurse!A$5:AU$105,35,FALSE),""),"")</f>
        <v>4.3032108573320092E-2</v>
      </c>
      <c r="D10" s="71">
        <f>IF(VLOOKUP(A10,Schlußkurse!A$5:AU$105,36,FALSE)&gt;0,IF(VLOOKUP(A10,Dividende_je_Aktie!A$3:AM$103,8,FALSE)&lt;&gt;"",VLOOKUP(A10,Dividende_je_Aktie!A$3:AM$103,8,FALSE)/VLOOKUP(A10,Schlußkurse!A$5:AU$105,36,FALSE),""),"")</f>
        <v>3.9059913935782849E-2</v>
      </c>
      <c r="E10" s="71">
        <f>IF(VLOOKUP(A10,Schlußkurse!A$5:AU$105,37,FALSE)&gt;0,IF(VLOOKUP(A10,Dividende_je_Aktie!A$3:AM$103,9,FALSE)&lt;&gt;"",VLOOKUP(A10,Dividende_je_Aktie!A$3:AM$103,9,FALSE)/VLOOKUP(A10,Schlußkurse!A$5:AU$105,37,FALSE),""),"")</f>
        <v>3.2953864589574597E-2</v>
      </c>
      <c r="F10" s="71">
        <f>IF(VLOOKUP(A10,Schlußkurse!A$5:AU$105,38,FALSE)&gt;0,IF(VLOOKUP(A10,Dividende_je_Aktie!A$3:AM$103,10,FALSE)&lt;&gt;"",VLOOKUP(A10,Dividende_je_Aktie!A$3:AM$103,10,FALSE)/VLOOKUP(A10,Schlußkurse!A$5:AU$105,38,FALSE),""),"")</f>
        <v>3.7735849056603772E-2</v>
      </c>
      <c r="G10" s="71">
        <f>IF(VLOOKUP(A10,Schlußkurse!A$5:AU$105,39,FALSE)&gt;0,IF(VLOOKUP(A10,Dividende_je_Aktie!A$3:AM$103,11,FALSE)&lt;&gt;"",VLOOKUP(A10,Dividende_je_Aktie!A$3:AM$103,11,FALSE)/VLOOKUP(A10,Schlußkurse!A$5:AU$105,39,FALSE),""),"")</f>
        <v>4.0225261464199517E-2</v>
      </c>
      <c r="H10" s="71">
        <f>IF(VLOOKUP(A10,Schlußkurse!A$5:AU$105,40,FALSE)&gt;0,IF(VLOOKUP(A10,Dividende_je_Aktie!A$3:AM$103,12,FALSE)&lt;&gt;"",VLOOKUP(A10,Dividende_je_Aktie!A$3:AM$103,12,FALSE)/VLOOKUP(A10,Schlußkurse!A$5:AU$105,40,FALSE),""),"")</f>
        <v>8.144269924374635E-2</v>
      </c>
      <c r="I10" s="71">
        <f>IF(VLOOKUP(A10,Schlußkurse!A$5:AU$105,41,FALSE)&gt;0,IF(VLOOKUP(A10,Dividende_je_Aktie!A$3:AM$103,13,FALSE)&lt;&gt;"",VLOOKUP(A10,Dividende_je_Aktie!A$3:AM$103,13,FALSE)/VLOOKUP(A10,Schlußkurse!A$5:AU$105,41,FALSE),""),"")</f>
        <v>7.8962210941906363E-2</v>
      </c>
      <c r="J10" s="71">
        <f>IF(VLOOKUP(A10,Schlußkurse!A$5:AU$105,42,FALSE)&gt;0,IF(VLOOKUP(A10,Dividende_je_Aktie!A$3:AM$103,14,FALSE)&lt;&gt;"",VLOOKUP(A10,Dividende_je_Aktie!A$3:AM$103,14,FALSE)/VLOOKUP(A10,Schlußkurse!A$5:AU$105,42,FALSE),""),"")</f>
        <v>7.2501294665976185E-2</v>
      </c>
      <c r="K10" s="71">
        <f>IF(VLOOKUP(A10,Schlußkurse!A$5:AU$105,43,FALSE)&gt;0,IF(VLOOKUP(A10,Dividende_je_Aktie!A$3:AM$103,15,FALSE)&lt;&gt;"",VLOOKUP(A10,Dividende_je_Aktie!A$3:AM$103,15,FALSE)/VLOOKUP(A10,Schlußkurse!A$5:AU$105,43,FALSE),""),"")</f>
        <v>7.5801749271137031E-2</v>
      </c>
      <c r="L10" s="71">
        <f>IF(VLOOKUP(A10,Schlußkurse!A$5:AU$105,44,FALSE)&gt;0,IF(VLOOKUP(A10,Dividende_je_Aktie!A$3:AM$103,16,FALSE)&lt;&gt;"",VLOOKUP(A10,Dividende_je_Aktie!A$3:AM$103,16,FALSE)/VLOOKUP(A10,Schlußkurse!A$5:AU$105,44,FALSE),""),"")</f>
        <v>7.2558139534883728E-2</v>
      </c>
      <c r="M10" s="71">
        <f>IF(VLOOKUP(A10,Schlußkurse!A$5:AU$105,45,FALSE)&gt;0,IF(VLOOKUP(A10,Dividende_je_Aktie!A$3:AM$103,17,FALSE)&lt;&gt;"",VLOOKUP(A10,Dividende_je_Aktie!A$3:AM$103,17,FALSE)/VLOOKUP(A10,Schlußkurse!A$5:AU$105,45,FALSE),""),"")</f>
        <v>5.1930758988015982E-2</v>
      </c>
      <c r="N10" s="71">
        <f>IF(VLOOKUP(A10,Schlußkurse!A$5:AU$105,46,FALSE)&gt;0,IF(VLOOKUP(A10,Dividende_je_Aktie!A$3:AM$103,18,FALSE)&lt;&gt;"",VLOOKUP(A10,Dividende_je_Aktie!A$3:AM$103,18,FALSE)/VLOOKUP(A10,Schlußkurse!A$5:AU$105,46,FALSE),""),"")</f>
        <v>5.2023121387283239E-2</v>
      </c>
      <c r="O10" s="71">
        <f>IF(VLOOKUP(A10,Schlußkurse!A$5:AU$105,47,FALSE)&gt;0,IF(VLOOKUP(A10,Dividende_je_Aktie!A$3:AM$103,19,FALSE)&lt;&gt;"",VLOOKUP(A10,Dividende_je_Aktie!A$3:AM$103,19,FALSE)/VLOOKUP(A10,Schlußkurse!A$5:AU$105,47,FALSE),""),"")</f>
        <v>5.1136363636363633E-2</v>
      </c>
      <c r="P10" s="71">
        <f t="shared" si="0"/>
        <v>5.6104871945291804E-2</v>
      </c>
      <c r="Q10" s="5">
        <f ca="1">VLOOKUP(A10,Dividende_je_Aktie!A$3:AM$103,24,FALSE)/VLOOKUP(A10,Schlußkurse!A$5:AU$105,35,FALSE)</f>
        <v>4.0251572327044023E-2</v>
      </c>
      <c r="R10" s="5">
        <f t="shared" ca="1" si="1"/>
        <v>-0.28256547192027148</v>
      </c>
    </row>
    <row r="11" spans="1:18">
      <c r="A11" t="s">
        <v>312</v>
      </c>
      <c r="B11" s="38" t="s">
        <v>313</v>
      </c>
      <c r="C11" s="71">
        <f>IF(VLOOKUP(A11,Schlußkurse!A$5:AU$105,35,FALSE)&gt;0,IF(VLOOKUP(A11,Dividende_je_Aktie!A$3:AM$103,7,FALSE)&lt;&gt;"",VLOOKUP(A11,Dividende_je_Aktie!A$3:AM$103,7,FALSE)/VLOOKUP(A11,Schlußkurse!A$5:AU$105,35,FALSE),""),"")</f>
        <v>1.1363636363636364E-2</v>
      </c>
      <c r="D11" s="71">
        <f>IF(VLOOKUP(A11,Schlußkurse!A$5:AU$105,36,FALSE)&gt;0,IF(VLOOKUP(A11,Dividende_je_Aktie!A$3:AM$103,8,FALSE)&lt;&gt;"",VLOOKUP(A11,Dividende_je_Aktie!A$3:AM$103,8,FALSE)/VLOOKUP(A11,Schlußkurse!A$5:AU$105,36,FALSE),""),"")</f>
        <v>1.0416666666666668E-2</v>
      </c>
      <c r="E11" s="71">
        <f>IF(VLOOKUP(A11,Schlußkurse!A$5:AU$105,37,FALSE)&gt;0,IF(VLOOKUP(A11,Dividende_je_Aktie!A$3:AM$103,9,FALSE)&lt;&gt;"",VLOOKUP(A11,Dividende_je_Aktie!A$3:AM$103,9,FALSE)/VLOOKUP(A11,Schlußkurse!A$5:AU$105,37,FALSE),""),"")</f>
        <v>8.337122934667273E-3</v>
      </c>
      <c r="F11" s="71">
        <f>IF(VLOOKUP(A11,Schlußkurse!A$5:AU$105,38,FALSE)&gt;0,IF(VLOOKUP(A11,Dividende_je_Aktie!A$3:AM$103,10,FALSE)&lt;&gt;"",VLOOKUP(A11,Dividende_je_Aktie!A$3:AM$103,10,FALSE)/VLOOKUP(A11,Schlußkurse!A$5:AU$105,38,FALSE),""),"")</f>
        <v>1.0194624652455979E-2</v>
      </c>
      <c r="G11" s="71">
        <f>IF(VLOOKUP(A11,Schlußkurse!A$5:AU$105,39,FALSE)&gt;0,IF(VLOOKUP(A11,Dividende_je_Aktie!A$3:AM$103,11,FALSE)&lt;&gt;"",VLOOKUP(A11,Dividende_je_Aktie!A$3:AM$103,11,FALSE)/VLOOKUP(A11,Schlußkurse!A$5:AU$105,39,FALSE),""),"")</f>
        <v>1.1290322580645161E-2</v>
      </c>
      <c r="H11" s="71">
        <f>IF(VLOOKUP(A11,Schlußkurse!A$5:AU$105,40,FALSE)&gt;0,IF(VLOOKUP(A11,Dividende_je_Aktie!A$3:AM$103,12,FALSE)&lt;&gt;"",VLOOKUP(A11,Dividende_je_Aktie!A$3:AM$103,12,FALSE)/VLOOKUP(A11,Schlußkurse!A$5:AU$105,40,FALSE),""),"")</f>
        <v>1.274398707690824E-2</v>
      </c>
      <c r="I11" s="71">
        <f>IF(VLOOKUP(A11,Schlußkurse!A$5:AU$105,41,FALSE)&gt;0,IF(VLOOKUP(A11,Dividende_je_Aktie!A$3:AM$103,13,FALSE)&lt;&gt;"",VLOOKUP(A11,Dividende_je_Aktie!A$3:AM$103,13,FALSE)/VLOOKUP(A11,Schlußkurse!A$5:AU$105,41,FALSE),""),"")</f>
        <v>1.3430311373375248E-2</v>
      </c>
      <c r="J11" s="71">
        <f>IF(VLOOKUP(A11,Schlußkurse!A$5:AU$105,42,FALSE)&gt;0,IF(VLOOKUP(A11,Dividende_je_Aktie!A$3:AM$103,14,FALSE)&lt;&gt;"",VLOOKUP(A11,Dividende_je_Aktie!A$3:AM$103,14,FALSE)/VLOOKUP(A11,Schlußkurse!A$5:AU$105,42,FALSE),""),"")</f>
        <v>1.3864519737817152E-2</v>
      </c>
      <c r="K11" s="71">
        <f>IF(VLOOKUP(A11,Schlußkurse!A$5:AU$105,43,FALSE)&gt;0,IF(VLOOKUP(A11,Dividende_je_Aktie!A$3:AM$103,15,FALSE)&lt;&gt;"",VLOOKUP(A11,Dividende_je_Aktie!A$3:AM$103,15,FALSE)/VLOOKUP(A11,Schlußkurse!A$5:AU$105,43,FALSE),""),"")</f>
        <v>1.7261259519584626E-2</v>
      </c>
      <c r="L11" s="71">
        <f>IF(VLOOKUP(A11,Schlußkurse!A$5:AU$105,44,FALSE)&gt;0,IF(VLOOKUP(A11,Dividende_je_Aktie!A$3:AM$103,16,FALSE)&lt;&gt;"",VLOOKUP(A11,Dividende_je_Aktie!A$3:AM$103,16,FALSE)/VLOOKUP(A11,Schlußkurse!A$5:AU$105,44,FALSE),""),"")</f>
        <v>1.9044937772735929E-2</v>
      </c>
      <c r="M11" s="71">
        <f>IF(VLOOKUP(A11,Schlußkurse!A$5:AU$105,45,FALSE)&gt;0,IF(VLOOKUP(A11,Dividende_je_Aktie!A$3:AM$103,17,FALSE)&lt;&gt;"",VLOOKUP(A11,Dividende_je_Aktie!A$3:AM$103,17,FALSE)/VLOOKUP(A11,Schlußkurse!A$5:AU$105,45,FALSE),""),"")</f>
        <v>1.1785693239833502E-2</v>
      </c>
      <c r="N11" s="71">
        <f>IF(VLOOKUP(A11,Schlußkurse!A$5:AU$105,46,FALSE)&gt;0,IF(VLOOKUP(A11,Dividende_je_Aktie!A$3:AM$103,18,FALSE)&lt;&gt;"",VLOOKUP(A11,Dividende_je_Aktie!A$3:AM$103,18,FALSE)/VLOOKUP(A11,Schlußkurse!A$5:AU$105,46,FALSE),""),"")</f>
        <v>1.1271482555897655E-2</v>
      </c>
      <c r="O11" s="71">
        <f>IF(VLOOKUP(A11,Schlußkurse!A$5:AU$105,47,FALSE)&gt;0,IF(VLOOKUP(A11,Dividende_je_Aktie!A$3:AM$103,19,FALSE)&lt;&gt;"",VLOOKUP(A11,Dividende_je_Aktie!A$3:AM$103,19,FALSE)/VLOOKUP(A11,Schlußkurse!A$5:AU$105,47,FALSE),""),"")</f>
        <v>1.358488002852825E-2</v>
      </c>
      <c r="P11" s="71">
        <f t="shared" si="0"/>
        <v>1.2660726500211697E-2</v>
      </c>
      <c r="Q11" s="5">
        <f ca="1">VLOOKUP(A11,Dividende_je_Aktie!A$3:AM$103,24,FALSE)/VLOOKUP(A11,Schlußkurse!A$5:AU$105,35,FALSE)</f>
        <v>1.0700757575757577E-2</v>
      </c>
      <c r="R11" s="5">
        <f t="shared" ca="1" si="1"/>
        <v>-0.15480698713627117</v>
      </c>
    </row>
    <row r="12" spans="1:18">
      <c r="A12" t="s">
        <v>14</v>
      </c>
      <c r="B12" s="38" t="s">
        <v>15</v>
      </c>
      <c r="C12" s="71">
        <f>IF(VLOOKUP(A12,Schlußkurse!A$5:AU$105,35,FALSE)&gt;0,IF(VLOOKUP(A12,Dividende_je_Aktie!A$3:AM$103,7,FALSE)&lt;&gt;"",VLOOKUP(A12,Dividende_je_Aktie!A$3:AM$103,7,FALSE)/VLOOKUP(A12,Schlußkurse!A$5:AU$105,35,FALSE),""),"")</f>
        <v>2.0293289882980299E-2</v>
      </c>
      <c r="D12" s="71">
        <f>IF(VLOOKUP(A12,Schlußkurse!A$5:AU$105,36,FALSE)&gt;0,IF(VLOOKUP(A12,Dividende_je_Aktie!A$3:AM$103,8,FALSE)&lt;&gt;"",VLOOKUP(A12,Dividende_je_Aktie!A$3:AM$103,8,FALSE)/VLOOKUP(A12,Schlußkurse!A$5:AU$105,36,FALSE),""),"")</f>
        <v>1.8812027847726263E-2</v>
      </c>
      <c r="E12" s="71">
        <f>IF(VLOOKUP(A12,Schlußkurse!A$5:AU$105,37,FALSE)&gt;0,IF(VLOOKUP(A12,Dividende_je_Aktie!A$3:AM$103,9,FALSE)&lt;&gt;"",VLOOKUP(A12,Dividende_je_Aktie!A$3:AM$103,9,FALSE)/VLOOKUP(A12,Schlußkurse!A$5:AU$105,37,FALSE),""),"")</f>
        <v>1.567184518942491E-2</v>
      </c>
      <c r="F12" s="71">
        <f>IF(VLOOKUP(A12,Schlußkurse!A$5:AU$105,38,FALSE)&gt;0,IF(VLOOKUP(A12,Dividende_je_Aktie!A$3:AM$103,10,FALSE)&lt;&gt;"",VLOOKUP(A12,Dividende_je_Aktie!A$3:AM$103,10,FALSE)/VLOOKUP(A12,Schlußkurse!A$5:AU$105,38,FALSE),""),"")</f>
        <v>1.8880878819086854E-2</v>
      </c>
      <c r="G12" s="71">
        <f>IF(VLOOKUP(A12,Schlußkurse!A$5:AU$105,39,FALSE)&gt;0,IF(VLOOKUP(A12,Dividende_je_Aktie!A$3:AM$103,11,FALSE)&lt;&gt;"",VLOOKUP(A12,Dividende_je_Aktie!A$3:AM$103,11,FALSE)/VLOOKUP(A12,Schlußkurse!A$5:AU$105,39,FALSE),""),"")</f>
        <v>1.6048788316482106E-2</v>
      </c>
      <c r="H12" s="71">
        <f>IF(VLOOKUP(A12,Schlußkurse!A$5:AU$105,40,FALSE)&gt;0,IF(VLOOKUP(A12,Dividende_je_Aktie!A$3:AM$103,12,FALSE)&lt;&gt;"",VLOOKUP(A12,Dividende_je_Aktie!A$3:AM$103,12,FALSE)/VLOOKUP(A12,Schlußkurse!A$5:AU$105,40,FALSE),""),"")</f>
        <v>1.4005602240896359E-2</v>
      </c>
      <c r="I12" s="71">
        <f>IF(VLOOKUP(A12,Schlußkurse!A$5:AU$105,41,FALSE)&gt;0,IF(VLOOKUP(A12,Dividende_je_Aktie!A$3:AM$103,13,FALSE)&lt;&gt;"",VLOOKUP(A12,Dividende_je_Aktie!A$3:AM$103,13,FALSE)/VLOOKUP(A12,Schlußkurse!A$5:AU$105,41,FALSE),""),"")</f>
        <v>1.8359853121175031E-2</v>
      </c>
      <c r="J12" s="71">
        <f>IF(VLOOKUP(A12,Schlußkurse!A$5:AU$105,42,FALSE)&gt;0,IF(VLOOKUP(A12,Dividende_je_Aktie!A$3:AM$103,14,FALSE)&lt;&gt;"",VLOOKUP(A12,Dividende_je_Aktie!A$3:AM$103,14,FALSE)/VLOOKUP(A12,Schlußkurse!A$5:AU$105,42,FALSE),""),"")</f>
        <v>1.5748031496062992E-2</v>
      </c>
      <c r="K12" s="71">
        <f>IF(VLOOKUP(A12,Schlußkurse!A$5:AU$105,43,FALSE)&gt;0,IF(VLOOKUP(A12,Dividende_je_Aktie!A$3:AM$103,15,FALSE)&lt;&gt;"",VLOOKUP(A12,Dividende_je_Aktie!A$3:AM$103,15,FALSE)/VLOOKUP(A12,Schlußkurse!A$5:AU$105,43,FALSE),""),"")</f>
        <v>1.5151515151515152E-2</v>
      </c>
      <c r="L12" s="71">
        <f>IF(VLOOKUP(A12,Schlußkurse!A$5:AU$105,44,FALSE)&gt;0,IF(VLOOKUP(A12,Dividende_je_Aktie!A$3:AM$103,16,FALSE)&lt;&gt;"",VLOOKUP(A12,Dividende_je_Aktie!A$3:AM$103,16,FALSE)/VLOOKUP(A12,Schlußkurse!A$5:AU$105,44,FALSE),""),"")</f>
        <v>1.9809825673534075E-2</v>
      </c>
      <c r="M12" s="71">
        <f>IF(VLOOKUP(A12,Schlußkurse!A$5:AU$105,45,FALSE)&gt;0,IF(VLOOKUP(A12,Dividende_je_Aktie!A$3:AM$103,17,FALSE)&lt;&gt;"",VLOOKUP(A12,Dividende_je_Aktie!A$3:AM$103,17,FALSE)/VLOOKUP(A12,Schlußkurse!A$5:AU$105,45,FALSE),""),"")</f>
        <v>1.4072614691809739E-2</v>
      </c>
      <c r="N12" s="71">
        <f>IF(VLOOKUP(A12,Schlußkurse!A$5:AU$105,46,FALSE)&gt;0,IF(VLOOKUP(A12,Dividende_je_Aktie!A$3:AM$103,18,FALSE)&lt;&gt;"",VLOOKUP(A12,Dividende_je_Aktie!A$3:AM$103,18,FALSE)/VLOOKUP(A12,Schlußkurse!A$5:AU$105,46,FALSE),""),"")</f>
        <v>1.1425732737208148E-2</v>
      </c>
      <c r="O12" s="71">
        <f>IF(VLOOKUP(A12,Schlußkurse!A$5:AU$105,47,FALSE)&gt;0,IF(VLOOKUP(A12,Dividende_je_Aktie!A$3:AM$103,19,FALSE)&lt;&gt;"",VLOOKUP(A12,Dividende_je_Aktie!A$3:AM$103,19,FALSE)/VLOOKUP(A12,Schlußkurse!A$5:AU$105,47,FALSE),""),"")</f>
        <v>9.4019326194828938E-3</v>
      </c>
      <c r="P12" s="71">
        <f t="shared" si="0"/>
        <v>1.5975533675952676E-2</v>
      </c>
      <c r="Q12" s="5">
        <f ca="1">VLOOKUP(A12,Dividende_je_Aktie!A$3:AM$103,24,FALSE)/VLOOKUP(A12,Schlußkurse!A$5:AU$105,35,FALSE)</f>
        <v>1.9256406458302473E-2</v>
      </c>
      <c r="R12" s="5">
        <f t="shared" ca="1" si="1"/>
        <v>0.2053685872972344</v>
      </c>
    </row>
    <row r="13" spans="1:18">
      <c r="A13" t="s">
        <v>16</v>
      </c>
      <c r="B13" s="38" t="s">
        <v>17</v>
      </c>
      <c r="C13" s="71">
        <f>IF(VLOOKUP(A13,Schlußkurse!A$5:AU$105,35,FALSE)&gt;0,IF(VLOOKUP(A13,Dividende_je_Aktie!A$3:AM$103,7,FALSE)&lt;&gt;"",VLOOKUP(A13,Dividende_je_Aktie!A$3:AM$103,7,FALSE)/VLOOKUP(A13,Schlußkurse!A$5:AU$105,35,FALSE),""),"")</f>
        <v>4.280112044817927E-2</v>
      </c>
      <c r="D13" s="71">
        <f>IF(VLOOKUP(A13,Schlußkurse!A$5:AU$105,36,FALSE)&gt;0,IF(VLOOKUP(A13,Dividende_je_Aktie!A$3:AM$103,8,FALSE)&lt;&gt;"",VLOOKUP(A13,Dividende_je_Aktie!A$3:AM$103,8,FALSE)/VLOOKUP(A13,Schlußkurse!A$5:AU$105,36,FALSE),""),"")</f>
        <v>4.0448179271708684E-2</v>
      </c>
      <c r="E13" s="71">
        <f>IF(VLOOKUP(A13,Schlußkurse!A$5:AU$105,37,FALSE)&gt;0,IF(VLOOKUP(A13,Dividende_je_Aktie!A$3:AM$103,9,FALSE)&lt;&gt;"",VLOOKUP(A13,Dividende_je_Aktie!A$3:AM$103,9,FALSE)/VLOOKUP(A13,Schlußkurse!A$5:AU$105,37,FALSE),""),"")</f>
        <v>4.3782837127845885E-2</v>
      </c>
      <c r="F13" s="71">
        <f>IF(VLOOKUP(A13,Schlußkurse!A$5:AU$105,38,FALSE)&gt;0,IF(VLOOKUP(A13,Dividende_je_Aktie!A$3:AM$103,10,FALSE)&lt;&gt;"",VLOOKUP(A13,Dividende_je_Aktie!A$3:AM$103,10,FALSE)/VLOOKUP(A13,Schlußkurse!A$5:AU$105,38,FALSE),""),"")</f>
        <v>3.496874006569884E-2</v>
      </c>
      <c r="G13" s="71">
        <f>IF(VLOOKUP(A13,Schlußkurse!A$5:AU$105,39,FALSE)&gt;0,IF(VLOOKUP(A13,Dividende_je_Aktie!A$3:AM$103,11,FALSE)&lt;&gt;"",VLOOKUP(A13,Dividende_je_Aktie!A$3:AM$103,11,FALSE)/VLOOKUP(A13,Schlußkurse!A$5:AU$105,39,FALSE),""),"")</f>
        <v>3.368515607455648E-2</v>
      </c>
      <c r="H13" s="71">
        <f>IF(VLOOKUP(A13,Schlußkurse!A$5:AU$105,40,FALSE)&gt;0,IF(VLOOKUP(A13,Dividende_je_Aktie!A$3:AM$103,12,FALSE)&lt;&gt;"",VLOOKUP(A13,Dividende_je_Aktie!A$3:AM$103,12,FALSE)/VLOOKUP(A13,Schlußkurse!A$5:AU$105,40,FALSE),""),"")</f>
        <v>3.8654812524159261E-2</v>
      </c>
      <c r="I13" s="71">
        <f>IF(VLOOKUP(A13,Schlußkurse!A$5:AU$105,41,FALSE)&gt;0,IF(VLOOKUP(A13,Dividende_je_Aktie!A$3:AM$103,13,FALSE)&lt;&gt;"",VLOOKUP(A13,Dividende_je_Aktie!A$3:AM$103,13,FALSE)/VLOOKUP(A13,Schlußkurse!A$5:AU$105,41,FALSE),""),"")</f>
        <v>4.4039929536112736E-2</v>
      </c>
      <c r="J13" s="71">
        <f>IF(VLOOKUP(A13,Schlußkurse!A$5:AU$105,42,FALSE)&gt;0,IF(VLOOKUP(A13,Dividende_je_Aktie!A$3:AM$103,14,FALSE)&lt;&gt;"",VLOOKUP(A13,Dividende_je_Aktie!A$3:AM$103,14,FALSE)/VLOOKUP(A13,Schlußkurse!A$5:AU$105,42,FALSE),""),"")</f>
        <v>3.487020534676482E-2</v>
      </c>
      <c r="K13" s="71">
        <f>IF(VLOOKUP(A13,Schlußkurse!A$5:AU$105,43,FALSE)&gt;0,IF(VLOOKUP(A13,Dividende_je_Aktie!A$3:AM$103,15,FALSE)&lt;&gt;"",VLOOKUP(A13,Dividende_je_Aktie!A$3:AM$103,15,FALSE)/VLOOKUP(A13,Schlußkurse!A$5:AU$105,43,FALSE),""),"")</f>
        <v>2.5284450063211127E-2</v>
      </c>
      <c r="L13" s="71">
        <f>IF(VLOOKUP(A13,Schlußkurse!A$5:AU$105,44,FALSE)&gt;0,IF(VLOOKUP(A13,Dividende_je_Aktie!A$3:AM$103,16,FALSE)&lt;&gt;"",VLOOKUP(A13,Dividende_je_Aktie!A$3:AM$103,16,FALSE)/VLOOKUP(A13,Schlußkurse!A$5:AU$105,44,FALSE),""),"")</f>
        <v>2.4334600760456276E-2</v>
      </c>
      <c r="M13" s="71">
        <f>IF(VLOOKUP(A13,Schlußkurse!A$5:AU$105,45,FALSE)&gt;0,IF(VLOOKUP(A13,Dividende_je_Aktie!A$3:AM$103,17,FALSE)&lt;&gt;"",VLOOKUP(A13,Dividende_je_Aktie!A$3:AM$103,17,FALSE)/VLOOKUP(A13,Schlußkurse!A$5:AU$105,45,FALSE),""),"")</f>
        <v>1.6594067620825555E-2</v>
      </c>
      <c r="N13" s="71">
        <f>IF(VLOOKUP(A13,Schlußkurse!A$5:AU$105,46,FALSE)&gt;0,IF(VLOOKUP(A13,Dividende_je_Aktie!A$3:AM$103,18,FALSE)&lt;&gt;"",VLOOKUP(A13,Dividende_je_Aktie!A$3:AM$103,18,FALSE)/VLOOKUP(A13,Schlußkurse!A$5:AU$105,46,FALSE),""),"")</f>
        <v>2.1075581395348836E-2</v>
      </c>
      <c r="O13" s="71">
        <f>IF(VLOOKUP(A13,Schlußkurse!A$5:AU$105,47,FALSE)&gt;0,IF(VLOOKUP(A13,Dividende_je_Aktie!A$3:AM$103,19,FALSE)&lt;&gt;"",VLOOKUP(A13,Dividende_je_Aktie!A$3:AM$103,19,FALSE)/VLOOKUP(A13,Schlußkurse!A$5:AU$105,47,FALSE),""),"")</f>
        <v>2.1060842433697352E-2</v>
      </c>
      <c r="P13" s="71">
        <f t="shared" si="0"/>
        <v>3.243080943604347E-2</v>
      </c>
      <c r="Q13" s="5">
        <f ca="1">VLOOKUP(A13,Dividende_je_Aktie!A$3:AM$103,24,FALSE)/VLOOKUP(A13,Schlußkurse!A$5:AU$105,35,FALSE)</f>
        <v>4.1748832866479929E-2</v>
      </c>
      <c r="R13" s="5">
        <f t="shared" ca="1" si="1"/>
        <v>0.28732010062260249</v>
      </c>
    </row>
    <row r="14" spans="1:18">
      <c r="A14" t="s">
        <v>18</v>
      </c>
      <c r="B14" s="38" t="s">
        <v>19</v>
      </c>
      <c r="C14" s="71">
        <f>IF(VLOOKUP(A14,Schlußkurse!A$5:AU$105,35,FALSE)&gt;0,IF(VLOOKUP(A14,Dividende_je_Aktie!A$3:AM$103,7,FALSE)&lt;&gt;"",VLOOKUP(A14,Dividende_je_Aktie!A$3:AM$103,7,FALSE)/VLOOKUP(A14,Schlußkurse!A$5:AU$105,35,FALSE),""),"")</f>
        <v>5.5795536357091433E-2</v>
      </c>
      <c r="D14" s="71">
        <f>IF(VLOOKUP(A14,Schlußkurse!A$5:AU$105,36,FALSE)&gt;0,IF(VLOOKUP(A14,Dividende_je_Aktie!A$3:AM$103,8,FALSE)&lt;&gt;"",VLOOKUP(A14,Dividende_je_Aktie!A$3:AM$103,8,FALSE)/VLOOKUP(A14,Schlußkurse!A$5:AU$105,36,FALSE),""),"")</f>
        <v>5.4571634269258457E-2</v>
      </c>
      <c r="E14" s="71">
        <f>IF(VLOOKUP(A14,Schlußkurse!A$5:AU$105,37,FALSE)&gt;0,IF(VLOOKUP(A14,Dividende_je_Aktie!A$3:AM$103,9,FALSE)&lt;&gt;"",VLOOKUP(A14,Dividende_je_Aktie!A$3:AM$103,9,FALSE)/VLOOKUP(A14,Schlußkurse!A$5:AU$105,37,FALSE),""),"")</f>
        <v>4.4634668297156829E-2</v>
      </c>
      <c r="F14" s="71">
        <f>IF(VLOOKUP(A14,Schlußkurse!A$5:AU$105,38,FALSE)&gt;0,IF(VLOOKUP(A14,Dividende_je_Aktie!A$3:AM$103,10,FALSE)&lt;&gt;"",VLOOKUP(A14,Dividende_je_Aktie!A$3:AM$103,10,FALSE)/VLOOKUP(A14,Schlußkurse!A$5:AU$105,38,FALSE),""),"")</f>
        <v>4.9872588278121584E-2</v>
      </c>
      <c r="G14" s="71">
        <f>IF(VLOOKUP(A14,Schlußkurse!A$5:AU$105,39,FALSE)&gt;0,IF(VLOOKUP(A14,Dividende_je_Aktie!A$3:AM$103,11,FALSE)&lt;&gt;"",VLOOKUP(A14,Dividende_je_Aktie!A$3:AM$103,11,FALSE)/VLOOKUP(A14,Schlußkurse!A$5:AU$105,39,FALSE),""),"")</f>
        <v>4.0659762178749524E-2</v>
      </c>
      <c r="H14" s="71">
        <f>IF(VLOOKUP(A14,Schlußkurse!A$5:AU$105,40,FALSE)&gt;0,IF(VLOOKUP(A14,Dividende_je_Aktie!A$3:AM$103,12,FALSE)&lt;&gt;"",VLOOKUP(A14,Dividende_je_Aktie!A$3:AM$103,12,FALSE)/VLOOKUP(A14,Schlußkurse!A$5:AU$105,40,FALSE),""),"")</f>
        <v>4.2938931297709926E-2</v>
      </c>
      <c r="I14" s="71">
        <f>IF(VLOOKUP(A14,Schlußkurse!A$5:AU$105,41,FALSE)&gt;0,IF(VLOOKUP(A14,Dividende_je_Aktie!A$3:AM$103,13,FALSE)&lt;&gt;"",VLOOKUP(A14,Dividende_je_Aktie!A$3:AM$103,13,FALSE)/VLOOKUP(A14,Schlußkurse!A$5:AU$105,41,FALSE),""),"")</f>
        <v>6.0884859964822083E-2</v>
      </c>
      <c r="J14" s="71">
        <f>IF(VLOOKUP(A14,Schlußkurse!A$5:AU$105,42,FALSE)&gt;0,IF(VLOOKUP(A14,Dividende_je_Aktie!A$3:AM$103,14,FALSE)&lt;&gt;"",VLOOKUP(A14,Dividende_je_Aktie!A$3:AM$103,14,FALSE)/VLOOKUP(A14,Schlußkurse!A$5:AU$105,42,FALSE),""),"")</f>
        <v>5.0601596761497801E-2</v>
      </c>
      <c r="K14" s="71">
        <f>IF(VLOOKUP(A14,Schlußkurse!A$5:AU$105,43,FALSE)&gt;0,IF(VLOOKUP(A14,Dividende_je_Aktie!A$3:AM$103,15,FALSE)&lt;&gt;"",VLOOKUP(A14,Dividende_je_Aktie!A$3:AM$103,15,FALSE)/VLOOKUP(A14,Schlußkurse!A$5:AU$105,43,FALSE),""),"")</f>
        <v>4.7045324153757881E-2</v>
      </c>
      <c r="L14" s="71">
        <f>IF(VLOOKUP(A14,Schlußkurse!A$5:AU$105,44,FALSE)&gt;0,IF(VLOOKUP(A14,Dividende_je_Aktie!A$3:AM$103,16,FALSE)&lt;&gt;"",VLOOKUP(A14,Dividende_je_Aktie!A$3:AM$103,16,FALSE)/VLOOKUP(A14,Schlußkurse!A$5:AU$105,44,FALSE),""),"")</f>
        <v>4.6666666666666669E-2</v>
      </c>
      <c r="M14" s="71">
        <f>IF(VLOOKUP(A14,Schlußkurse!A$5:AU$105,45,FALSE)&gt;0,IF(VLOOKUP(A14,Dividende_je_Aktie!A$3:AM$103,17,FALSE)&lt;&gt;"",VLOOKUP(A14,Dividende_je_Aktie!A$3:AM$103,17,FALSE)/VLOOKUP(A14,Schlußkurse!A$5:AU$105,45,FALSE),""),"")</f>
        <v>3.717472118959108E-2</v>
      </c>
      <c r="N14" s="71">
        <f>IF(VLOOKUP(A14,Schlußkurse!A$5:AU$105,46,FALSE)&gt;0,IF(VLOOKUP(A14,Dividende_je_Aktie!A$3:AM$103,18,FALSE)&lt;&gt;"",VLOOKUP(A14,Dividende_je_Aktie!A$3:AM$103,18,FALSE)/VLOOKUP(A14,Schlußkurse!A$5:AU$105,46,FALSE),""),"")</f>
        <v>2.4554148358749032E-2</v>
      </c>
      <c r="O14" s="71">
        <f>IF(VLOOKUP(A14,Schlußkurse!A$5:AU$105,47,FALSE)&gt;0,IF(VLOOKUP(A14,Dividende_je_Aktie!A$3:AM$103,19,FALSE)&lt;&gt;"",VLOOKUP(A14,Dividende_je_Aktie!A$3:AM$103,19,FALSE)/VLOOKUP(A14,Schlußkurse!A$5:AU$105,47,FALSE),""),"")</f>
        <v>1.5632327653587619E-2</v>
      </c>
      <c r="P14" s="71">
        <f t="shared" si="0"/>
        <v>4.3925597340519991E-2</v>
      </c>
      <c r="Q14" s="5">
        <f ca="1">VLOOKUP(A14,Dividende_je_Aktie!A$3:AM$103,24,FALSE)/VLOOKUP(A14,Schlußkurse!A$5:AU$105,35,FALSE)</f>
        <v>5.4938804895608352E-2</v>
      </c>
      <c r="R14" s="5">
        <f t="shared" ca="1" si="1"/>
        <v>0.2507241385862502</v>
      </c>
    </row>
    <row r="15" spans="1:18">
      <c r="A15" t="s">
        <v>20</v>
      </c>
      <c r="B15" s="38" t="s">
        <v>21</v>
      </c>
      <c r="C15" s="71">
        <f>IF(VLOOKUP(A15,Schlußkurse!A$5:AU$105,35,FALSE)&gt;0,IF(VLOOKUP(A15,Dividende_je_Aktie!A$3:AM$103,7,FALSE)&lt;&gt;"",VLOOKUP(A15,Dividende_je_Aktie!A$3:AM$103,7,FALSE)/VLOOKUP(A15,Schlußkurse!A$5:AU$105,35,FALSE),""),"")</f>
        <v>4.9885583524027458E-2</v>
      </c>
      <c r="D15" s="71">
        <f>IF(VLOOKUP(A15,Schlußkurse!A$5:AU$105,36,FALSE)&gt;0,IF(VLOOKUP(A15,Dividende_je_Aktie!A$3:AM$103,8,FALSE)&lt;&gt;"",VLOOKUP(A15,Dividende_je_Aktie!A$3:AM$103,8,FALSE)/VLOOKUP(A15,Schlußkurse!A$5:AU$105,36,FALSE),""),"")</f>
        <v>4.8398169336384439E-2</v>
      </c>
      <c r="E15" s="71">
        <f>IF(VLOOKUP(A15,Schlußkurse!A$5:AU$105,37,FALSE)&gt;0,IF(VLOOKUP(A15,Dividende_je_Aktie!A$3:AM$103,9,FALSE)&lt;&gt;"",VLOOKUP(A15,Dividende_je_Aktie!A$3:AM$103,9,FALSE)/VLOOKUP(A15,Schlußkurse!A$5:AU$105,37,FALSE),""),"")</f>
        <v>4.4703332430235707E-2</v>
      </c>
      <c r="F15" s="71">
        <f>IF(VLOOKUP(A15,Schlußkurse!A$5:AU$105,38,FALSE)&gt;0,IF(VLOOKUP(A15,Dividende_je_Aktie!A$3:AM$103,10,FALSE)&lt;&gt;"",VLOOKUP(A15,Dividende_je_Aktie!A$3:AM$103,10,FALSE)/VLOOKUP(A15,Schlußkurse!A$5:AU$105,38,FALSE),""),"")</f>
        <v>4.6757164404223228E-2</v>
      </c>
      <c r="G15" s="71">
        <f>IF(VLOOKUP(A15,Schlußkurse!A$5:AU$105,39,FALSE)&gt;0,IF(VLOOKUP(A15,Dividende_je_Aktie!A$3:AM$103,11,FALSE)&lt;&gt;"",VLOOKUP(A15,Dividende_je_Aktie!A$3:AM$103,11,FALSE)/VLOOKUP(A15,Schlußkurse!A$5:AU$105,39,FALSE),""),"")</f>
        <v>4.5270059319388073E-2</v>
      </c>
      <c r="H15" s="71">
        <f>IF(VLOOKUP(A15,Schlußkurse!A$5:AU$105,40,FALSE)&gt;0,IF(VLOOKUP(A15,Dividende_je_Aktie!A$3:AM$103,12,FALSE)&lt;&gt;"",VLOOKUP(A15,Dividende_je_Aktie!A$3:AM$103,12,FALSE)/VLOOKUP(A15,Schlußkurse!A$5:AU$105,40,FALSE),""),"")</f>
        <v>5.1470588235294115E-2</v>
      </c>
      <c r="I15" s="71">
        <f>IF(VLOOKUP(A15,Schlußkurse!A$5:AU$105,41,FALSE)&gt;0,IF(VLOOKUP(A15,Dividende_je_Aktie!A$3:AM$103,13,FALSE)&lt;&gt;"",VLOOKUP(A15,Dividende_je_Aktie!A$3:AM$103,13,FALSE)/VLOOKUP(A15,Schlußkurse!A$5:AU$105,41,FALSE),""),"")</f>
        <v>6.5942181894914534E-2</v>
      </c>
      <c r="J15" s="71">
        <f>IF(VLOOKUP(A15,Schlußkurse!A$5:AU$105,42,FALSE)&gt;0,IF(VLOOKUP(A15,Dividende_je_Aktie!A$3:AM$103,14,FALSE)&lt;&gt;"",VLOOKUP(A15,Dividende_je_Aktie!A$3:AM$103,14,FALSE)/VLOOKUP(A15,Schlußkurse!A$5:AU$105,42,FALSE),""),"")</f>
        <v>5.509034817100044E-2</v>
      </c>
      <c r="K15" s="71">
        <f>IF(VLOOKUP(A15,Schlußkurse!A$5:AU$105,43,FALSE)&gt;0,IF(VLOOKUP(A15,Dividende_je_Aktie!A$3:AM$103,15,FALSE)&lt;&gt;"",VLOOKUP(A15,Dividende_je_Aktie!A$3:AM$103,15,FALSE)/VLOOKUP(A15,Schlußkurse!A$5:AU$105,43,FALSE),""),"")</f>
        <v>5.2912487347013898E-2</v>
      </c>
      <c r="L15" s="71">
        <f>IF(VLOOKUP(A15,Schlußkurse!A$5:AU$105,44,FALSE)&gt;0,IF(VLOOKUP(A15,Dividende_je_Aktie!A$3:AM$103,16,FALSE)&lt;&gt;"",VLOOKUP(A15,Dividende_je_Aktie!A$3:AM$103,16,FALSE)/VLOOKUP(A15,Schlußkurse!A$5:AU$105,44,FALSE),""),"")</f>
        <v>4.954954954954955E-2</v>
      </c>
      <c r="M15" s="71">
        <f>IF(VLOOKUP(A15,Schlußkurse!A$5:AU$105,45,FALSE)&gt;0,IF(VLOOKUP(A15,Dividende_je_Aktie!A$3:AM$103,17,FALSE)&lt;&gt;"",VLOOKUP(A15,Dividende_je_Aktie!A$3:AM$103,17,FALSE)/VLOOKUP(A15,Schlußkurse!A$5:AU$105,45,FALSE),""),"")</f>
        <v>4.137204754024372E-2</v>
      </c>
      <c r="N15" s="71">
        <f>IF(VLOOKUP(A15,Schlußkurse!A$5:AU$105,46,FALSE)&gt;0,IF(VLOOKUP(A15,Dividende_je_Aktie!A$3:AM$103,18,FALSE)&lt;&gt;"",VLOOKUP(A15,Dividende_je_Aktie!A$3:AM$103,18,FALSE)/VLOOKUP(A15,Schlußkurse!A$5:AU$105,46,FALSE),""),"")</f>
        <v>3.4503910443183565E-2</v>
      </c>
      <c r="O15" s="71">
        <f>IF(VLOOKUP(A15,Schlußkurse!A$5:AU$105,47,FALSE)&gt;0,IF(VLOOKUP(A15,Dividende_je_Aktie!A$3:AM$103,19,FALSE)&lt;&gt;"",VLOOKUP(A15,Dividende_je_Aktie!A$3:AM$103,19,FALSE)/VLOOKUP(A15,Schlußkurse!A$5:AU$105,47,FALSE),""),"")</f>
        <v>2.710264032173457E-2</v>
      </c>
      <c r="P15" s="71">
        <f t="shared" si="0"/>
        <v>4.7150620193630255E-2</v>
      </c>
      <c r="Q15" s="5">
        <f ca="1">VLOOKUP(A15,Dividende_je_Aktie!A$3:AM$103,24,FALSE)/VLOOKUP(A15,Schlußkurse!A$5:AU$105,35,FALSE)</f>
        <v>4.8844393592677345E-2</v>
      </c>
      <c r="R15" s="5">
        <f t="shared" ca="1" si="1"/>
        <v>3.5922611242257041E-2</v>
      </c>
    </row>
    <row r="16" spans="1:18">
      <c r="A16" t="s">
        <v>22</v>
      </c>
      <c r="B16" s="38" t="s">
        <v>23</v>
      </c>
      <c r="C16" s="71">
        <f>IF(VLOOKUP(A16,Schlußkurse!A$5:AU$105,35,FALSE)&gt;0,IF(VLOOKUP(A16,Dividende_je_Aktie!A$3:AM$103,7,FALSE)&lt;&gt;"",VLOOKUP(A16,Dividende_je_Aktie!A$3:AM$103,7,FALSE)/VLOOKUP(A16,Schlußkurse!A$5:AU$105,35,FALSE),""),"")</f>
        <v>4.8343636075447768E-2</v>
      </c>
      <c r="D16" s="71">
        <f>IF(VLOOKUP(A16,Schlußkurse!A$5:AU$105,36,FALSE)&gt;0,IF(VLOOKUP(A16,Dividende_je_Aktie!A$3:AM$103,8,FALSE)&lt;&gt;"",VLOOKUP(A16,Dividende_je_Aktie!A$3:AM$103,8,FALSE)/VLOOKUP(A16,Schlußkurse!A$5:AU$105,36,FALSE),""),"")</f>
        <v>4.6758598827072437E-2</v>
      </c>
      <c r="E16" s="71">
        <f>IF(VLOOKUP(A16,Schlußkurse!A$5:AU$105,37,FALSE)&gt;0,IF(VLOOKUP(A16,Dividende_je_Aktie!A$3:AM$103,9,FALSE)&lt;&gt;"",VLOOKUP(A16,Dividende_je_Aktie!A$3:AM$103,9,FALSE)/VLOOKUP(A16,Schlußkurse!A$5:AU$105,37,FALSE),""),"")</f>
        <v>4.1006787330316742E-2</v>
      </c>
      <c r="F16" s="71">
        <f>IF(VLOOKUP(A16,Schlußkurse!A$5:AU$105,38,FALSE)&gt;0,IF(VLOOKUP(A16,Dividende_je_Aktie!A$3:AM$103,10,FALSE)&lt;&gt;"",VLOOKUP(A16,Dividende_je_Aktie!A$3:AM$103,10,FALSE)/VLOOKUP(A16,Schlußkurse!A$5:AU$105,38,FALSE),""),"")</f>
        <v>4.0068689181453919E-2</v>
      </c>
      <c r="G16" s="71">
        <f>IF(VLOOKUP(A16,Schlußkurse!A$5:AU$105,39,FALSE)&gt;0,IF(VLOOKUP(A16,Dividende_je_Aktie!A$3:AM$103,11,FALSE)&lt;&gt;"",VLOOKUP(A16,Dividende_je_Aktie!A$3:AM$103,11,FALSE)/VLOOKUP(A16,Schlußkurse!A$5:AU$105,39,FALSE),""),"")</f>
        <v>3.4843205574912897E-2</v>
      </c>
      <c r="H16" s="71">
        <f>IF(VLOOKUP(A16,Schlußkurse!A$5:AU$105,40,FALSE)&gt;0,IF(VLOOKUP(A16,Dividende_je_Aktie!A$3:AM$103,12,FALSE)&lt;&gt;"",VLOOKUP(A16,Dividende_je_Aktie!A$3:AM$103,12,FALSE)/VLOOKUP(A16,Schlußkurse!A$5:AU$105,40,FALSE),""),"")</f>
        <v>3.6542515811665496E-2</v>
      </c>
      <c r="I16" s="71">
        <f>IF(VLOOKUP(A16,Schlußkurse!A$5:AU$105,41,FALSE)&gt;0,IF(VLOOKUP(A16,Dividende_je_Aktie!A$3:AM$103,13,FALSE)&lt;&gt;"",VLOOKUP(A16,Dividende_je_Aktie!A$3:AM$103,13,FALSE)/VLOOKUP(A16,Schlußkurse!A$5:AU$105,41,FALSE),""),"")</f>
        <v>4.6390796066060495E-2</v>
      </c>
      <c r="J16" s="71">
        <f>IF(VLOOKUP(A16,Schlußkurse!A$5:AU$105,42,FALSE)&gt;0,IF(VLOOKUP(A16,Dividende_je_Aktie!A$3:AM$103,14,FALSE)&lt;&gt;"",VLOOKUP(A16,Dividende_je_Aktie!A$3:AM$103,14,FALSE)/VLOOKUP(A16,Schlußkurse!A$5:AU$105,42,FALSE),""),"")</f>
        <v>3.6850921273031828E-2</v>
      </c>
      <c r="K16" s="71">
        <f>IF(VLOOKUP(A16,Schlußkurse!A$5:AU$105,43,FALSE)&gt;0,IF(VLOOKUP(A16,Dividende_je_Aktie!A$3:AM$103,15,FALSE)&lt;&gt;"",VLOOKUP(A16,Dividende_je_Aktie!A$3:AM$103,15,FALSE)/VLOOKUP(A16,Schlußkurse!A$5:AU$105,43,FALSE),""),"")</f>
        <v>3.9116428900138056E-2</v>
      </c>
      <c r="L16" s="71">
        <f>IF(VLOOKUP(A16,Schlußkurse!A$5:AU$105,44,FALSE)&gt;0,IF(VLOOKUP(A16,Dividende_je_Aktie!A$3:AM$103,16,FALSE)&lt;&gt;"",VLOOKUP(A16,Dividende_je_Aktie!A$3:AM$103,16,FALSE)/VLOOKUP(A16,Schlußkurse!A$5:AU$105,44,FALSE),""),"")</f>
        <v>7.0320952037504506E-2</v>
      </c>
      <c r="M16" s="71">
        <f>IF(VLOOKUP(A16,Schlußkurse!A$5:AU$105,45,FALSE)&gt;0,IF(VLOOKUP(A16,Dividende_je_Aktie!A$3:AM$103,17,FALSE)&lt;&gt;"",VLOOKUP(A16,Dividende_je_Aktie!A$3:AM$103,17,FALSE)/VLOOKUP(A16,Schlußkurse!A$5:AU$105,45,FALSE),""),"")</f>
        <v>3.8457745784439404E-2</v>
      </c>
      <c r="N16" s="71">
        <f>IF(VLOOKUP(A16,Schlußkurse!A$5:AU$105,46,FALSE)&gt;0,IF(VLOOKUP(A16,Dividende_je_Aktie!A$3:AM$103,18,FALSE)&lt;&gt;"",VLOOKUP(A16,Dividende_je_Aktie!A$3:AM$103,18,FALSE)/VLOOKUP(A16,Schlußkurse!A$5:AU$105,46,FALSE),""),"")</f>
        <v>4.0622884224779963E-2</v>
      </c>
      <c r="O16" s="71">
        <f>IF(VLOOKUP(A16,Schlußkurse!A$5:AU$105,47,FALSE)&gt;0,IF(VLOOKUP(A16,Dividende_je_Aktie!A$3:AM$103,19,FALSE)&lt;&gt;"",VLOOKUP(A16,Dividende_je_Aktie!A$3:AM$103,19,FALSE)/VLOOKUP(A16,Schlußkurse!A$5:AU$105,47,FALSE),""),"")</f>
        <v>3.0907124092103232E-2</v>
      </c>
      <c r="P16" s="71">
        <f t="shared" si="0"/>
        <v>4.2325406552225137E-2</v>
      </c>
      <c r="Q16" s="5">
        <f ca="1">VLOOKUP(A16,Dividende_je_Aktie!A$3:AM$103,24,FALSE)/VLOOKUP(A16,Schlußkurse!A$5:AU$105,35,FALSE)</f>
        <v>4.723411000158504E-2</v>
      </c>
      <c r="R16" s="5">
        <f t="shared" ca="1" si="1"/>
        <v>0.11597534079922123</v>
      </c>
    </row>
    <row r="17" spans="1:18">
      <c r="A17" t="s">
        <v>24</v>
      </c>
      <c r="B17" s="38" t="s">
        <v>25</v>
      </c>
      <c r="C17" s="71">
        <f>IF(VLOOKUP(A17,Schlußkurse!A$5:AU$105,35,FALSE)&gt;0,IF(VLOOKUP(A17,Dividende_je_Aktie!A$3:AM$103,7,FALSE)&lt;&gt;"",VLOOKUP(A17,Dividende_je_Aktie!A$3:AM$103,7,FALSE)/VLOOKUP(A17,Schlußkurse!A$5:AU$105,35,FALSE),""),"")</f>
        <v>2.8402948402948405E-2</v>
      </c>
      <c r="D17" s="71">
        <f>IF(VLOOKUP(A17,Schlußkurse!A$5:AU$105,36,FALSE)&gt;0,IF(VLOOKUP(A17,Dividende_je_Aktie!A$3:AM$103,8,FALSE)&lt;&gt;"",VLOOKUP(A17,Dividende_je_Aktie!A$3:AM$103,8,FALSE)/VLOOKUP(A17,Schlußkurse!A$5:AU$105,36,FALSE),""),"")</f>
        <v>2.6142506142506145E-2</v>
      </c>
      <c r="E17" s="71">
        <f>IF(VLOOKUP(A17,Schlußkurse!A$5:AU$105,37,FALSE)&gt;0,IF(VLOOKUP(A17,Dividende_je_Aktie!A$3:AM$103,9,FALSE)&lt;&gt;"",VLOOKUP(A17,Dividende_je_Aktie!A$3:AM$103,9,FALSE)/VLOOKUP(A17,Schlußkurse!A$5:AU$105,37,FALSE),""),"")</f>
        <v>2.158894645941278E-2</v>
      </c>
      <c r="F17" s="71">
        <f>IF(VLOOKUP(A17,Schlußkurse!A$5:AU$105,38,FALSE)&gt;0,IF(VLOOKUP(A17,Dividende_je_Aktie!A$3:AM$103,10,FALSE)&lt;&gt;"",VLOOKUP(A17,Dividende_je_Aktie!A$3:AM$103,10,FALSE)/VLOOKUP(A17,Schlußkurse!A$5:AU$105,38,FALSE),""),"")</f>
        <v>1.9911504424778761E-2</v>
      </c>
      <c r="G17" s="71">
        <f>IF(VLOOKUP(A17,Schlußkurse!A$5:AU$105,39,FALSE)&gt;0,IF(VLOOKUP(A17,Dividende_je_Aktie!A$3:AM$103,11,FALSE)&lt;&gt;"",VLOOKUP(A17,Dividende_je_Aktie!A$3:AM$103,11,FALSE)/VLOOKUP(A17,Schlußkurse!A$5:AU$105,39,FALSE),""),"")</f>
        <v>2.0598332515939188E-2</v>
      </c>
      <c r="H17" s="71">
        <f>IF(VLOOKUP(A17,Schlußkurse!A$5:AU$105,40,FALSE)&gt;0,IF(VLOOKUP(A17,Dividende_je_Aktie!A$3:AM$103,12,FALSE)&lt;&gt;"",VLOOKUP(A17,Dividende_je_Aktie!A$3:AM$103,12,FALSE)/VLOOKUP(A17,Schlußkurse!A$5:AU$105,40,FALSE),""),"")</f>
        <v>2.6429266935596048E-2</v>
      </c>
      <c r="I17" s="71">
        <f>IF(VLOOKUP(A17,Schlußkurse!A$5:AU$105,41,FALSE)&gt;0,IF(VLOOKUP(A17,Dividende_je_Aktie!A$3:AM$103,13,FALSE)&lt;&gt;"",VLOOKUP(A17,Dividende_je_Aktie!A$3:AM$103,13,FALSE)/VLOOKUP(A17,Schlußkurse!A$5:AU$105,41,FALSE),""),"")</f>
        <v>3.3400809716599186E-2</v>
      </c>
      <c r="J17" s="71">
        <f>IF(VLOOKUP(A17,Schlußkurse!A$5:AU$105,42,FALSE)&gt;0,IF(VLOOKUP(A17,Dividende_je_Aktie!A$3:AM$103,14,FALSE)&lt;&gt;"",VLOOKUP(A17,Dividende_je_Aktie!A$3:AM$103,14,FALSE)/VLOOKUP(A17,Schlußkurse!A$5:AU$105,42,FALSE),""),"")</f>
        <v>2.7124773960217001E-2</v>
      </c>
      <c r="K17" s="71">
        <f>IF(VLOOKUP(A17,Schlußkurse!A$5:AU$105,43,FALSE)&gt;0,IF(VLOOKUP(A17,Dividende_je_Aktie!A$3:AM$103,15,FALSE)&lt;&gt;"",VLOOKUP(A17,Dividende_je_Aktie!A$3:AM$103,15,FALSE)/VLOOKUP(A17,Schlußkurse!A$5:AU$105,43,FALSE),""),"")</f>
        <v>2.5017869907076482E-2</v>
      </c>
      <c r="L17" s="71">
        <f>IF(VLOOKUP(A17,Schlußkurse!A$5:AU$105,44,FALSE)&gt;0,IF(VLOOKUP(A17,Dividende_je_Aktie!A$3:AM$103,16,FALSE)&lt;&gt;"",VLOOKUP(A17,Dividende_je_Aktie!A$3:AM$103,16,FALSE)/VLOOKUP(A17,Schlußkurse!A$5:AU$105,44,FALSE),""),"")</f>
        <v>3.3694344163658241E-2</v>
      </c>
      <c r="M17" s="71">
        <f>IF(VLOOKUP(A17,Schlußkurse!A$5:AU$105,45,FALSE)&gt;0,IF(VLOOKUP(A17,Dividende_je_Aktie!A$3:AM$103,17,FALSE)&lt;&gt;"",VLOOKUP(A17,Dividende_je_Aktie!A$3:AM$103,17,FALSE)/VLOOKUP(A17,Schlußkurse!A$5:AU$105,45,FALSE),""),"")</f>
        <v>2.1589636974252358E-2</v>
      </c>
      <c r="N17" s="71">
        <f>IF(VLOOKUP(A17,Schlußkurse!A$5:AU$105,46,FALSE)&gt;0,IF(VLOOKUP(A17,Dividende_je_Aktie!A$3:AM$103,18,FALSE)&lt;&gt;"",VLOOKUP(A17,Dividende_je_Aktie!A$3:AM$103,18,FALSE)/VLOOKUP(A17,Schlußkurse!A$5:AU$105,46,FALSE),""),"")</f>
        <v>2.4594195769798328E-2</v>
      </c>
      <c r="O17" s="71">
        <f>IF(VLOOKUP(A17,Schlußkurse!A$5:AU$105,47,FALSE)&gt;0,IF(VLOOKUP(A17,Dividende_je_Aktie!A$3:AM$103,19,FALSE)&lt;&gt;"",VLOOKUP(A17,Dividende_je_Aktie!A$3:AM$103,19,FALSE)/VLOOKUP(A17,Schlußkurse!A$5:AU$105,47,FALSE),""),"")</f>
        <v>2.6919807310852931E-2</v>
      </c>
      <c r="P17" s="71">
        <f t="shared" si="0"/>
        <v>2.5801149437202759E-2</v>
      </c>
      <c r="Q17" s="5">
        <f ca="1">VLOOKUP(A17,Dividende_je_Aktie!A$3:AM$103,24,FALSE)/VLOOKUP(A17,Schlußkurse!A$5:AU$105,35,FALSE)</f>
        <v>2.6820638820638822E-2</v>
      </c>
      <c r="R17" s="5">
        <f t="shared" ca="1" si="1"/>
        <v>3.9513331990010503E-2</v>
      </c>
    </row>
    <row r="18" spans="1:18">
      <c r="A18" t="s">
        <v>268</v>
      </c>
      <c r="B18" s="38" t="s">
        <v>274</v>
      </c>
      <c r="C18" s="71">
        <f>IF(VLOOKUP(A18,Schlußkurse!A$5:AU$105,35,FALSE)&gt;0,IF(VLOOKUP(A18,Dividende_je_Aktie!A$3:AM$103,7,FALSE)&lt;&gt;"",VLOOKUP(A18,Dividende_je_Aktie!A$3:AM$103,7,FALSE)/VLOOKUP(A18,Schlußkurse!A$5:AU$105,35,FALSE),""),"")</f>
        <v>2.1995649809679173E-2</v>
      </c>
      <c r="D18" s="71">
        <f>IF(VLOOKUP(A18,Schlußkurse!A$5:AU$105,36,FALSE)&gt;0,IF(VLOOKUP(A18,Dividende_je_Aktie!A$3:AM$103,8,FALSE)&lt;&gt;"",VLOOKUP(A18,Dividende_je_Aktie!A$3:AM$103,8,FALSE)/VLOOKUP(A18,Schlußkurse!A$5:AU$105,36,FALSE),""),"")</f>
        <v>1.9630233822729742E-2</v>
      </c>
      <c r="E18" s="71">
        <f>IF(VLOOKUP(A18,Schlußkurse!A$5:AU$105,37,FALSE)&gt;0,IF(VLOOKUP(A18,Dividende_je_Aktie!A$3:AM$103,9,FALSE)&lt;&gt;"",VLOOKUP(A18,Dividende_je_Aktie!A$3:AM$103,9,FALSE)/VLOOKUP(A18,Schlußkurse!A$5:AU$105,37,FALSE),""),"")</f>
        <v>1.6004001000250064E-2</v>
      </c>
      <c r="F18" s="71">
        <f>IF(VLOOKUP(A18,Schlußkurse!A$5:AU$105,38,FALSE)&gt;0,IF(VLOOKUP(A18,Dividende_je_Aktie!A$3:AM$103,10,FALSE)&lt;&gt;"",VLOOKUP(A18,Dividende_je_Aktie!A$3:AM$103,10,FALSE)/VLOOKUP(A18,Schlußkurse!A$5:AU$105,38,FALSE),""),"")</f>
        <v>1.921229586935639E-2</v>
      </c>
      <c r="G18" s="71">
        <f>IF(VLOOKUP(A18,Schlußkurse!A$5:AU$105,39,FALSE)&gt;0,IF(VLOOKUP(A18,Dividende_je_Aktie!A$3:AM$103,11,FALSE)&lt;&gt;"",VLOOKUP(A18,Dividende_je_Aktie!A$3:AM$103,11,FALSE)/VLOOKUP(A18,Schlußkurse!A$5:AU$105,39,FALSE),""),"")</f>
        <v>2.2641509433962263E-2</v>
      </c>
      <c r="H18" s="71">
        <f>IF(VLOOKUP(A18,Schlußkurse!A$5:AU$105,40,FALSE)&gt;0,IF(VLOOKUP(A18,Dividende_je_Aktie!A$3:AM$103,12,FALSE)&lt;&gt;"",VLOOKUP(A18,Dividende_je_Aktie!A$3:AM$103,12,FALSE)/VLOOKUP(A18,Schlußkurse!A$5:AU$105,40,FALSE),""),"")</f>
        <v>1.9123505976095617E-2</v>
      </c>
      <c r="I18" s="71">
        <f>IF(VLOOKUP(A18,Schlußkurse!A$5:AU$105,41,FALSE)&gt;0,IF(VLOOKUP(A18,Dividende_je_Aktie!A$3:AM$103,13,FALSE)&lt;&gt;"",VLOOKUP(A18,Dividende_je_Aktie!A$3:AM$103,13,FALSE)/VLOOKUP(A18,Schlußkurse!A$5:AU$105,41,FALSE),""),"")</f>
        <v>2.1116138763197585E-2</v>
      </c>
      <c r="J18" s="71">
        <f>IF(VLOOKUP(A18,Schlußkurse!A$5:AU$105,42,FALSE)&gt;0,IF(VLOOKUP(A18,Dividende_je_Aktie!A$3:AM$103,14,FALSE)&lt;&gt;"",VLOOKUP(A18,Dividende_je_Aktie!A$3:AM$103,14,FALSE)/VLOOKUP(A18,Schlußkurse!A$5:AU$105,42,FALSE),""),"")</f>
        <v>1.5779092702169626E-2</v>
      </c>
      <c r="K18" s="71">
        <f>IF(VLOOKUP(A18,Schlußkurse!A$5:AU$105,43,FALSE)&gt;0,IF(VLOOKUP(A18,Dividende_je_Aktie!A$3:AM$103,15,FALSE)&lt;&gt;"",VLOOKUP(A18,Dividende_je_Aktie!A$3:AM$103,15,FALSE)/VLOOKUP(A18,Schlußkurse!A$5:AU$105,43,FALSE),""),"")</f>
        <v>2.2585259354061582E-2</v>
      </c>
      <c r="L18" s="71">
        <f>IF(VLOOKUP(A18,Schlußkurse!A$5:AU$105,44,FALSE)&gt;0,IF(VLOOKUP(A18,Dividende_je_Aktie!A$3:AM$103,16,FALSE)&lt;&gt;"",VLOOKUP(A18,Dividende_je_Aktie!A$3:AM$103,16,FALSE)/VLOOKUP(A18,Schlußkurse!A$5:AU$105,44,FALSE),""),"")</f>
        <v>2.1731650337746065E-2</v>
      </c>
      <c r="M18" s="71">
        <f>IF(VLOOKUP(A18,Schlußkurse!A$5:AU$105,45,FALSE)&gt;0,IF(VLOOKUP(A18,Dividende_je_Aktie!A$3:AM$103,17,FALSE)&lt;&gt;"",VLOOKUP(A18,Dividende_je_Aktie!A$3:AM$103,17,FALSE)/VLOOKUP(A18,Schlußkurse!A$5:AU$105,45,FALSE),""),"")</f>
        <v>1.3626040878122636E-2</v>
      </c>
      <c r="N18" s="71">
        <f>IF(VLOOKUP(A18,Schlußkurse!A$5:AU$105,46,FALSE)&gt;0,IF(VLOOKUP(A18,Dividende_je_Aktie!A$3:AM$103,18,FALSE)&lt;&gt;"",VLOOKUP(A18,Dividende_je_Aktie!A$3:AM$103,18,FALSE)/VLOOKUP(A18,Schlußkurse!A$5:AU$105,46,FALSE),""),"")</f>
        <v>1.482108829134025E-2</v>
      </c>
      <c r="O18" s="71">
        <f>IF(VLOOKUP(A18,Schlußkurse!A$5:AU$105,47,FALSE)&gt;0,IF(VLOOKUP(A18,Dividende_je_Aktie!A$3:AM$103,19,FALSE)&lt;&gt;"",VLOOKUP(A18,Dividende_je_Aktie!A$3:AM$103,19,FALSE)/VLOOKUP(A18,Schlußkurse!A$5:AU$105,47,FALSE),""),"")</f>
        <v>1.6858668165214946E-2</v>
      </c>
      <c r="P18" s="71">
        <f t="shared" si="0"/>
        <v>1.8855779569532764E-2</v>
      </c>
      <c r="Q18" s="5">
        <f ca="1">VLOOKUP(A18,Dividende_je_Aktie!A$3:AM$103,24,FALSE)/VLOOKUP(A18,Schlußkurse!A$5:AU$105,35,FALSE)</f>
        <v>2.0339858618814571E-2</v>
      </c>
      <c r="R18" s="5">
        <f t="shared" ca="1" si="1"/>
        <v>7.8706851859882132E-2</v>
      </c>
    </row>
    <row r="19" spans="1:18">
      <c r="A19" t="s">
        <v>26</v>
      </c>
      <c r="B19" s="38" t="s">
        <v>27</v>
      </c>
      <c r="C19" s="71">
        <f>IF(VLOOKUP(A19,Schlußkurse!A$5:AU$105,35,FALSE)&gt;0,IF(VLOOKUP(A19,Dividende_je_Aktie!A$3:AM$103,7,FALSE)&lt;&gt;"",VLOOKUP(A19,Dividende_je_Aktie!A$3:AM$103,7,FALSE)/VLOOKUP(A19,Schlußkurse!A$5:AU$105,35,FALSE),""),"")</f>
        <v>7.5018754688672168E-2</v>
      </c>
      <c r="D19" s="71">
        <f>IF(VLOOKUP(A19,Schlußkurse!A$5:AU$105,36,FALSE)&gt;0,IF(VLOOKUP(A19,Dividende_je_Aktie!A$3:AM$103,8,FALSE)&lt;&gt;"",VLOOKUP(A19,Dividende_je_Aktie!A$3:AM$103,8,FALSE)/VLOOKUP(A19,Schlußkurse!A$5:AU$105,36,FALSE),""),"")</f>
        <v>7.6090451184224625E-2</v>
      </c>
      <c r="E19" s="71">
        <f>IF(VLOOKUP(A19,Schlußkurse!A$5:AU$105,37,FALSE)&gt;0,IF(VLOOKUP(A19,Dividende_je_Aktie!A$3:AM$103,9,FALSE)&lt;&gt;"",VLOOKUP(A19,Dividende_je_Aktie!A$3:AM$103,9,FALSE)/VLOOKUP(A19,Schlußkurse!A$5:AU$105,37,FALSE),""),"")</f>
        <v>3.8443056222969729E-2</v>
      </c>
      <c r="F19" s="71">
        <f>IF(VLOOKUP(A19,Schlußkurse!A$5:AU$105,38,FALSE)&gt;0,IF(VLOOKUP(A19,Dividende_je_Aktie!A$3:AM$103,10,FALSE)&lt;&gt;"",VLOOKUP(A19,Dividende_je_Aktie!A$3:AM$103,10,FALSE)/VLOOKUP(A19,Schlußkurse!A$5:AU$105,38,FALSE),""),"")</f>
        <v>3.3557046979865772E-2</v>
      </c>
      <c r="G19" s="71">
        <f>IF(VLOOKUP(A19,Schlußkurse!A$5:AU$105,39,FALSE)&gt;0,IF(VLOOKUP(A19,Dividende_je_Aktie!A$3:AM$103,11,FALSE)&lt;&gt;"",VLOOKUP(A19,Dividende_je_Aktie!A$3:AM$103,11,FALSE)/VLOOKUP(A19,Schlußkurse!A$5:AU$105,39,FALSE),""),"")</f>
        <v>6.3371356147021538E-2</v>
      </c>
      <c r="H19" s="71">
        <f>IF(VLOOKUP(A19,Schlußkurse!A$5:AU$105,40,FALSE)&gt;0,IF(VLOOKUP(A19,Dividende_je_Aktie!A$3:AM$103,12,FALSE)&lt;&gt;"",VLOOKUP(A19,Dividende_je_Aktie!A$3:AM$103,12,FALSE)/VLOOKUP(A19,Schlußkurse!A$5:AU$105,40,FALSE),""),"")</f>
        <v>8.0471050049067711E-2</v>
      </c>
      <c r="I19" s="71">
        <f>IF(VLOOKUP(A19,Schlußkurse!A$5:AU$105,41,FALSE)&gt;0,IF(VLOOKUP(A19,Dividende_je_Aktie!A$3:AM$103,13,FALSE)&lt;&gt;"",VLOOKUP(A19,Dividende_je_Aktie!A$3:AM$103,13,FALSE)/VLOOKUP(A19,Schlußkurse!A$5:AU$105,41,FALSE),""),"")</f>
        <v>0.1135599551737019</v>
      </c>
      <c r="J19" s="71">
        <f>IF(VLOOKUP(A19,Schlußkurse!A$5:AU$105,42,FALSE)&gt;0,IF(VLOOKUP(A19,Dividende_je_Aktie!A$3:AM$103,14,FALSE)&lt;&gt;"",VLOOKUP(A19,Dividende_je_Aktie!A$3:AM$103,14,FALSE)/VLOOKUP(A19,Schlußkurse!A$5:AU$105,42,FALSE),""),"")</f>
        <v>7.6628352490421464E-2</v>
      </c>
      <c r="K19" s="71">
        <f>IF(VLOOKUP(A19,Schlußkurse!A$5:AU$105,43,FALSE)&gt;0,IF(VLOOKUP(A19,Dividende_je_Aktie!A$3:AM$103,15,FALSE)&lt;&gt;"",VLOOKUP(A19,Dividende_je_Aktie!A$3:AM$103,15,FALSE)/VLOOKUP(A19,Schlußkurse!A$5:AU$105,43,FALSE),""),"")</f>
        <v>5.1229508196721313E-2</v>
      </c>
      <c r="L19" s="71">
        <f>IF(VLOOKUP(A19,Schlußkurse!A$5:AU$105,44,FALSE)&gt;0,IF(VLOOKUP(A19,Dividende_je_Aktie!A$3:AM$103,16,FALSE)&lt;&gt;"",VLOOKUP(A19,Dividende_je_Aktie!A$3:AM$103,16,FALSE)/VLOOKUP(A19,Schlußkurse!A$5:AU$105,44,FALSE),""),"")</f>
        <v>5.6782334384858045E-2</v>
      </c>
      <c r="M19" s="71">
        <f>IF(VLOOKUP(A19,Schlußkurse!A$5:AU$105,45,FALSE)&gt;0,IF(VLOOKUP(A19,Dividende_je_Aktie!A$3:AM$103,17,FALSE)&lt;&gt;"",VLOOKUP(A19,Dividende_je_Aktie!A$3:AM$103,17,FALSE)/VLOOKUP(A19,Schlußkurse!A$5:AU$105,45,FALSE),""),"")</f>
        <v>2.9252925292529257E-2</v>
      </c>
      <c r="N19" s="71">
        <f>IF(VLOOKUP(A19,Schlußkurse!A$5:AU$105,46,FALSE)&gt;0,IF(VLOOKUP(A19,Dividende_je_Aktie!A$3:AM$103,18,FALSE)&lt;&gt;"",VLOOKUP(A19,Dividende_je_Aktie!A$3:AM$103,18,FALSE)/VLOOKUP(A19,Schlußkurse!A$5:AU$105,46,FALSE),""),"")</f>
        <v>3.4119106699751864E-2</v>
      </c>
      <c r="O19" s="71">
        <f>IF(VLOOKUP(A19,Schlußkurse!A$5:AU$105,47,FALSE)&gt;0,IF(VLOOKUP(A19,Dividende_je_Aktie!A$3:AM$103,19,FALSE)&lt;&gt;"",VLOOKUP(A19,Dividende_je_Aktie!A$3:AM$103,19,FALSE)/VLOOKUP(A19,Schlußkurse!A$5:AU$105,47,FALSE),""),"")</f>
        <v>3.9339103068450038E-2</v>
      </c>
      <c r="P19" s="71">
        <f t="shared" si="0"/>
        <v>5.9066384659865794E-2</v>
      </c>
      <c r="Q19" s="5">
        <f ca="1">VLOOKUP(A19,Dividende_je_Aktie!A$3:AM$103,24,FALSE)/VLOOKUP(A19,Schlußkurse!A$5:AU$105,35,FALSE)</f>
        <v>7.5768942235558884E-2</v>
      </c>
      <c r="R19" s="5">
        <f t="shared" ca="1" si="1"/>
        <v>0.28277602687001901</v>
      </c>
    </row>
    <row r="20" spans="1:18">
      <c r="A20" t="s">
        <v>81</v>
      </c>
      <c r="B20" s="38" t="s">
        <v>189</v>
      </c>
      <c r="C20" s="71">
        <f>IF(VLOOKUP(A20,Schlußkurse!A$5:AU$105,35,FALSE)&gt;0,IF(VLOOKUP(A20,Dividende_je_Aktie!A$3:AM$103,7,FALSE)&lt;&gt;"",VLOOKUP(A20,Dividende_je_Aktie!A$3:AM$103,7,FALSE)/VLOOKUP(A20,Schlußkurse!A$5:AU$105,35,FALSE),""),"")</f>
        <v>2.2882999353587591E-2</v>
      </c>
      <c r="D20" s="71">
        <f>IF(VLOOKUP(A20,Schlußkurse!A$5:AU$105,36,FALSE)&gt;0,IF(VLOOKUP(A20,Dividende_je_Aktie!A$3:AM$103,8,FALSE)&lt;&gt;"",VLOOKUP(A20,Dividende_je_Aktie!A$3:AM$103,8,FALSE)/VLOOKUP(A20,Schlußkurse!A$5:AU$105,36,FALSE),""),"")</f>
        <v>2.1266968325791856E-2</v>
      </c>
      <c r="E20" s="71">
        <f>IF(VLOOKUP(A20,Schlußkurse!A$5:AU$105,37,FALSE)&gt;0,IF(VLOOKUP(A20,Dividende_je_Aktie!A$3:AM$103,9,FALSE)&lt;&gt;"",VLOOKUP(A20,Dividende_je_Aktie!A$3:AM$103,9,FALSE)/VLOOKUP(A20,Schlußkurse!A$5:AU$105,37,FALSE),""),"")</f>
        <v>1.9961365099806824E-2</v>
      </c>
      <c r="F20" s="71">
        <f>IF(VLOOKUP(A20,Schlußkurse!A$5:AU$105,38,FALSE)&gt;0,IF(VLOOKUP(A20,Dividende_je_Aktie!A$3:AM$103,10,FALSE)&lt;&gt;"",VLOOKUP(A20,Dividende_je_Aktie!A$3:AM$103,10,FALSE)/VLOOKUP(A20,Schlußkurse!A$5:AU$105,38,FALSE),""),"")</f>
        <v>1.9382627422828428E-2</v>
      </c>
      <c r="G20" s="71">
        <f>IF(VLOOKUP(A20,Schlußkurse!A$5:AU$105,39,FALSE)&gt;0,IF(VLOOKUP(A20,Dividende_je_Aktie!A$3:AM$103,11,FALSE)&lt;&gt;"",VLOOKUP(A20,Dividende_je_Aktie!A$3:AM$103,11,FALSE)/VLOOKUP(A20,Schlußkurse!A$5:AU$105,39,FALSE),""),"")</f>
        <v>1.9577133907595929E-2</v>
      </c>
      <c r="H20" s="71">
        <f>IF(VLOOKUP(A20,Schlußkurse!A$5:AU$105,40,FALSE)&gt;0,IF(VLOOKUP(A20,Dividende_je_Aktie!A$3:AM$103,12,FALSE)&lt;&gt;"",VLOOKUP(A20,Dividende_je_Aktie!A$3:AM$103,12,FALSE)/VLOOKUP(A20,Schlußkurse!A$5:AU$105,40,FALSE),""),"")</f>
        <v>2.1925643469971397E-2</v>
      </c>
      <c r="I20" s="71">
        <f>IF(VLOOKUP(A20,Schlußkurse!A$5:AU$105,41,FALSE)&gt;0,IF(VLOOKUP(A20,Dividende_je_Aktie!A$3:AM$103,13,FALSE)&lt;&gt;"",VLOOKUP(A20,Dividende_je_Aktie!A$3:AM$103,13,FALSE)/VLOOKUP(A20,Schlußkurse!A$5:AU$105,41,FALSE),""),"")</f>
        <v>2.4783147459727383E-2</v>
      </c>
      <c r="J20" s="71">
        <f>IF(VLOOKUP(A20,Schlußkurse!A$5:AU$105,42,FALSE)&gt;0,IF(VLOOKUP(A20,Dividende_je_Aktie!A$3:AM$103,14,FALSE)&lt;&gt;"",VLOOKUP(A20,Dividende_je_Aktie!A$3:AM$103,14,FALSE)/VLOOKUP(A20,Schlußkurse!A$5:AU$105,42,FALSE),""),"")</f>
        <v>2.1665864227250843E-2</v>
      </c>
      <c r="K20" s="71">
        <f>IF(VLOOKUP(A20,Schlußkurse!A$5:AU$105,43,FALSE)&gt;0,IF(VLOOKUP(A20,Dividende_je_Aktie!A$3:AM$103,15,FALSE)&lt;&gt;"",VLOOKUP(A20,Dividende_je_Aktie!A$3:AM$103,15,FALSE)/VLOOKUP(A20,Schlußkurse!A$5:AU$105,43,FALSE),""),"")</f>
        <v>1.9230769230769232E-2</v>
      </c>
      <c r="L20" s="71">
        <f>IF(VLOOKUP(A20,Schlußkurse!A$5:AU$105,44,FALSE)&gt;0,IF(VLOOKUP(A20,Dividende_je_Aktie!A$3:AM$103,16,FALSE)&lt;&gt;"",VLOOKUP(A20,Dividende_je_Aktie!A$3:AM$103,16,FALSE)/VLOOKUP(A20,Schlußkurse!A$5:AU$105,44,FALSE),""),"")</f>
        <v>2.3113964686998396E-2</v>
      </c>
      <c r="M20" s="71">
        <f>IF(VLOOKUP(A20,Schlußkurse!A$5:AU$105,45,FALSE)&gt;0,IF(VLOOKUP(A20,Dividende_je_Aktie!A$3:AM$103,17,FALSE)&lt;&gt;"",VLOOKUP(A20,Dividende_je_Aktie!A$3:AM$103,17,FALSE)/VLOOKUP(A20,Schlußkurse!A$5:AU$105,45,FALSE),""),"")</f>
        <v>1.408450704225352E-2</v>
      </c>
      <c r="N20" s="71">
        <f>IF(VLOOKUP(A20,Schlußkurse!A$5:AU$105,46,FALSE)&gt;0,IF(VLOOKUP(A20,Dividende_je_Aktie!A$3:AM$103,18,FALSE)&lt;&gt;"",VLOOKUP(A20,Dividende_je_Aktie!A$3:AM$103,18,FALSE)/VLOOKUP(A20,Schlußkurse!A$5:AU$105,46,FALSE),""),"")</f>
        <v>1.5546772068511197E-2</v>
      </c>
      <c r="O20" s="71">
        <f>IF(VLOOKUP(A20,Schlußkurse!A$5:AU$105,47,FALSE)&gt;0,IF(VLOOKUP(A20,Dividende_je_Aktie!A$3:AM$103,19,FALSE)&lt;&gt;"",VLOOKUP(A20,Dividende_je_Aktie!A$3:AM$103,19,FALSE)/VLOOKUP(A20,Schlußkurse!A$5:AU$105,47,FALSE),""),"")</f>
        <v>1.5923566878980892E-2</v>
      </c>
      <c r="P20" s="71">
        <f t="shared" si="0"/>
        <v>1.994964070569796E-2</v>
      </c>
      <c r="Q20" s="5">
        <f ca="1">VLOOKUP(A20,Dividende_je_Aktie!A$3:AM$103,24,FALSE)/VLOOKUP(A20,Schlußkurse!A$5:AU$105,35,FALSE)</f>
        <v>2.1751777634130574E-2</v>
      </c>
      <c r="R20" s="5">
        <f t="shared" ca="1" si="1"/>
        <v>9.0334305014219796E-2</v>
      </c>
    </row>
    <row r="21" spans="1:18">
      <c r="A21" t="s">
        <v>82</v>
      </c>
      <c r="B21" s="38" t="s">
        <v>190</v>
      </c>
      <c r="C21" s="71">
        <f>IF(VLOOKUP(A21,Schlußkurse!A$5:AU$105,35,FALSE)&gt;0,IF(VLOOKUP(A21,Dividende_je_Aktie!A$3:AM$103,7,FALSE)&lt;&gt;"",VLOOKUP(A21,Dividende_je_Aktie!A$3:AM$103,7,FALSE)/VLOOKUP(A21,Schlußkurse!A$5:AU$105,35,FALSE),""),"")</f>
        <v>4.0901166689017034E-2</v>
      </c>
      <c r="D21" s="71">
        <f>IF(VLOOKUP(A21,Schlußkurse!A$5:AU$105,36,FALSE)&gt;0,IF(VLOOKUP(A21,Dividende_je_Aktie!A$3:AM$103,8,FALSE)&lt;&gt;"",VLOOKUP(A21,Dividende_je_Aktie!A$3:AM$103,8,FALSE)/VLOOKUP(A21,Schlußkurse!A$5:AU$105,36,FALSE),""),"")</f>
        <v>3.9828349202092002E-2</v>
      </c>
      <c r="E21" s="71">
        <f>IF(VLOOKUP(A21,Schlußkurse!A$5:AU$105,37,FALSE)&gt;0,IF(VLOOKUP(A21,Dividende_je_Aktie!A$3:AM$103,9,FALSE)&lt;&gt;"",VLOOKUP(A21,Dividende_je_Aktie!A$3:AM$103,9,FALSE)/VLOOKUP(A21,Schlußkurse!A$5:AU$105,37,FALSE),""),"")</f>
        <v>3.7277353689567437E-2</v>
      </c>
      <c r="F21" s="71">
        <f>IF(VLOOKUP(A21,Schlußkurse!A$5:AU$105,38,FALSE)&gt;0,IF(VLOOKUP(A21,Dividende_je_Aktie!A$3:AM$103,10,FALSE)&lt;&gt;"",VLOOKUP(A21,Dividende_je_Aktie!A$3:AM$103,10,FALSE)/VLOOKUP(A21,Schlußkurse!A$5:AU$105,38,FALSE),""),"")</f>
        <v>3.7668517049960354E-2</v>
      </c>
      <c r="G21" s="71">
        <f>IF(VLOOKUP(A21,Schlußkurse!A$5:AU$105,39,FALSE)&gt;0,IF(VLOOKUP(A21,Dividende_je_Aktie!A$3:AM$103,11,FALSE)&lt;&gt;"",VLOOKUP(A21,Dividende_je_Aktie!A$3:AM$103,11,FALSE)/VLOOKUP(A21,Schlußkurse!A$5:AU$105,39,FALSE),""),"")</f>
        <v>3.630705394190871E-2</v>
      </c>
      <c r="H21" s="71">
        <f>IF(VLOOKUP(A21,Schlußkurse!A$5:AU$105,40,FALSE)&gt;0,IF(VLOOKUP(A21,Dividende_je_Aktie!A$3:AM$103,12,FALSE)&lt;&gt;"",VLOOKUP(A21,Dividende_je_Aktie!A$3:AM$103,12,FALSE)/VLOOKUP(A21,Schlußkurse!A$5:AU$105,40,FALSE),""),"")</f>
        <v>3.8800952514357751E-2</v>
      </c>
      <c r="I21" s="71">
        <f>IF(VLOOKUP(A21,Schlußkurse!A$5:AU$105,41,FALSE)&gt;0,IF(VLOOKUP(A21,Dividende_je_Aktie!A$3:AM$103,13,FALSE)&lt;&gt;"",VLOOKUP(A21,Dividende_je_Aktie!A$3:AM$103,13,FALSE)/VLOOKUP(A21,Schlußkurse!A$5:AU$105,41,FALSE),""),"")</f>
        <v>4.6696035242290747E-2</v>
      </c>
      <c r="J21" s="71">
        <f>IF(VLOOKUP(A21,Schlußkurse!A$5:AU$105,42,FALSE)&gt;0,IF(VLOOKUP(A21,Dividende_je_Aktie!A$3:AM$103,14,FALSE)&lt;&gt;"",VLOOKUP(A21,Dividende_je_Aktie!A$3:AM$103,14,FALSE)/VLOOKUP(A21,Schlußkurse!A$5:AU$105,42,FALSE),""),"")</f>
        <v>5.0156739811912224E-2</v>
      </c>
      <c r="K21" s="71">
        <f>IF(VLOOKUP(A21,Schlußkurse!A$5:AU$105,43,FALSE)&gt;0,IF(VLOOKUP(A21,Dividende_je_Aktie!A$3:AM$103,15,FALSE)&lt;&gt;"",VLOOKUP(A21,Dividende_je_Aktie!A$3:AM$103,15,FALSE)/VLOOKUP(A21,Schlußkurse!A$5:AU$105,43,FALSE),""),"")</f>
        <v>3.9956411187795131E-2</v>
      </c>
      <c r="L21" s="71">
        <f>IF(VLOOKUP(A21,Schlußkurse!A$5:AU$105,44,FALSE)&gt;0,IF(VLOOKUP(A21,Dividende_je_Aktie!A$3:AM$103,16,FALSE)&lt;&gt;"",VLOOKUP(A21,Dividende_je_Aktie!A$3:AM$103,16,FALSE)/VLOOKUP(A21,Schlußkurse!A$5:AU$105,44,FALSE),""),"")</f>
        <v>4.5594713656387661E-2</v>
      </c>
      <c r="M21" s="71">
        <f>IF(VLOOKUP(A21,Schlußkurse!A$5:AU$105,45,FALSE)&gt;0,IF(VLOOKUP(A21,Dividende_je_Aktie!A$3:AM$103,17,FALSE)&lt;&gt;"",VLOOKUP(A21,Dividende_je_Aktie!A$3:AM$103,17,FALSE)/VLOOKUP(A21,Schlußkurse!A$5:AU$105,45,FALSE),""),"")</f>
        <v>2.7786598920292158E-2</v>
      </c>
      <c r="N21" s="71">
        <f>IF(VLOOKUP(A21,Schlußkurse!A$5:AU$105,46,FALSE)&gt;0,IF(VLOOKUP(A21,Dividende_je_Aktie!A$3:AM$103,18,FALSE)&lt;&gt;"",VLOOKUP(A21,Dividende_je_Aktie!A$3:AM$103,18,FALSE)/VLOOKUP(A21,Schlußkurse!A$5:AU$105,46,FALSE),""),"")</f>
        <v>2.1729807005003574E-2</v>
      </c>
      <c r="O21" s="71">
        <f>IF(VLOOKUP(A21,Schlußkurse!A$5:AU$105,47,FALSE)&gt;0,IF(VLOOKUP(A21,Dividende_je_Aktie!A$3:AM$103,19,FALSE)&lt;&gt;"",VLOOKUP(A21,Dividende_je_Aktie!A$3:AM$103,19,FALSE)/VLOOKUP(A21,Schlußkurse!A$5:AU$105,47,FALSE),""),"")</f>
        <v>1.6216216216216217E-2</v>
      </c>
      <c r="P21" s="71">
        <f t="shared" si="0"/>
        <v>3.6839993471292388E-2</v>
      </c>
      <c r="Q21" s="5">
        <f ca="1">VLOOKUP(A21,Dividende_je_Aktie!A$3:AM$103,24,FALSE)/VLOOKUP(A21,Schlußkurse!A$5:AU$105,35,FALSE)</f>
        <v>4.0150194448169509E-2</v>
      </c>
      <c r="R21" s="5">
        <f t="shared" ca="1" si="1"/>
        <v>8.9853462635833381E-2</v>
      </c>
    </row>
    <row r="22" spans="1:18">
      <c r="A22" t="s">
        <v>28</v>
      </c>
      <c r="B22" s="38" t="s">
        <v>29</v>
      </c>
      <c r="C22" s="71">
        <f>IF(VLOOKUP(A22,Schlußkurse!A$5:AU$105,35,FALSE)&gt;0,IF(VLOOKUP(A22,Dividende_je_Aktie!A$3:AM$103,7,FALSE)&lt;&gt;"",VLOOKUP(A22,Dividende_je_Aktie!A$3:AM$103,7,FALSE)/VLOOKUP(A22,Schlußkurse!A$5:AU$105,35,FALSE),""),"")</f>
        <v>2.9546196539340517E-2</v>
      </c>
      <c r="D22" s="71">
        <f>IF(VLOOKUP(A22,Schlußkurse!A$5:AU$105,36,FALSE)&gt;0,IF(VLOOKUP(A22,Dividende_je_Aktie!A$3:AM$103,8,FALSE)&lt;&gt;"",VLOOKUP(A22,Dividende_je_Aktie!A$3:AM$103,8,FALSE)/VLOOKUP(A22,Schlußkurse!A$5:AU$105,36,FALSE),""),"")</f>
        <v>2.742409402546523E-2</v>
      </c>
      <c r="E22" s="71">
        <f>IF(VLOOKUP(A22,Schlußkurse!A$5:AU$105,37,FALSE)&gt;0,IF(VLOOKUP(A22,Dividende_je_Aktie!A$3:AM$103,9,FALSE)&lt;&gt;"",VLOOKUP(A22,Dividende_je_Aktie!A$3:AM$103,9,FALSE)/VLOOKUP(A22,Schlußkurse!A$5:AU$105,37,FALSE),""),"")</f>
        <v>2.5690430314707774E-2</v>
      </c>
      <c r="F22" s="71">
        <f>IF(VLOOKUP(A22,Schlußkurse!A$5:AU$105,38,FALSE)&gt;0,IF(VLOOKUP(A22,Dividende_je_Aktie!A$3:AM$103,10,FALSE)&lt;&gt;"",VLOOKUP(A22,Dividende_je_Aktie!A$3:AM$103,10,FALSE)/VLOOKUP(A22,Schlußkurse!A$5:AU$105,38,FALSE),""),"")</f>
        <v>2.7548209366391182E-2</v>
      </c>
      <c r="G22" s="71">
        <f>IF(VLOOKUP(A22,Schlußkurse!A$5:AU$105,39,FALSE)&gt;0,IF(VLOOKUP(A22,Dividende_je_Aktie!A$3:AM$103,11,FALSE)&lt;&gt;"",VLOOKUP(A22,Dividende_je_Aktie!A$3:AM$103,11,FALSE)/VLOOKUP(A22,Schlußkurse!A$5:AU$105,39,FALSE),""),"")</f>
        <v>2.7714067278287461E-2</v>
      </c>
      <c r="H22" s="71">
        <f>IF(VLOOKUP(A22,Schlußkurse!A$5:AU$105,40,FALSE)&gt;0,IF(VLOOKUP(A22,Dividende_je_Aktie!A$3:AM$103,12,FALSE)&lt;&gt;"",VLOOKUP(A22,Dividende_je_Aktie!A$3:AM$103,12,FALSE)/VLOOKUP(A22,Schlußkurse!A$5:AU$105,40,FALSE),""),"")</f>
        <v>2.905520488928965E-2</v>
      </c>
      <c r="I22" s="71">
        <f>IF(VLOOKUP(A22,Schlußkurse!A$5:AU$105,41,FALSE)&gt;0,IF(VLOOKUP(A22,Dividende_je_Aktie!A$3:AM$103,13,FALSE)&lt;&gt;"",VLOOKUP(A22,Dividende_je_Aktie!A$3:AM$103,13,FALSE)/VLOOKUP(A22,Schlußkurse!A$5:AU$105,41,FALSE),""),"")</f>
        <v>2.8618488779081734E-2</v>
      </c>
      <c r="J22" s="71">
        <f>IF(VLOOKUP(A22,Schlußkurse!A$5:AU$105,42,FALSE)&gt;0,IF(VLOOKUP(A22,Dividende_je_Aktie!A$3:AM$103,14,FALSE)&lt;&gt;"",VLOOKUP(A22,Dividende_je_Aktie!A$3:AM$103,14,FALSE)/VLOOKUP(A22,Schlußkurse!A$5:AU$105,42,FALSE),""),"")</f>
        <v>2.76478094427903E-2</v>
      </c>
      <c r="K22" s="71">
        <f>IF(VLOOKUP(A22,Schlußkurse!A$5:AU$105,43,FALSE)&gt;0,IF(VLOOKUP(A22,Dividende_je_Aktie!A$3:AM$103,15,FALSE)&lt;&gt;"",VLOOKUP(A22,Dividende_je_Aktie!A$3:AM$103,15,FALSE)/VLOOKUP(A22,Schlußkurse!A$5:AU$105,43,FALSE),""),"")</f>
        <v>2.8017744571561989E-2</v>
      </c>
      <c r="L22" s="71">
        <f>IF(VLOOKUP(A22,Schlußkurse!A$5:AU$105,44,FALSE)&gt;0,IF(VLOOKUP(A22,Dividende_je_Aktie!A$3:AM$103,16,FALSE)&lt;&gt;"",VLOOKUP(A22,Dividende_je_Aktie!A$3:AM$103,16,FALSE)/VLOOKUP(A22,Schlußkurse!A$5:AU$105,44,FALSE),""),"")</f>
        <v>2.779064381658175E-2</v>
      </c>
      <c r="M22" s="71">
        <f>IF(VLOOKUP(A22,Schlußkurse!A$5:AU$105,45,FALSE)&gt;0,IF(VLOOKUP(A22,Dividende_je_Aktie!A$3:AM$103,17,FALSE)&lt;&gt;"",VLOOKUP(A22,Dividende_je_Aktie!A$3:AM$103,17,FALSE)/VLOOKUP(A22,Schlußkurse!A$5:AU$105,45,FALSE),""),"")</f>
        <v>1.7915309446254073E-2</v>
      </c>
      <c r="N22" s="71">
        <f>IF(VLOOKUP(A22,Schlußkurse!A$5:AU$105,46,FALSE)&gt;0,IF(VLOOKUP(A22,Dividende_je_Aktie!A$3:AM$103,18,FALSE)&lt;&gt;"",VLOOKUP(A22,Dividende_je_Aktie!A$3:AM$103,18,FALSE)/VLOOKUP(A22,Schlußkurse!A$5:AU$105,46,FALSE),""),"")</f>
        <v>1.7421602787456445E-2</v>
      </c>
      <c r="O22" s="71">
        <f>IF(VLOOKUP(A22,Schlußkurse!A$5:AU$105,47,FALSE)&gt;0,IF(VLOOKUP(A22,Dividende_je_Aktie!A$3:AM$103,19,FALSE)&lt;&gt;"",VLOOKUP(A22,Dividende_je_Aktie!A$3:AM$103,19,FALSE)/VLOOKUP(A22,Schlußkurse!A$5:AU$105,47,FALSE),""),"")</f>
        <v>1.9263456090651557E-2</v>
      </c>
      <c r="P22" s="71">
        <f t="shared" si="0"/>
        <v>2.5665635180604593E-2</v>
      </c>
      <c r="Q22" s="5">
        <f ca="1">VLOOKUP(A22,Dividende_je_Aktie!A$3:AM$103,24,FALSE)/VLOOKUP(A22,Schlußkurse!A$5:AU$105,35,FALSE)</f>
        <v>2.8060724779627816E-2</v>
      </c>
      <c r="R22" s="5">
        <f t="shared" ca="1" si="1"/>
        <v>9.3318929462271161E-2</v>
      </c>
    </row>
    <row r="23" spans="1:18">
      <c r="A23" t="s">
        <v>30</v>
      </c>
      <c r="B23" s="38" t="s">
        <v>31</v>
      </c>
      <c r="C23" s="71">
        <f>IF(VLOOKUP(A23,Schlußkurse!A$5:AU$105,35,FALSE)&gt;0,IF(VLOOKUP(A23,Dividende_je_Aktie!A$3:AM$103,7,FALSE)&lt;&gt;"",VLOOKUP(A23,Dividende_je_Aktie!A$3:AM$103,7,FALSE)/VLOOKUP(A23,Schlußkurse!A$5:AU$105,35,FALSE),""),"")</f>
        <v>4.1288782816229115E-2</v>
      </c>
      <c r="D23" s="71">
        <f>IF(VLOOKUP(A23,Schlußkurse!A$5:AU$105,36,FALSE)&gt;0,IF(VLOOKUP(A23,Dividende_je_Aktie!A$3:AM$103,8,FALSE)&lt;&gt;"",VLOOKUP(A23,Dividende_je_Aktie!A$3:AM$103,8,FALSE)/VLOOKUP(A23,Schlußkurse!A$5:AU$105,36,FALSE),""),"")</f>
        <v>3.914081145584726E-2</v>
      </c>
      <c r="E23" s="71">
        <f>IF(VLOOKUP(A23,Schlußkurse!A$5:AU$105,37,FALSE)&gt;0,IF(VLOOKUP(A23,Dividende_je_Aktie!A$3:AM$103,9,FALSE)&lt;&gt;"",VLOOKUP(A23,Dividende_je_Aktie!A$3:AM$103,9,FALSE)/VLOOKUP(A23,Schlußkurse!A$5:AU$105,37,FALSE),""),"")</f>
        <v>4.0837974012198353E-2</v>
      </c>
      <c r="F23" s="71">
        <f>IF(VLOOKUP(A23,Schlußkurse!A$5:AU$105,38,FALSE)&gt;0,IF(VLOOKUP(A23,Dividende_je_Aktie!A$3:AM$103,10,FALSE)&lt;&gt;"",VLOOKUP(A23,Dividende_je_Aktie!A$3:AM$103,10,FALSE)/VLOOKUP(A23,Schlußkurse!A$5:AU$105,38,FALSE),""),"")</f>
        <v>4.2285714285714288E-2</v>
      </c>
      <c r="G23" s="71">
        <f>IF(VLOOKUP(A23,Schlußkurse!A$5:AU$105,39,FALSE)&gt;0,IF(VLOOKUP(A23,Dividende_je_Aktie!A$3:AM$103,11,FALSE)&lt;&gt;"",VLOOKUP(A23,Dividende_je_Aktie!A$3:AM$103,11,FALSE)/VLOOKUP(A23,Schlußkurse!A$5:AU$105,39,FALSE),""),"")</f>
        <v>4.3854231006794309E-2</v>
      </c>
      <c r="H23" s="71">
        <f>IF(VLOOKUP(A23,Schlußkurse!A$5:AU$105,40,FALSE)&gt;0,IF(VLOOKUP(A23,Dividende_je_Aktie!A$3:AM$103,12,FALSE)&lt;&gt;"",VLOOKUP(A23,Dividende_je_Aktie!A$3:AM$103,12,FALSE)/VLOOKUP(A23,Schlußkurse!A$5:AU$105,40,FALSE),""),"")</f>
        <v>4.3255366869593082E-2</v>
      </c>
      <c r="I23" s="71">
        <f>IF(VLOOKUP(A23,Schlußkurse!A$5:AU$105,41,FALSE)&gt;0,IF(VLOOKUP(A23,Dividende_je_Aktie!A$3:AM$103,13,FALSE)&lt;&gt;"",VLOOKUP(A23,Dividende_je_Aktie!A$3:AM$103,13,FALSE)/VLOOKUP(A23,Schlußkurse!A$5:AU$105,41,FALSE),""),"")</f>
        <v>4.1564392079855995E-2</v>
      </c>
      <c r="J23" s="71">
        <f>IF(VLOOKUP(A23,Schlußkurse!A$5:AU$105,42,FALSE)&gt;0,IF(VLOOKUP(A23,Dividende_je_Aktie!A$3:AM$103,14,FALSE)&lt;&gt;"",VLOOKUP(A23,Dividende_je_Aktie!A$3:AM$103,14,FALSE)/VLOOKUP(A23,Schlußkurse!A$5:AU$105,42,FALSE),""),"")</f>
        <v>4.6275624112035715E-2</v>
      </c>
      <c r="K23" s="71">
        <f>IF(VLOOKUP(A23,Schlußkurse!A$5:AU$105,43,FALSE)&gt;0,IF(VLOOKUP(A23,Dividende_je_Aktie!A$3:AM$103,15,FALSE)&lt;&gt;"",VLOOKUP(A23,Dividende_je_Aktie!A$3:AM$103,15,FALSE)/VLOOKUP(A23,Schlußkurse!A$5:AU$105,43,FALSE),""),"")</f>
        <v>4.9590875278948676E-2</v>
      </c>
      <c r="L23" s="71">
        <f>IF(VLOOKUP(A23,Schlußkurse!A$5:AU$105,44,FALSE)&gt;0,IF(VLOOKUP(A23,Dividende_je_Aktie!A$3:AM$103,16,FALSE)&lt;&gt;"",VLOOKUP(A23,Dividende_je_Aktie!A$3:AM$103,16,FALSE)/VLOOKUP(A23,Schlußkurse!A$5:AU$105,44,FALSE),""),"")</f>
        <v>4.6666666666666662E-2</v>
      </c>
      <c r="M23" s="71">
        <f>IF(VLOOKUP(A23,Schlußkurse!A$5:AU$105,45,FALSE)&gt;0,IF(VLOOKUP(A23,Dividende_je_Aktie!A$3:AM$103,17,FALSE)&lt;&gt;"",VLOOKUP(A23,Dividende_je_Aktie!A$3:AM$103,17,FALSE)/VLOOKUP(A23,Schlußkurse!A$5:AU$105,45,FALSE),""),"")</f>
        <v>3.3587786259541987E-2</v>
      </c>
      <c r="N23" s="71">
        <f>IF(VLOOKUP(A23,Schlußkurse!A$5:AU$105,46,FALSE)&gt;0,IF(VLOOKUP(A23,Dividende_je_Aktie!A$3:AM$103,18,FALSE)&lt;&gt;"",VLOOKUP(A23,Dividende_je_Aktie!A$3:AM$103,18,FALSE)/VLOOKUP(A23,Schlußkurse!A$5:AU$105,46,FALSE),""),"")</f>
        <v>3.9188243526941925E-2</v>
      </c>
      <c r="O23" s="71">
        <f>IF(VLOOKUP(A23,Schlußkurse!A$5:AU$105,47,FALSE)&gt;0,IF(VLOOKUP(A23,Dividende_je_Aktie!A$3:AM$103,19,FALSE)&lt;&gt;"",VLOOKUP(A23,Dividende_je_Aktie!A$3:AM$103,19,FALSE)/VLOOKUP(A23,Schlußkurse!A$5:AU$105,47,FALSE),""),"")</f>
        <v>3.6153846153846154E-2</v>
      </c>
      <c r="P23" s="71">
        <f t="shared" si="0"/>
        <v>4.1822331886477965E-2</v>
      </c>
      <c r="Q23" s="5">
        <f ca="1">VLOOKUP(A23,Dividende_je_Aktie!A$3:AM$103,24,FALSE)/VLOOKUP(A23,Schlußkurse!A$5:AU$105,35,FALSE)</f>
        <v>3.9785202863961817E-2</v>
      </c>
      <c r="R23" s="5">
        <f t="shared" ca="1" si="1"/>
        <v>-4.8709120955897522E-2</v>
      </c>
    </row>
    <row r="24" spans="1:18">
      <c r="A24" t="s">
        <v>32</v>
      </c>
      <c r="B24" s="38" t="s">
        <v>33</v>
      </c>
      <c r="C24" s="71">
        <f>IF(VLOOKUP(A24,Schlußkurse!A$5:AU$105,35,FALSE)&gt;0,IF(VLOOKUP(A24,Dividende_je_Aktie!A$3:AM$103,7,FALSE)&lt;&gt;"",VLOOKUP(A24,Dividende_je_Aktie!A$3:AM$103,7,FALSE)/VLOOKUP(A24,Schlußkurse!A$5:AU$105,35,FALSE),""),"")</f>
        <v>4.4415584415584415E-2</v>
      </c>
      <c r="D24" s="71">
        <f>IF(VLOOKUP(A24,Schlußkurse!A$5:AU$105,36,FALSE)&gt;0,IF(VLOOKUP(A24,Dividende_je_Aktie!A$3:AM$103,8,FALSE)&lt;&gt;"",VLOOKUP(A24,Dividende_je_Aktie!A$3:AM$103,8,FALSE)/VLOOKUP(A24,Schlußkurse!A$5:AU$105,36,FALSE),""),"")</f>
        <v>4.0259740259740259E-2</v>
      </c>
      <c r="E24" s="71">
        <f>IF(VLOOKUP(A24,Schlußkurse!A$5:AU$105,37,FALSE)&gt;0,IF(VLOOKUP(A24,Dividende_je_Aktie!A$3:AM$103,9,FALSE)&lt;&gt;"",VLOOKUP(A24,Dividende_je_Aktie!A$3:AM$103,9,FALSE)/VLOOKUP(A24,Schlußkurse!A$5:AU$105,37,FALSE),""),"")</f>
        <v>4.1312628186346317E-2</v>
      </c>
      <c r="F24" s="71">
        <f>IF(VLOOKUP(A24,Schlußkurse!A$5:AU$105,38,FALSE)&gt;0,IF(VLOOKUP(A24,Dividende_je_Aktie!A$3:AM$103,10,FALSE)&lt;&gt;"",VLOOKUP(A24,Dividende_je_Aktie!A$3:AM$103,10,FALSE)/VLOOKUP(A24,Schlußkurse!A$5:AU$105,38,FALSE),""),"")</f>
        <v>4.8048048048048048E-2</v>
      </c>
      <c r="G24" s="71">
        <f>IF(VLOOKUP(A24,Schlußkurse!A$5:AU$105,39,FALSE)&gt;0,IF(VLOOKUP(A24,Dividende_je_Aktie!A$3:AM$103,11,FALSE)&lt;&gt;"",VLOOKUP(A24,Dividende_je_Aktie!A$3:AM$103,11,FALSE)/VLOOKUP(A24,Schlußkurse!A$5:AU$105,39,FALSE),""),"")</f>
        <v>5.0721469173589849E-2</v>
      </c>
      <c r="H24" s="71">
        <f>IF(VLOOKUP(A24,Schlußkurse!A$5:AU$105,40,FALSE)&gt;0,IF(VLOOKUP(A24,Dividende_je_Aktie!A$3:AM$103,12,FALSE)&lt;&gt;"",VLOOKUP(A24,Dividende_je_Aktie!A$3:AM$103,12,FALSE)/VLOOKUP(A24,Schlußkurse!A$5:AU$105,40,FALSE),""),"")</f>
        <v>4.6247818499127395E-2</v>
      </c>
      <c r="I24" s="71">
        <f>IF(VLOOKUP(A24,Schlußkurse!A$5:AU$105,41,FALSE)&gt;0,IF(VLOOKUP(A24,Dividende_je_Aktie!A$3:AM$103,13,FALSE)&lt;&gt;"",VLOOKUP(A24,Dividende_je_Aktie!A$3:AM$103,13,FALSE)/VLOOKUP(A24,Schlußkurse!A$5:AU$105,41,FALSE),""),"")</f>
        <v>4.3698252069917204E-2</v>
      </c>
      <c r="J24" s="71">
        <f>IF(VLOOKUP(A24,Schlußkurse!A$5:AU$105,42,FALSE)&gt;0,IF(VLOOKUP(A24,Dividende_je_Aktie!A$3:AM$103,14,FALSE)&lt;&gt;"",VLOOKUP(A24,Dividende_je_Aktie!A$3:AM$103,14,FALSE)/VLOOKUP(A24,Schlußkurse!A$5:AU$105,42,FALSE),""),"")</f>
        <v>4.4280442804428048E-2</v>
      </c>
      <c r="K24" s="71">
        <f>IF(VLOOKUP(A24,Schlußkurse!A$5:AU$105,43,FALSE)&gt;0,IF(VLOOKUP(A24,Dividende_je_Aktie!A$3:AM$103,15,FALSE)&lt;&gt;"",VLOOKUP(A24,Dividende_je_Aktie!A$3:AM$103,15,FALSE)/VLOOKUP(A24,Schlußkurse!A$5:AU$105,43,FALSE),""),"")</f>
        <v>4.0376106194690266E-2</v>
      </c>
      <c r="L24" s="71">
        <f>IF(VLOOKUP(A24,Schlußkurse!A$5:AU$105,44,FALSE)&gt;0,IF(VLOOKUP(A24,Dividende_je_Aktie!A$3:AM$103,16,FALSE)&lt;&gt;"",VLOOKUP(A24,Dividende_je_Aktie!A$3:AM$103,16,FALSE)/VLOOKUP(A24,Schlußkurse!A$5:AU$105,44,FALSE),""),"")</f>
        <v>3.5058430717863111E-2</v>
      </c>
      <c r="M24" s="71">
        <f>IF(VLOOKUP(A24,Schlußkurse!A$5:AU$105,45,FALSE)&gt;0,IF(VLOOKUP(A24,Dividende_je_Aktie!A$3:AM$103,17,FALSE)&lt;&gt;"",VLOOKUP(A24,Dividende_je_Aktie!A$3:AM$103,17,FALSE)/VLOOKUP(A24,Schlußkurse!A$5:AU$105,45,FALSE),""),"")</f>
        <v>2.677376171352075E-2</v>
      </c>
      <c r="N24" s="71" t="str">
        <f>IF(VLOOKUP(A24,Schlußkurse!A$5:AU$105,46,FALSE)&gt;0,IF(VLOOKUP(A24,Dividende_je_Aktie!A$3:AM$103,18,FALSE)&lt;&gt;"",VLOOKUP(A24,Dividende_je_Aktie!A$3:AM$103,18,FALSE)/VLOOKUP(A24,Schlußkurse!A$5:AU$105,46,FALSE),""),"")</f>
        <v/>
      </c>
      <c r="O24" s="71" t="str">
        <f>IF(VLOOKUP(A24,Schlußkurse!A$5:AU$105,47,FALSE)&gt;0,IF(VLOOKUP(A24,Dividende_je_Aktie!A$3:AM$103,19,FALSE)&lt;&gt;"",VLOOKUP(A24,Dividende_je_Aktie!A$3:AM$103,19,FALSE)/VLOOKUP(A24,Schlußkurse!A$5:AU$105,47,FALSE),""),"")</f>
        <v/>
      </c>
      <c r="P24" s="71">
        <f t="shared" si="0"/>
        <v>4.1926571098441431E-2</v>
      </c>
      <c r="Q24" s="5">
        <f ca="1">VLOOKUP(A24,Dividende_je_Aktie!A$3:AM$103,24,FALSE)/VLOOKUP(A24,Schlußkurse!A$5:AU$105,35,FALSE)</f>
        <v>4.2556998556998557E-2</v>
      </c>
      <c r="R24" s="5">
        <f t="shared" ca="1" si="1"/>
        <v>1.5036465946068223E-2</v>
      </c>
    </row>
    <row r="25" spans="1:18">
      <c r="A25" t="s">
        <v>34</v>
      </c>
      <c r="B25" s="38" t="s">
        <v>35</v>
      </c>
      <c r="C25" s="71">
        <f>IF(VLOOKUP(A25,Schlußkurse!A$5:AU$105,35,FALSE)&gt;0,IF(VLOOKUP(A25,Dividende_je_Aktie!A$3:AM$103,7,FALSE)&lt;&gt;"",VLOOKUP(A25,Dividende_je_Aktie!A$3:AM$103,7,FALSE)/VLOOKUP(A25,Schlußkurse!A$5:AU$105,35,FALSE),""),"")</f>
        <v>5.054945054945055E-2</v>
      </c>
      <c r="D25" s="71">
        <f>IF(VLOOKUP(A25,Schlußkurse!A$5:AU$105,36,FALSE)&gt;0,IF(VLOOKUP(A25,Dividende_je_Aktie!A$3:AM$103,8,FALSE)&lt;&gt;"",VLOOKUP(A25,Dividende_je_Aktie!A$3:AM$103,8,FALSE)/VLOOKUP(A25,Schlußkurse!A$5:AU$105,36,FALSE),""),"")</f>
        <v>5.1989150090415909E-2</v>
      </c>
      <c r="E25" s="71">
        <f>IF(VLOOKUP(A25,Schlußkurse!A$5:AU$105,37,FALSE)&gt;0,IF(VLOOKUP(A25,Dividende_je_Aktie!A$3:AM$103,9,FALSE)&lt;&gt;"",VLOOKUP(A25,Dividende_je_Aktie!A$3:AM$103,9,FALSE)/VLOOKUP(A25,Schlußkurse!A$5:AU$105,37,FALSE),""),"")</f>
        <v>4.989793603991835E-2</v>
      </c>
      <c r="F25" s="71">
        <f>IF(VLOOKUP(A25,Schlußkurse!A$5:AU$105,38,FALSE)&gt;0,IF(VLOOKUP(A25,Dividende_je_Aktie!A$3:AM$103,10,FALSE)&lt;&gt;"",VLOOKUP(A25,Dividende_je_Aktie!A$3:AM$103,10,FALSE)/VLOOKUP(A25,Schlußkurse!A$5:AU$105,38,FALSE),""),"")</f>
        <v>4.9931911030413077E-2</v>
      </c>
      <c r="G25" s="71">
        <f>IF(VLOOKUP(A25,Schlußkurse!A$5:AU$105,39,FALSE)&gt;0,IF(VLOOKUP(A25,Dividende_je_Aktie!A$3:AM$103,11,FALSE)&lt;&gt;"",VLOOKUP(A25,Dividende_je_Aktie!A$3:AM$103,11,FALSE)/VLOOKUP(A25,Schlußkurse!A$5:AU$105,39,FALSE),""),"")</f>
        <v>5.3590568060021437E-2</v>
      </c>
      <c r="H25" s="71">
        <f>IF(VLOOKUP(A25,Schlußkurse!A$5:AU$105,40,FALSE)&gt;0,IF(VLOOKUP(A25,Dividende_je_Aktie!A$3:AM$103,12,FALSE)&lt;&gt;"",VLOOKUP(A25,Dividende_je_Aktie!A$3:AM$103,12,FALSE)/VLOOKUP(A25,Schlußkurse!A$5:AU$105,40,FALSE),""),"")</f>
        <v>5.5168408826945417E-2</v>
      </c>
      <c r="I25" s="71">
        <f>IF(VLOOKUP(A25,Schlußkurse!A$5:AU$105,41,FALSE)&gt;0,IF(VLOOKUP(A25,Dividende_je_Aktie!A$3:AM$103,13,FALSE)&lt;&gt;"",VLOOKUP(A25,Dividende_je_Aktie!A$3:AM$103,13,FALSE)/VLOOKUP(A25,Schlußkurse!A$5:AU$105,41,FALSE),""),"")</f>
        <v>5.0424929178470253E-2</v>
      </c>
      <c r="J25" s="71">
        <f>IF(VLOOKUP(A25,Schlußkurse!A$5:AU$105,42,FALSE)&gt;0,IF(VLOOKUP(A25,Dividende_je_Aktie!A$3:AM$103,14,FALSE)&lt;&gt;"",VLOOKUP(A25,Dividende_je_Aktie!A$3:AM$103,14,FALSE)/VLOOKUP(A25,Schlußkurse!A$5:AU$105,42,FALSE),""),"")</f>
        <v>5.460526315789474E-2</v>
      </c>
      <c r="K25" s="71">
        <f>IF(VLOOKUP(A25,Schlußkurse!A$5:AU$105,43,FALSE)&gt;0,IF(VLOOKUP(A25,Dividende_je_Aktie!A$3:AM$103,15,FALSE)&lt;&gt;"",VLOOKUP(A25,Dividende_je_Aktie!A$3:AM$103,15,FALSE)/VLOOKUP(A25,Schlußkurse!A$5:AU$105,43,FALSE),""),"")</f>
        <v>4.5621181262729127E-2</v>
      </c>
      <c r="L25" s="71">
        <f>IF(VLOOKUP(A25,Schlußkurse!A$5:AU$105,44,FALSE)&gt;0,IF(VLOOKUP(A25,Dividende_je_Aktie!A$3:AM$103,16,FALSE)&lt;&gt;"",VLOOKUP(A25,Dividende_je_Aktie!A$3:AM$103,16,FALSE)/VLOOKUP(A25,Schlußkurse!A$5:AU$105,44,FALSE),""),"")</f>
        <v>4.9701789264413522E-2</v>
      </c>
      <c r="M25" s="71">
        <f>IF(VLOOKUP(A25,Schlußkurse!A$5:AU$105,45,FALSE)&gt;0,IF(VLOOKUP(A25,Dividende_je_Aktie!A$3:AM$103,17,FALSE)&lt;&gt;"",VLOOKUP(A25,Dividende_je_Aktie!A$3:AM$103,17,FALSE)/VLOOKUP(A25,Schlußkurse!A$5:AU$105,45,FALSE),""),"")</f>
        <v>5.0184501845018457E-2</v>
      </c>
      <c r="N25" s="71">
        <f>IF(VLOOKUP(A25,Schlußkurse!A$5:AU$105,46,FALSE)&gt;0,IF(VLOOKUP(A25,Dividende_je_Aktie!A$3:AM$103,18,FALSE)&lt;&gt;"",VLOOKUP(A25,Dividende_je_Aktie!A$3:AM$103,18,FALSE)/VLOOKUP(A25,Schlußkurse!A$5:AU$105,46,FALSE),""),"")</f>
        <v>5.0622406639004143E-2</v>
      </c>
      <c r="O25" s="71">
        <f>IF(VLOOKUP(A25,Schlußkurse!A$5:AU$105,47,FALSE)&gt;0,IF(VLOOKUP(A25,Dividende_je_Aktie!A$3:AM$103,19,FALSE)&lt;&gt;"",VLOOKUP(A25,Dividende_je_Aktie!A$3:AM$103,19,FALSE)/VLOOKUP(A25,Schlußkurse!A$5:AU$105,47,FALSE),""),"")</f>
        <v>2.8469750889679714E-2</v>
      </c>
      <c r="P25" s="71">
        <f t="shared" si="0"/>
        <v>4.9289018987259597E-2</v>
      </c>
      <c r="Q25" s="5">
        <f ca="1">VLOOKUP(A25,Dividende_je_Aktie!A$3:AM$103,24,FALSE)/VLOOKUP(A25,Schlußkurse!A$5:AU$105,35,FALSE)</f>
        <v>5.0615384615384618E-2</v>
      </c>
      <c r="R25" s="5">
        <f t="shared" ca="1" si="1"/>
        <v>2.6909962003258014E-2</v>
      </c>
    </row>
    <row r="26" spans="1:18">
      <c r="A26" t="s">
        <v>277</v>
      </c>
      <c r="B26" s="38" t="s">
        <v>278</v>
      </c>
      <c r="C26" s="71">
        <f>IF(VLOOKUP(A26,Schlußkurse!A$5:AU$105,35,FALSE)&gt;0,IF(VLOOKUP(A26,Dividende_je_Aktie!A$3:AM$103,7,FALSE)&lt;&gt;"",VLOOKUP(A26,Dividende_je_Aktie!A$3:AM$103,7,FALSE)/VLOOKUP(A26,Schlußkurse!A$5:AU$105,35,FALSE),""),"")</f>
        <v>1.9764247097403174E-2</v>
      </c>
      <c r="D26" s="71">
        <f>IF(VLOOKUP(A26,Schlußkurse!A$5:AU$105,36,FALSE)&gt;0,IF(VLOOKUP(A26,Dividende_je_Aktie!A$3:AM$103,8,FALSE)&lt;&gt;"",VLOOKUP(A26,Dividende_je_Aktie!A$3:AM$103,8,FALSE)/VLOOKUP(A26,Schlußkurse!A$5:AU$105,36,FALSE),""),"")</f>
        <v>2.038464947265798E-2</v>
      </c>
      <c r="E26" s="71">
        <f>IF(VLOOKUP(A26,Schlußkurse!A$5:AU$105,37,FALSE)&gt;0,IF(VLOOKUP(A26,Dividende_je_Aktie!A$3:AM$103,9,FALSE)&lt;&gt;"",VLOOKUP(A26,Dividende_je_Aktie!A$3:AM$103,9,FALSE)/VLOOKUP(A26,Schlußkurse!A$5:AU$105,37,FALSE),""),"")</f>
        <v>2.1639970298079986E-2</v>
      </c>
      <c r="F26" s="71">
        <f>IF(VLOOKUP(A26,Schlußkurse!A$5:AU$105,38,FALSE)&gt;0,IF(VLOOKUP(A26,Dividende_je_Aktie!A$3:AM$103,10,FALSE)&lt;&gt;"",VLOOKUP(A26,Dividende_je_Aktie!A$3:AM$103,10,FALSE)/VLOOKUP(A26,Schlußkurse!A$5:AU$105,38,FALSE),""),"")</f>
        <v>2.2945965951147299E-2</v>
      </c>
      <c r="G26" s="71">
        <f>IF(VLOOKUP(A26,Schlußkurse!A$5:AU$105,39,FALSE)&gt;0,IF(VLOOKUP(A26,Dividende_je_Aktie!A$3:AM$103,11,FALSE)&lt;&gt;"",VLOOKUP(A26,Dividende_je_Aktie!A$3:AM$103,11,FALSE)/VLOOKUP(A26,Schlußkurse!A$5:AU$105,39,FALSE),""),"")</f>
        <v>2.2422145328719726E-2</v>
      </c>
      <c r="H26" s="71">
        <f>IF(VLOOKUP(A26,Schlußkurse!A$5:AU$105,40,FALSE)&gt;0,IF(VLOOKUP(A26,Dividende_je_Aktie!A$3:AM$103,12,FALSE)&lt;&gt;"",VLOOKUP(A26,Dividende_je_Aktie!A$3:AM$103,12,FALSE)/VLOOKUP(A26,Schlußkurse!A$5:AU$105,40,FALSE),""),"")</f>
        <v>2.1915584415584416E-2</v>
      </c>
      <c r="I26" s="71">
        <f>IF(VLOOKUP(A26,Schlußkurse!A$5:AU$105,41,FALSE)&gt;0,IF(VLOOKUP(A26,Dividende_je_Aktie!A$3:AM$103,13,FALSE)&lt;&gt;"",VLOOKUP(A26,Dividende_je_Aktie!A$3:AM$103,13,FALSE)/VLOOKUP(A26,Schlußkurse!A$5:AU$105,41,FALSE),""),"")</f>
        <v>1.6794178018286993E-2</v>
      </c>
      <c r="J26" s="71">
        <f>IF(VLOOKUP(A26,Schlußkurse!A$5:AU$105,42,FALSE)&gt;0,IF(VLOOKUP(A26,Dividende_je_Aktie!A$3:AM$103,14,FALSE)&lt;&gt;"",VLOOKUP(A26,Dividende_je_Aktie!A$3:AM$103,14,FALSE)/VLOOKUP(A26,Schlußkurse!A$5:AU$105,42,FALSE),""),"")</f>
        <v>2.0491803278688523E-2</v>
      </c>
      <c r="K26" s="71">
        <f>IF(VLOOKUP(A26,Schlußkurse!A$5:AU$105,43,FALSE)&gt;0,IF(VLOOKUP(A26,Dividende_je_Aktie!A$3:AM$103,15,FALSE)&lt;&gt;"",VLOOKUP(A26,Dividende_je_Aktie!A$3:AM$103,15,FALSE)/VLOOKUP(A26,Schlußkurse!A$5:AU$105,43,FALSE),""),"")</f>
        <v>1.5151515151515152E-2</v>
      </c>
      <c r="L26" s="71">
        <f>IF(VLOOKUP(A26,Schlußkurse!A$5:AU$105,44,FALSE)&gt;0,IF(VLOOKUP(A26,Dividende_je_Aktie!A$3:AM$103,16,FALSE)&lt;&gt;"",VLOOKUP(A26,Dividende_je_Aktie!A$3:AM$103,16,FALSE)/VLOOKUP(A26,Schlußkurse!A$5:AU$105,44,FALSE),""),"")</f>
        <v>1.0154738878143133E-2</v>
      </c>
      <c r="M26" s="71">
        <f>IF(VLOOKUP(A26,Schlußkurse!A$5:AU$105,45,FALSE)&gt;0,IF(VLOOKUP(A26,Dividende_je_Aktie!A$3:AM$103,17,FALSE)&lt;&gt;"",VLOOKUP(A26,Dividende_je_Aktie!A$3:AM$103,17,FALSE)/VLOOKUP(A26,Schlußkurse!A$5:AU$105,45,FALSE),""),"")</f>
        <v>8.493084202863382E-3</v>
      </c>
      <c r="N26" s="71">
        <f>IF(VLOOKUP(A26,Schlußkurse!A$5:AU$105,46,FALSE)&gt;0,IF(VLOOKUP(A26,Dividende_je_Aktie!A$3:AM$103,18,FALSE)&lt;&gt;"",VLOOKUP(A26,Dividende_je_Aktie!A$3:AM$103,18,FALSE)/VLOOKUP(A26,Schlußkurse!A$5:AU$105,46,FALSE),""),"")</f>
        <v>1.0114632501685771E-2</v>
      </c>
      <c r="O26" s="71">
        <f>IF(VLOOKUP(A26,Schlußkurse!A$5:AU$105,47,FALSE)&gt;0,IF(VLOOKUP(A26,Dividende_je_Aktie!A$3:AM$103,19,FALSE)&lt;&gt;"",VLOOKUP(A26,Dividende_je_Aktie!A$3:AM$103,19,FALSE)/VLOOKUP(A26,Schlußkurse!A$5:AU$105,47,FALSE),""),"")</f>
        <v>0</v>
      </c>
      <c r="P26" s="71">
        <f t="shared" si="0"/>
        <v>1.6174808814982729E-2</v>
      </c>
      <c r="Q26" s="5">
        <f ca="1">VLOOKUP(A26,Dividende_je_Aktie!A$3:AM$103,24,FALSE)/VLOOKUP(A26,Schlußkurse!A$5:AU$105,35,FALSE)</f>
        <v>1.9991727968329934E-2</v>
      </c>
      <c r="R26" s="5">
        <f t="shared" ca="1" si="1"/>
        <v>0.23597924383573488</v>
      </c>
    </row>
    <row r="27" spans="1:18">
      <c r="A27" t="s">
        <v>36</v>
      </c>
      <c r="B27" s="38" t="s">
        <v>37</v>
      </c>
      <c r="C27" s="71">
        <f>IF(VLOOKUP(A27,Schlußkurse!A$5:AU$105,35,FALSE)&gt;0,IF(VLOOKUP(A27,Dividende_je_Aktie!A$3:AM$103,7,FALSE)&lt;&gt;"",VLOOKUP(A27,Dividende_je_Aktie!A$3:AM$103,7,FALSE)/VLOOKUP(A27,Schlußkurse!A$5:AU$105,35,FALSE),""),"")</f>
        <v>3.4452184927169095E-2</v>
      </c>
      <c r="D27" s="71">
        <f>IF(VLOOKUP(A27,Schlußkurse!A$5:AU$105,36,FALSE)&gt;0,IF(VLOOKUP(A27,Dividende_je_Aktie!A$3:AM$103,8,FALSE)&lt;&gt;"",VLOOKUP(A27,Dividende_je_Aktie!A$3:AM$103,8,FALSE)/VLOOKUP(A27,Schlußkurse!A$5:AU$105,36,FALSE),""),"")</f>
        <v>3.2172260924635848E-2</v>
      </c>
      <c r="E27" s="71">
        <f>IF(VLOOKUP(A27,Schlußkurse!A$5:AU$105,37,FALSE)&gt;0,IF(VLOOKUP(A27,Dividende_je_Aktie!A$3:AM$103,9,FALSE)&lt;&gt;"",VLOOKUP(A27,Dividende_je_Aktie!A$3:AM$103,9,FALSE)/VLOOKUP(A27,Schlußkurse!A$5:AU$105,37,FALSE),""),"")</f>
        <v>2.9672110709387859E-2</v>
      </c>
      <c r="F27" s="71">
        <f>IF(VLOOKUP(A27,Schlußkurse!A$5:AU$105,38,FALSE)&gt;0,IF(VLOOKUP(A27,Dividende_je_Aktie!A$3:AM$103,10,FALSE)&lt;&gt;"",VLOOKUP(A27,Dividende_je_Aktie!A$3:AM$103,10,FALSE)/VLOOKUP(A27,Schlußkurse!A$5:AU$105,38,FALSE),""),"")</f>
        <v>3.4313725490196081E-2</v>
      </c>
      <c r="G27" s="71">
        <f>IF(VLOOKUP(A27,Schlußkurse!A$5:AU$105,39,FALSE)&gt;0,IF(VLOOKUP(A27,Dividende_je_Aktie!A$3:AM$103,11,FALSE)&lt;&gt;"",VLOOKUP(A27,Dividende_je_Aktie!A$3:AM$103,11,FALSE)/VLOOKUP(A27,Schlußkurse!A$5:AU$105,39,FALSE),""),"")</f>
        <v>3.5866780529462003E-2</v>
      </c>
      <c r="H27" s="71">
        <f>IF(VLOOKUP(A27,Schlußkurse!A$5:AU$105,40,FALSE)&gt;0,IF(VLOOKUP(A27,Dividende_je_Aktie!A$3:AM$103,12,FALSE)&lt;&gt;"",VLOOKUP(A27,Dividende_je_Aktie!A$3:AM$103,12,FALSE)/VLOOKUP(A27,Schlußkurse!A$5:AU$105,40,FALSE),""),"")</f>
        <v>3.3639674007282815E-2</v>
      </c>
      <c r="I27" s="71">
        <f>IF(VLOOKUP(A27,Schlußkurse!A$5:AU$105,41,FALSE)&gt;0,IF(VLOOKUP(A27,Dividende_je_Aktie!A$3:AM$103,13,FALSE)&lt;&gt;"",VLOOKUP(A27,Dividende_je_Aktie!A$3:AM$103,13,FALSE)/VLOOKUP(A27,Schlußkurse!A$5:AU$105,41,FALSE),""),"")</f>
        <v>3.3872788859616108E-2</v>
      </c>
      <c r="J27" s="71">
        <f>IF(VLOOKUP(A27,Schlußkurse!A$5:AU$105,42,FALSE)&gt;0,IF(VLOOKUP(A27,Dividende_je_Aktie!A$3:AM$103,14,FALSE)&lt;&gt;"",VLOOKUP(A27,Dividende_je_Aktie!A$3:AM$103,14,FALSE)/VLOOKUP(A27,Schlußkurse!A$5:AU$105,42,FALSE),""),"")</f>
        <v>3.5622317596566519E-2</v>
      </c>
      <c r="K27" s="71">
        <f>IF(VLOOKUP(A27,Schlußkurse!A$5:AU$105,43,FALSE)&gt;0,IF(VLOOKUP(A27,Dividende_je_Aktie!A$3:AM$103,15,FALSE)&lt;&gt;"",VLOOKUP(A27,Dividende_je_Aktie!A$3:AM$103,15,FALSE)/VLOOKUP(A27,Schlußkurse!A$5:AU$105,43,FALSE),""),"")</f>
        <v>3.5164835164835165E-2</v>
      </c>
      <c r="L27" s="71">
        <f>IF(VLOOKUP(A27,Schlußkurse!A$5:AU$105,44,FALSE)&gt;0,IF(VLOOKUP(A27,Dividende_je_Aktie!A$3:AM$103,16,FALSE)&lt;&gt;"",VLOOKUP(A27,Dividende_je_Aktie!A$3:AM$103,16,FALSE)/VLOOKUP(A27,Schlußkurse!A$5:AU$105,44,FALSE),""),"")</f>
        <v>4.4405997693194928E-2</v>
      </c>
      <c r="M27" s="71">
        <f>IF(VLOOKUP(A27,Schlußkurse!A$5:AU$105,45,FALSE)&gt;0,IF(VLOOKUP(A27,Dividende_je_Aktie!A$3:AM$103,17,FALSE)&lt;&gt;"",VLOOKUP(A27,Dividende_je_Aktie!A$3:AM$103,17,FALSE)/VLOOKUP(A27,Schlußkurse!A$5:AU$105,45,FALSE),""),"")</f>
        <v>2.9821073558648114E-2</v>
      </c>
      <c r="N27" s="71">
        <f>IF(VLOOKUP(A27,Schlußkurse!A$5:AU$105,46,FALSE)&gt;0,IF(VLOOKUP(A27,Dividende_je_Aktie!A$3:AM$103,18,FALSE)&lt;&gt;"",VLOOKUP(A27,Dividende_je_Aktie!A$3:AM$103,18,FALSE)/VLOOKUP(A27,Schlußkurse!A$5:AU$105,46,FALSE),""),"")</f>
        <v>3.4057971014492754E-2</v>
      </c>
      <c r="O27" s="71">
        <f>IF(VLOOKUP(A27,Schlußkurse!A$5:AU$105,47,FALSE)&gt;0,IF(VLOOKUP(A27,Dividende_je_Aktie!A$3:AM$103,19,FALSE)&lt;&gt;"",VLOOKUP(A27,Dividende_je_Aktie!A$3:AM$103,19,FALSE)/VLOOKUP(A27,Schlußkurse!A$5:AU$105,47,FALSE),""),"")</f>
        <v>3.4227039361095266E-2</v>
      </c>
      <c r="P27" s="71">
        <f t="shared" si="0"/>
        <v>3.4406827679737122E-2</v>
      </c>
      <c r="Q27" s="5">
        <f ca="1">VLOOKUP(A27,Dividende_je_Aktie!A$3:AM$103,24,FALSE)/VLOOKUP(A27,Schlußkurse!A$5:AU$105,35,FALSE)</f>
        <v>3.2856238125395822E-2</v>
      </c>
      <c r="R27" s="5">
        <f t="shared" ca="1" si="1"/>
        <v>-4.5066333018968563E-2</v>
      </c>
    </row>
    <row r="28" spans="1:18">
      <c r="A28" t="s">
        <v>38</v>
      </c>
      <c r="B28" s="38" t="s">
        <v>39</v>
      </c>
      <c r="C28" s="71">
        <f>IF(VLOOKUP(A28,Schlußkurse!A$5:AU$105,35,FALSE)&gt;0,IF(VLOOKUP(A28,Dividende_je_Aktie!A$3:AM$103,7,FALSE)&lt;&gt;"",VLOOKUP(A28,Dividende_je_Aktie!A$3:AM$103,7,FALSE)/VLOOKUP(A28,Schlußkurse!A$5:AU$105,35,FALSE),""),"")</f>
        <v>5.0909090909090911E-2</v>
      </c>
      <c r="D28" s="71">
        <f>IF(VLOOKUP(A28,Schlußkurse!A$5:AU$105,36,FALSE)&gt;0,IF(VLOOKUP(A28,Dividende_je_Aktie!A$3:AM$103,8,FALSE)&lt;&gt;"",VLOOKUP(A28,Dividende_je_Aktie!A$3:AM$103,8,FALSE)/VLOOKUP(A28,Schlußkurse!A$5:AU$105,36,FALSE),""),"")</f>
        <v>5.0129870129870129E-2</v>
      </c>
      <c r="E28" s="71">
        <f>IF(VLOOKUP(A28,Schlußkurse!A$5:AU$105,37,FALSE)&gt;0,IF(VLOOKUP(A28,Dividende_je_Aktie!A$3:AM$103,9,FALSE)&lt;&gt;"",VLOOKUP(A28,Dividende_je_Aktie!A$3:AM$103,9,FALSE)/VLOOKUP(A28,Schlußkurse!A$5:AU$105,37,FALSE),""),"")</f>
        <v>5.5797733217088058E-2</v>
      </c>
      <c r="F28" s="71">
        <f>IF(VLOOKUP(A28,Schlußkurse!A$5:AU$105,38,FALSE)&gt;0,IF(VLOOKUP(A28,Dividende_je_Aktie!A$3:AM$103,10,FALSE)&lt;&gt;"",VLOOKUP(A28,Dividende_je_Aktie!A$3:AM$103,10,FALSE)/VLOOKUP(A28,Schlußkurse!A$5:AU$105,38,FALSE),""),"")</f>
        <v>5.5075915451027087E-2</v>
      </c>
      <c r="G28" s="71">
        <f>IF(VLOOKUP(A28,Schlußkurse!A$5:AU$105,39,FALSE)&gt;0,IF(VLOOKUP(A28,Dividende_je_Aktie!A$3:AM$103,11,FALSE)&lt;&gt;"",VLOOKUP(A28,Dividende_je_Aktie!A$3:AM$103,11,FALSE)/VLOOKUP(A28,Schlußkurse!A$5:AU$105,39,FALSE),""),"")</f>
        <v>5.1478953356086467E-2</v>
      </c>
      <c r="H28" s="71">
        <f>IF(VLOOKUP(A28,Schlußkurse!A$5:AU$105,40,FALSE)&gt;0,IF(VLOOKUP(A28,Dividende_je_Aktie!A$3:AM$103,12,FALSE)&lt;&gt;"",VLOOKUP(A28,Dividende_je_Aktie!A$3:AM$103,12,FALSE)/VLOOKUP(A28,Schlußkurse!A$5:AU$105,40,FALSE),""),"")</f>
        <v>5.2506674577276771E-2</v>
      </c>
      <c r="I28" s="71">
        <f>IF(VLOOKUP(A28,Schlußkurse!A$5:AU$105,41,FALSE)&gt;0,IF(VLOOKUP(A28,Dividende_je_Aktie!A$3:AM$103,13,FALSE)&lt;&gt;"",VLOOKUP(A28,Dividende_je_Aktie!A$3:AM$103,13,FALSE)/VLOOKUP(A28,Schlußkurse!A$5:AU$105,41,FALSE),""),"")</f>
        <v>5.6878306878306882E-2</v>
      </c>
      <c r="J28" s="71">
        <f>IF(VLOOKUP(A28,Schlußkurse!A$5:AU$105,42,FALSE)&gt;0,IF(VLOOKUP(A28,Dividende_je_Aktie!A$3:AM$103,14,FALSE)&lt;&gt;"",VLOOKUP(A28,Dividende_je_Aktie!A$3:AM$103,14,FALSE)/VLOOKUP(A28,Schlußkurse!A$5:AU$105,42,FALSE),""),"")</f>
        <v>5.7181756296800543E-2</v>
      </c>
      <c r="K28" s="71">
        <f>IF(VLOOKUP(A28,Schlußkurse!A$5:AU$105,43,FALSE)&gt;0,IF(VLOOKUP(A28,Dividende_je_Aktie!A$3:AM$103,15,FALSE)&lt;&gt;"",VLOOKUP(A28,Dividende_je_Aktie!A$3:AM$103,15,FALSE)/VLOOKUP(A28,Schlußkurse!A$5:AU$105,43,FALSE),""),"")</f>
        <v>5.886550124866214E-2</v>
      </c>
      <c r="L28" s="71">
        <f>IF(VLOOKUP(A28,Schlußkurse!A$5:AU$105,44,FALSE)&gt;0,IF(VLOOKUP(A28,Dividende_je_Aktie!A$3:AM$103,16,FALSE)&lt;&gt;"",VLOOKUP(A28,Dividende_je_Aktie!A$3:AM$103,16,FALSE)/VLOOKUP(A28,Schlußkurse!A$5:AU$105,44,FALSE),""),"")</f>
        <v>5.6491228070175439E-2</v>
      </c>
      <c r="M28" s="71">
        <f>IF(VLOOKUP(A28,Schlußkurse!A$5:AU$105,45,FALSE)&gt;0,IF(VLOOKUP(A28,Dividende_je_Aktie!A$3:AM$103,17,FALSE)&lt;&gt;"",VLOOKUP(A28,Dividende_je_Aktie!A$3:AM$103,17,FALSE)/VLOOKUP(A28,Schlußkurse!A$5:AU$105,45,FALSE),""),"")</f>
        <v>3.5370548604427329E-2</v>
      </c>
      <c r="N28" s="71">
        <f>IF(VLOOKUP(A28,Schlußkurse!A$5:AU$105,46,FALSE)&gt;0,IF(VLOOKUP(A28,Dividende_je_Aktie!A$3:AM$103,18,FALSE)&lt;&gt;"",VLOOKUP(A28,Dividende_je_Aktie!A$3:AM$103,18,FALSE)/VLOOKUP(A28,Schlußkurse!A$5:AU$105,46,FALSE),""),"")</f>
        <v>3.7762237762237763E-2</v>
      </c>
      <c r="O28" s="71">
        <f>IF(VLOOKUP(A28,Schlußkurse!A$5:AU$105,47,FALSE)&gt;0,IF(VLOOKUP(A28,Dividende_je_Aktie!A$3:AM$103,19,FALSE)&lt;&gt;"",VLOOKUP(A28,Dividende_je_Aktie!A$3:AM$103,19,FALSE)/VLOOKUP(A28,Schlußkurse!A$5:AU$105,47,FALSE),""),"")</f>
        <v>5.3082890975908542E-2</v>
      </c>
      <c r="P28" s="71">
        <f t="shared" si="0"/>
        <v>5.1656208267458315E-2</v>
      </c>
      <c r="Q28" s="5">
        <f ca="1">VLOOKUP(A28,Dividende_je_Aktie!A$3:AM$103,24,FALSE)/VLOOKUP(A28,Schlußkurse!A$5:AU$105,35,FALSE)</f>
        <v>5.0363636363636367E-2</v>
      </c>
      <c r="R28" s="5">
        <f t="shared" ca="1" si="1"/>
        <v>-2.5022585806713682E-2</v>
      </c>
    </row>
    <row r="29" spans="1:18">
      <c r="A29" t="s">
        <v>318</v>
      </c>
      <c r="B29" s="38" t="s">
        <v>319</v>
      </c>
      <c r="C29" s="71">
        <f>IF(VLOOKUP(A29,Schlußkurse!A$5:AU$105,35,FALSE)&gt;0,IF(VLOOKUP(A29,Dividende_je_Aktie!A$3:AM$103,7,FALSE)&lt;&gt;"",VLOOKUP(A29,Dividende_je_Aktie!A$3:AM$103,7,FALSE)/VLOOKUP(A29,Schlußkurse!A$5:AU$105,35,FALSE),""),"")</f>
        <v>0</v>
      </c>
      <c r="D29" s="71">
        <f>IF(VLOOKUP(A29,Schlußkurse!A$5:AU$105,36,FALSE)&gt;0,IF(VLOOKUP(A29,Dividende_je_Aktie!A$3:AM$103,8,FALSE)&lt;&gt;"",VLOOKUP(A29,Dividende_je_Aktie!A$3:AM$103,8,FALSE)/VLOOKUP(A29,Schlußkurse!A$5:AU$105,36,FALSE),""),"")</f>
        <v>0</v>
      </c>
      <c r="E29" s="71">
        <f>IF(VLOOKUP(A29,Schlußkurse!A$5:AU$105,37,FALSE)&gt;0,IF(VLOOKUP(A29,Dividende_je_Aktie!A$3:AM$103,9,FALSE)&lt;&gt;"",VLOOKUP(A29,Dividende_je_Aktie!A$3:AM$103,9,FALSE)/VLOOKUP(A29,Schlußkurse!A$5:AU$105,37,FALSE),""),"")</f>
        <v>0</v>
      </c>
      <c r="F29" s="71">
        <f>IF(VLOOKUP(A29,Schlußkurse!A$5:AU$105,38,FALSE)&gt;0,IF(VLOOKUP(A29,Dividende_je_Aktie!A$3:AM$103,10,FALSE)&lt;&gt;"",VLOOKUP(A29,Dividende_je_Aktie!A$3:AM$103,10,FALSE)/VLOOKUP(A29,Schlußkurse!A$5:AU$105,38,FALSE),""),"")</f>
        <v>0</v>
      </c>
      <c r="G29" s="71">
        <f>IF(VLOOKUP(A29,Schlußkurse!A$5:AU$105,39,FALSE)&gt;0,IF(VLOOKUP(A29,Dividende_je_Aktie!A$3:AM$103,11,FALSE)&lt;&gt;"",VLOOKUP(A29,Dividende_je_Aktie!A$3:AM$103,11,FALSE)/VLOOKUP(A29,Schlußkurse!A$5:AU$105,39,FALSE),""),"")</f>
        <v>0</v>
      </c>
      <c r="H29" s="71">
        <f>IF(VLOOKUP(A29,Schlußkurse!A$5:AU$105,40,FALSE)&gt;0,IF(VLOOKUP(A29,Dividende_je_Aktie!A$3:AM$103,12,FALSE)&lt;&gt;"",VLOOKUP(A29,Dividende_je_Aktie!A$3:AM$103,12,FALSE)/VLOOKUP(A29,Schlußkurse!A$5:AU$105,40,FALSE),""),"")</f>
        <v>0</v>
      </c>
      <c r="I29" s="71">
        <f>IF(VLOOKUP(A29,Schlußkurse!A$5:AU$105,41,FALSE)&gt;0,IF(VLOOKUP(A29,Dividende_je_Aktie!A$3:AM$103,13,FALSE)&lt;&gt;"",VLOOKUP(A29,Dividende_je_Aktie!A$3:AM$103,13,FALSE)/VLOOKUP(A29,Schlußkurse!A$5:AU$105,41,FALSE),""),"")</f>
        <v>0</v>
      </c>
      <c r="J29" s="71">
        <f>IF(VLOOKUP(A29,Schlußkurse!A$5:AU$105,42,FALSE)&gt;0,IF(VLOOKUP(A29,Dividende_je_Aktie!A$3:AM$103,14,FALSE)&lt;&gt;"",VLOOKUP(A29,Dividende_je_Aktie!A$3:AM$103,14,FALSE)/VLOOKUP(A29,Schlußkurse!A$5:AU$105,42,FALSE),""),"")</f>
        <v>0</v>
      </c>
      <c r="K29" s="71">
        <f>IF(VLOOKUP(A29,Schlußkurse!A$5:AU$105,43,FALSE)&gt;0,IF(VLOOKUP(A29,Dividende_je_Aktie!A$3:AM$103,15,FALSE)&lt;&gt;"",VLOOKUP(A29,Dividende_je_Aktie!A$3:AM$103,15,FALSE)/VLOOKUP(A29,Schlußkurse!A$5:AU$105,43,FALSE),""),"")</f>
        <v>0</v>
      </c>
      <c r="L29" s="71">
        <f>IF(VLOOKUP(A29,Schlußkurse!A$5:AU$105,44,FALSE)&gt;0,IF(VLOOKUP(A29,Dividende_je_Aktie!A$3:AM$103,16,FALSE)&lt;&gt;"",VLOOKUP(A29,Dividende_je_Aktie!A$3:AM$103,16,FALSE)/VLOOKUP(A29,Schlußkurse!A$5:AU$105,44,FALSE),""),"")</f>
        <v>0</v>
      </c>
      <c r="M29" s="71">
        <f>IF(VLOOKUP(A29,Schlußkurse!A$5:AU$105,45,FALSE)&gt;0,IF(VLOOKUP(A29,Dividende_je_Aktie!A$3:AM$103,17,FALSE)&lt;&gt;"",VLOOKUP(A29,Dividende_je_Aktie!A$3:AM$103,17,FALSE)/VLOOKUP(A29,Schlußkurse!A$5:AU$105,45,FALSE),""),"")</f>
        <v>0</v>
      </c>
      <c r="N29" s="71">
        <f>IF(VLOOKUP(A29,Schlußkurse!A$5:AU$105,46,FALSE)&gt;0,IF(VLOOKUP(A29,Dividende_je_Aktie!A$3:AM$103,18,FALSE)&lt;&gt;"",VLOOKUP(A29,Dividende_je_Aktie!A$3:AM$103,18,FALSE)/VLOOKUP(A29,Schlußkurse!A$5:AU$105,46,FALSE),""),"")</f>
        <v>0</v>
      </c>
      <c r="O29" s="71">
        <f>IF(VLOOKUP(A29,Schlußkurse!A$5:AU$105,47,FALSE)&gt;0,IF(VLOOKUP(A29,Dividende_je_Aktie!A$3:AM$103,19,FALSE)&lt;&gt;"",VLOOKUP(A29,Dividende_je_Aktie!A$3:AM$103,19,FALSE)/VLOOKUP(A29,Schlußkurse!A$5:AU$105,47,FALSE),""),"")</f>
        <v>0</v>
      </c>
      <c r="P29" s="71">
        <f t="shared" si="0"/>
        <v>0</v>
      </c>
      <c r="Q29" s="5">
        <f ca="1">VLOOKUP(A29,Dividende_je_Aktie!A$3:AM$103,24,FALSE)/VLOOKUP(A29,Schlußkurse!A$5:AU$105,35,FALSE)</f>
        <v>0</v>
      </c>
      <c r="R29" s="5">
        <f t="shared" si="1"/>
        <v>0</v>
      </c>
    </row>
    <row r="30" spans="1:18">
      <c r="A30" t="s">
        <v>91</v>
      </c>
      <c r="B30" s="38" t="s">
        <v>194</v>
      </c>
      <c r="C30" s="71">
        <f>IF(VLOOKUP(A30,Schlußkurse!A$5:AU$105,35,FALSE)&gt;0,IF(VLOOKUP(A30,Dividende_je_Aktie!A$3:AM$103,7,FALSE)&lt;&gt;"",VLOOKUP(A30,Dividende_je_Aktie!A$3:AM$103,7,FALSE)/VLOOKUP(A30,Schlußkurse!A$5:AU$105,35,FALSE),""),"")</f>
        <v>2.9945717732207475E-2</v>
      </c>
      <c r="D30" s="71">
        <f>IF(VLOOKUP(A30,Schlußkurse!A$5:AU$105,36,FALSE)&gt;0,IF(VLOOKUP(A30,Dividende_je_Aktie!A$3:AM$103,8,FALSE)&lt;&gt;"",VLOOKUP(A30,Dividende_je_Aktie!A$3:AM$103,8,FALSE)/VLOOKUP(A30,Schlußkurse!A$5:AU$105,36,FALSE),""),"")</f>
        <v>2.7683956574185764E-2</v>
      </c>
      <c r="E30" s="71">
        <f>IF(VLOOKUP(A30,Schlußkurse!A$5:AU$105,37,FALSE)&gt;0,IF(VLOOKUP(A30,Dividende_je_Aktie!A$3:AM$103,9,FALSE)&lt;&gt;"",VLOOKUP(A30,Dividende_je_Aktie!A$3:AM$103,9,FALSE)/VLOOKUP(A30,Schlußkurse!A$5:AU$105,37,FALSE),""),"")</f>
        <v>2.5607893809467874E-2</v>
      </c>
      <c r="F30" s="71">
        <f>IF(VLOOKUP(A30,Schlußkurse!A$5:AU$105,38,FALSE)&gt;0,IF(VLOOKUP(A30,Dividende_je_Aktie!A$3:AM$103,10,FALSE)&lt;&gt;"",VLOOKUP(A30,Dividende_je_Aktie!A$3:AM$103,10,FALSE)/VLOOKUP(A30,Schlußkurse!A$5:AU$105,38,FALSE),""),"")</f>
        <v>2.1590781966662937E-2</v>
      </c>
      <c r="G30" s="71">
        <f>IF(VLOOKUP(A30,Schlußkurse!A$5:AU$105,39,FALSE)&gt;0,IF(VLOOKUP(A30,Dividende_je_Aktie!A$3:AM$103,11,FALSE)&lt;&gt;"",VLOOKUP(A30,Dividende_je_Aktie!A$3:AM$103,11,FALSE)/VLOOKUP(A30,Schlußkurse!A$5:AU$105,39,FALSE),""),"")</f>
        <v>2.1234240212342399E-2</v>
      </c>
      <c r="H30" s="71">
        <f>IF(VLOOKUP(A30,Schlußkurse!A$5:AU$105,40,FALSE)&gt;0,IF(VLOOKUP(A30,Dividende_je_Aktie!A$3:AM$103,12,FALSE)&lt;&gt;"",VLOOKUP(A30,Dividende_je_Aktie!A$3:AM$103,12,FALSE)/VLOOKUP(A30,Schlußkurse!A$5:AU$105,40,FALSE),""),"")</f>
        <v>2.9026171931691741E-2</v>
      </c>
      <c r="I30" s="71">
        <f>IF(VLOOKUP(A30,Schlußkurse!A$5:AU$105,41,FALSE)&gt;0,IF(VLOOKUP(A30,Dividende_je_Aktie!A$3:AM$103,13,FALSE)&lt;&gt;"",VLOOKUP(A30,Dividende_je_Aktie!A$3:AM$103,13,FALSE)/VLOOKUP(A30,Schlußkurse!A$5:AU$105,41,FALSE),""),"")</f>
        <v>3.0857271095152603E-2</v>
      </c>
      <c r="J30" s="71">
        <f>IF(VLOOKUP(A30,Schlußkurse!A$5:AU$105,42,FALSE)&gt;0,IF(VLOOKUP(A30,Dividende_je_Aktie!A$3:AM$103,14,FALSE)&lt;&gt;"",VLOOKUP(A30,Dividende_je_Aktie!A$3:AM$103,14,FALSE)/VLOOKUP(A30,Schlußkurse!A$5:AU$105,42,FALSE),""),"")</f>
        <v>2.0988561234127401E-2</v>
      </c>
      <c r="K30" s="71">
        <f>IF(VLOOKUP(A30,Schlußkurse!A$5:AU$105,43,FALSE)&gt;0,IF(VLOOKUP(A30,Dividende_je_Aktie!A$3:AM$103,15,FALSE)&lt;&gt;"",VLOOKUP(A30,Dividende_je_Aktie!A$3:AM$103,15,FALSE)/VLOOKUP(A30,Schlußkurse!A$5:AU$105,43,FALSE),""),"")</f>
        <v>1.3436692506459949E-2</v>
      </c>
      <c r="L30" s="71">
        <f>IF(VLOOKUP(A30,Schlußkurse!A$5:AU$105,44,FALSE)&gt;0,IF(VLOOKUP(A30,Dividende_je_Aktie!A$3:AM$103,16,FALSE)&lt;&gt;"",VLOOKUP(A30,Dividende_je_Aktie!A$3:AM$103,16,FALSE)/VLOOKUP(A30,Schlußkurse!A$5:AU$105,44,FALSE),""),"")</f>
        <v>2.3257547521431235E-2</v>
      </c>
      <c r="M30" s="71">
        <f>IF(VLOOKUP(A30,Schlußkurse!A$5:AU$105,45,FALSE)&gt;0,IF(VLOOKUP(A30,Dividende_je_Aktie!A$3:AM$103,17,FALSE)&lt;&gt;"",VLOOKUP(A30,Dividende_je_Aktie!A$3:AM$103,17,FALSE)/VLOOKUP(A30,Schlußkurse!A$5:AU$105,45,FALSE),""),"")</f>
        <v>1.2361623616236163E-2</v>
      </c>
      <c r="N30" s="71">
        <f>IF(VLOOKUP(A30,Schlußkurse!A$5:AU$105,46,FALSE)&gt;0,IF(VLOOKUP(A30,Dividende_je_Aktie!A$3:AM$103,18,FALSE)&lt;&gt;"",VLOOKUP(A30,Dividende_je_Aktie!A$3:AM$103,18,FALSE)/VLOOKUP(A30,Schlußkurse!A$5:AU$105,46,FALSE),""),"")</f>
        <v>1.1027239908106334E-2</v>
      </c>
      <c r="O30" s="71">
        <f>IF(VLOOKUP(A30,Schlußkurse!A$5:AU$105,47,FALSE)&gt;0,IF(VLOOKUP(A30,Dividende_je_Aktie!A$3:AM$103,19,FALSE)&lt;&gt;"",VLOOKUP(A30,Dividende_je_Aktie!A$3:AM$103,19,FALSE)/VLOOKUP(A30,Schlußkurse!A$5:AU$105,47,FALSE),""),"")</f>
        <v>1.1112140012964164E-2</v>
      </c>
      <c r="P30" s="71">
        <f t="shared" si="0"/>
        <v>2.1394602932387388E-2</v>
      </c>
      <c r="Q30" s="5">
        <f ca="1">VLOOKUP(A30,Dividende_je_Aktie!A$3:AM$103,24,FALSE)/VLOOKUP(A30,Schlußkurse!A$5:AU$105,35,FALSE)</f>
        <v>2.8362484921592275E-2</v>
      </c>
      <c r="R30" s="5">
        <f t="shared" ca="1" si="1"/>
        <v>0.325684099453738</v>
      </c>
    </row>
    <row r="31" spans="1:18">
      <c r="A31" t="s">
        <v>267</v>
      </c>
      <c r="B31" s="38" t="s">
        <v>273</v>
      </c>
      <c r="C31" s="71">
        <f>IF(VLOOKUP(A31,Schlußkurse!A$5:AU$105,35,FALSE)&gt;0,IF(VLOOKUP(A31,Dividende_je_Aktie!A$3:AM$103,7,FALSE)&lt;&gt;"",VLOOKUP(A31,Dividende_je_Aktie!A$3:AM$103,7,FALSE)/VLOOKUP(A31,Schlußkurse!A$5:AU$105,35,FALSE),""),"")</f>
        <v>1.8921848822312012E-2</v>
      </c>
      <c r="D31" s="71">
        <f>IF(VLOOKUP(A31,Schlußkurse!A$5:AU$105,36,FALSE)&gt;0,IF(VLOOKUP(A31,Dividende_je_Aktie!A$3:AM$103,8,FALSE)&lt;&gt;"",VLOOKUP(A31,Dividende_je_Aktie!A$3:AM$103,8,FALSE)/VLOOKUP(A31,Schlußkurse!A$5:AU$105,36,FALSE),""),"")</f>
        <v>1.6063861239775303E-2</v>
      </c>
      <c r="E31" s="71">
        <f>IF(VLOOKUP(A31,Schlußkurse!A$5:AU$105,37,FALSE)&gt;0,IF(VLOOKUP(A31,Dividende_je_Aktie!A$3:AM$103,9,FALSE)&lt;&gt;"",VLOOKUP(A31,Dividende_je_Aktie!A$3:AM$103,9,FALSE)/VLOOKUP(A31,Schlußkurse!A$5:AU$105,37,FALSE),""),"")</f>
        <v>1.4319320855068016E-2</v>
      </c>
      <c r="F31" s="71">
        <f>IF(VLOOKUP(A31,Schlußkurse!A$5:AU$105,38,FALSE)&gt;0,IF(VLOOKUP(A31,Dividende_je_Aktie!A$3:AM$103,10,FALSE)&lt;&gt;"",VLOOKUP(A31,Dividende_je_Aktie!A$3:AM$103,10,FALSE)/VLOOKUP(A31,Schlußkurse!A$5:AU$105,38,FALSE),""),"")</f>
        <v>1.1421451562662237E-2</v>
      </c>
      <c r="G31" s="71">
        <f>IF(VLOOKUP(A31,Schlußkurse!A$5:AU$105,39,FALSE)&gt;0,IF(VLOOKUP(A31,Dividende_je_Aktie!A$3:AM$103,11,FALSE)&lt;&gt;"",VLOOKUP(A31,Dividende_je_Aktie!A$3:AM$103,11,FALSE)/VLOOKUP(A31,Schlußkurse!A$5:AU$105,39,FALSE),""),"")</f>
        <v>1.2575101299427136E-2</v>
      </c>
      <c r="H31" s="71">
        <f>IF(VLOOKUP(A31,Schlußkurse!A$5:AU$105,40,FALSE)&gt;0,IF(VLOOKUP(A31,Dividende_je_Aktie!A$3:AM$103,12,FALSE)&lt;&gt;"",VLOOKUP(A31,Dividende_je_Aktie!A$3:AM$103,12,FALSE)/VLOOKUP(A31,Schlußkurse!A$5:AU$105,40,FALSE),""),"")</f>
        <v>1.344364012409514E-2</v>
      </c>
      <c r="I31" s="71">
        <f>IF(VLOOKUP(A31,Schlußkurse!A$5:AU$105,41,FALSE)&gt;0,IF(VLOOKUP(A31,Dividende_je_Aktie!A$3:AM$103,13,FALSE)&lt;&gt;"",VLOOKUP(A31,Dividende_je_Aktie!A$3:AM$103,13,FALSE)/VLOOKUP(A31,Schlußkurse!A$5:AU$105,41,FALSE),""),"")</f>
        <v>1.2260912211868563E-2</v>
      </c>
      <c r="J31" s="71">
        <f>IF(VLOOKUP(A31,Schlußkurse!A$5:AU$105,42,FALSE)&gt;0,IF(VLOOKUP(A31,Dividende_je_Aktie!A$3:AM$103,14,FALSE)&lt;&gt;"",VLOOKUP(A31,Dividende_je_Aktie!A$3:AM$103,14,FALSE)/VLOOKUP(A31,Schlußkurse!A$5:AU$105,42,FALSE),""),"")</f>
        <v>1.0066148979004888E-2</v>
      </c>
      <c r="K31" s="71">
        <f>IF(VLOOKUP(A31,Schlußkurse!A$5:AU$105,43,FALSE)&gt;0,IF(VLOOKUP(A31,Dividende_je_Aktie!A$3:AM$103,15,FALSE)&lt;&gt;"",VLOOKUP(A31,Dividende_je_Aktie!A$3:AM$103,15,FALSE)/VLOOKUP(A31,Schlußkurse!A$5:AU$105,43,FALSE),""),"")</f>
        <v>9.4691089723688299E-3</v>
      </c>
      <c r="L31" s="71">
        <f>IF(VLOOKUP(A31,Schlußkurse!A$5:AU$105,44,FALSE)&gt;0,IF(VLOOKUP(A31,Dividende_je_Aktie!A$3:AM$103,16,FALSE)&lt;&gt;"",VLOOKUP(A31,Dividende_je_Aktie!A$3:AM$103,16,FALSE)/VLOOKUP(A31,Schlußkurse!A$5:AU$105,44,FALSE),""),"")</f>
        <v>8.9770354906054291E-3</v>
      </c>
      <c r="M31" s="71">
        <f>IF(VLOOKUP(A31,Schlußkurse!A$5:AU$105,45,FALSE)&gt;0,IF(VLOOKUP(A31,Dividende_je_Aktie!A$3:AM$103,17,FALSE)&lt;&gt;"",VLOOKUP(A31,Dividende_je_Aktie!A$3:AM$103,17,FALSE)/VLOOKUP(A31,Schlußkurse!A$5:AU$105,45,FALSE),""),"")</f>
        <v>5.7547169811320758E-3</v>
      </c>
      <c r="N31" s="71">
        <f>IF(VLOOKUP(A31,Schlußkurse!A$5:AU$105,46,FALSE)&gt;0,IF(VLOOKUP(A31,Dividende_je_Aktie!A$3:AM$103,18,FALSE)&lt;&gt;"",VLOOKUP(A31,Dividende_je_Aktie!A$3:AM$103,18,FALSE)/VLOOKUP(A31,Schlußkurse!A$5:AU$105,46,FALSE),""),"")</f>
        <v>5.0145583953413132E-3</v>
      </c>
      <c r="O31" s="71">
        <f>IF(VLOOKUP(A31,Schlußkurse!A$5:AU$105,47,FALSE)&gt;0,IF(VLOOKUP(A31,Dividende_je_Aktie!A$3:AM$103,19,FALSE)&lt;&gt;"",VLOOKUP(A31,Dividende_je_Aktie!A$3:AM$103,19,FALSE)/VLOOKUP(A31,Schlußkurse!A$5:AU$105,47,FALSE),""),"")</f>
        <v>5.4986727341676143E-3</v>
      </c>
      <c r="P31" s="71">
        <f t="shared" si="0"/>
        <v>1.1060490589832968E-2</v>
      </c>
      <c r="Q31" s="5">
        <f ca="1">VLOOKUP(A31,Dividende_je_Aktie!A$3:AM$103,24,FALSE)/VLOOKUP(A31,Schlußkurse!A$5:AU$105,35,FALSE)</f>
        <v>1.6921257514536311E-2</v>
      </c>
      <c r="R31" s="5">
        <f t="shared" ca="1" si="1"/>
        <v>0.52988308946175322</v>
      </c>
    </row>
    <row r="32" spans="1:18">
      <c r="A32" t="s">
        <v>279</v>
      </c>
      <c r="B32" s="38" t="s">
        <v>280</v>
      </c>
      <c r="C32" s="71">
        <f>IF(VLOOKUP(A32,Schlußkurse!A$5:AU$105,35,FALSE)&gt;0,IF(VLOOKUP(A32,Dividende_je_Aktie!A$3:AM$103,7,FALSE)&lt;&gt;"",VLOOKUP(A32,Dividende_je_Aktie!A$3:AM$103,7,FALSE)/VLOOKUP(A32,Schlußkurse!A$5:AU$105,35,FALSE),""),"")</f>
        <v>3.6114120621162871E-2</v>
      </c>
      <c r="D32" s="71">
        <f>IF(VLOOKUP(A32,Schlußkurse!A$5:AU$105,36,FALSE)&gt;0,IF(VLOOKUP(A32,Dividende_je_Aktie!A$3:AM$103,8,FALSE)&lt;&gt;"",VLOOKUP(A32,Dividende_je_Aktie!A$3:AM$103,8,FALSE)/VLOOKUP(A32,Schlußkurse!A$5:AU$105,36,FALSE),""),"")</f>
        <v>3.2141567352834959E-2</v>
      </c>
      <c r="E32" s="71">
        <f>IF(VLOOKUP(A32,Schlußkurse!A$5:AU$105,37,FALSE)&gt;0,IF(VLOOKUP(A32,Dividende_je_Aktie!A$3:AM$103,9,FALSE)&lt;&gt;"",VLOOKUP(A32,Dividende_je_Aktie!A$3:AM$103,9,FALSE)/VLOOKUP(A32,Schlußkurse!A$5:AU$105,37,FALSE),""),"")</f>
        <v>2.8149190710767064E-2</v>
      </c>
      <c r="F32" s="71">
        <f>IF(VLOOKUP(A32,Schlußkurse!A$5:AU$105,38,FALSE)&gt;0,IF(VLOOKUP(A32,Dividende_je_Aktie!A$3:AM$103,10,FALSE)&lt;&gt;"",VLOOKUP(A32,Dividende_je_Aktie!A$3:AM$103,10,FALSE)/VLOOKUP(A32,Schlußkurse!A$5:AU$105,38,FALSE),""),"")</f>
        <v>2.8537455410225919E-2</v>
      </c>
      <c r="G32" s="71">
        <f>IF(VLOOKUP(A32,Schlußkurse!A$5:AU$105,39,FALSE)&gt;0,IF(VLOOKUP(A32,Dividende_je_Aktie!A$3:AM$103,11,FALSE)&lt;&gt;"",VLOOKUP(A32,Dividende_je_Aktie!A$3:AM$103,11,FALSE)/VLOOKUP(A32,Schlußkurse!A$5:AU$105,39,FALSE),""),"")</f>
        <v>2.4228214146150839E-2</v>
      </c>
      <c r="H32" s="71">
        <f>IF(VLOOKUP(A32,Schlußkurse!A$5:AU$105,40,FALSE)&gt;0,IF(VLOOKUP(A32,Dividende_je_Aktie!A$3:AM$103,12,FALSE)&lt;&gt;"",VLOOKUP(A32,Dividende_je_Aktie!A$3:AM$103,12,FALSE)/VLOOKUP(A32,Schlußkurse!A$5:AU$105,40,FALSE),""),"")</f>
        <v>1.7554858934169283E-2</v>
      </c>
      <c r="I32" s="71">
        <f>IF(VLOOKUP(A32,Schlußkurse!A$5:AU$105,41,FALSE)&gt;0,IF(VLOOKUP(A32,Dividende_je_Aktie!A$3:AM$103,13,FALSE)&lt;&gt;"",VLOOKUP(A32,Dividende_je_Aktie!A$3:AM$103,13,FALSE)/VLOOKUP(A32,Schlußkurse!A$5:AU$105,41,FALSE),""),"")</f>
        <v>7.514088916718847E-3</v>
      </c>
      <c r="J32" s="71">
        <f>IF(VLOOKUP(A32,Schlußkurse!A$5:AU$105,42,FALSE)&gt;0,IF(VLOOKUP(A32,Dividende_je_Aktie!A$3:AM$103,14,FALSE)&lt;&gt;"",VLOOKUP(A32,Dividende_je_Aktie!A$3:AM$103,14,FALSE)/VLOOKUP(A32,Schlußkurse!A$5:AU$105,42,FALSE),""),"")</f>
        <v>0</v>
      </c>
      <c r="K32" s="71">
        <f>IF(VLOOKUP(A32,Schlußkurse!A$5:AU$105,43,FALSE)&gt;0,IF(VLOOKUP(A32,Dividende_je_Aktie!A$3:AM$103,15,FALSE)&lt;&gt;"",VLOOKUP(A32,Dividende_je_Aktie!A$3:AM$103,15,FALSE)/VLOOKUP(A32,Schlußkurse!A$5:AU$105,43,FALSE),""),"")</f>
        <v>0</v>
      </c>
      <c r="L32" s="71">
        <f>IF(VLOOKUP(A32,Schlußkurse!A$5:AU$105,44,FALSE)&gt;0,IF(VLOOKUP(A32,Dividende_je_Aktie!A$3:AM$103,16,FALSE)&lt;&gt;"",VLOOKUP(A32,Dividende_je_Aktie!A$3:AM$103,16,FALSE)/VLOOKUP(A32,Schlußkurse!A$5:AU$105,44,FALSE),""),"")</f>
        <v>0</v>
      </c>
      <c r="M32" s="71">
        <f>IF(VLOOKUP(A32,Schlußkurse!A$5:AU$105,45,FALSE)&gt;0,IF(VLOOKUP(A32,Dividende_je_Aktie!A$3:AM$103,17,FALSE)&lt;&gt;"",VLOOKUP(A32,Dividende_je_Aktie!A$3:AM$103,17,FALSE)/VLOOKUP(A32,Schlußkurse!A$5:AU$105,45,FALSE),""),"")</f>
        <v>0</v>
      </c>
      <c r="N32" s="71">
        <f>IF(VLOOKUP(A32,Schlußkurse!A$5:AU$105,46,FALSE)&gt;0,IF(VLOOKUP(A32,Dividende_je_Aktie!A$3:AM$103,18,FALSE)&lt;&gt;"",VLOOKUP(A32,Dividende_je_Aktie!A$3:AM$103,18,FALSE)/VLOOKUP(A32,Schlußkurse!A$5:AU$105,46,FALSE),""),"")</f>
        <v>0</v>
      </c>
      <c r="O32" s="71">
        <f>IF(VLOOKUP(A32,Schlußkurse!A$5:AU$105,47,FALSE)&gt;0,IF(VLOOKUP(A32,Dividende_je_Aktie!A$3:AM$103,19,FALSE)&lt;&gt;"",VLOOKUP(A32,Dividende_je_Aktie!A$3:AM$103,19,FALSE)/VLOOKUP(A32,Schlußkurse!A$5:AU$105,47,FALSE),""),"")</f>
        <v>0</v>
      </c>
      <c r="P32" s="71">
        <f t="shared" si="0"/>
        <v>1.3403038160925366E-2</v>
      </c>
      <c r="Q32" s="5">
        <f ca="1">VLOOKUP(A32,Dividende_je_Aktie!A$3:AM$103,24,FALSE)/VLOOKUP(A32,Schlußkurse!A$5:AU$105,35,FALSE)</f>
        <v>3.4988563861803303E-2</v>
      </c>
      <c r="R32" s="5">
        <f t="shared" ca="1" si="1"/>
        <v>1.6104949819368146</v>
      </c>
    </row>
    <row r="33" spans="1:18">
      <c r="A33" t="s">
        <v>40</v>
      </c>
      <c r="B33" s="38" t="s">
        <v>41</v>
      </c>
      <c r="C33" s="71">
        <f>IF(VLOOKUP(A33,Schlußkurse!A$5:AU$105,35,FALSE)&gt;0,IF(VLOOKUP(A33,Dividende_je_Aktie!A$3:AM$103,7,FALSE)&lt;&gt;"",VLOOKUP(A33,Dividende_je_Aktie!A$3:AM$103,7,FALSE)/VLOOKUP(A33,Schlußkurse!A$5:AU$105,35,FALSE),""),"")</f>
        <v>3.1576701514828248E-2</v>
      </c>
      <c r="D33" s="71">
        <f>IF(VLOOKUP(A33,Schlußkurse!A$5:AU$105,36,FALSE)&gt;0,IF(VLOOKUP(A33,Dividende_je_Aktie!A$3:AM$103,8,FALSE)&lt;&gt;"",VLOOKUP(A33,Dividende_je_Aktie!A$3:AM$103,8,FALSE)/VLOOKUP(A33,Schlußkurse!A$5:AU$105,36,FALSE),""),"")</f>
        <v>2.9443140601664176E-2</v>
      </c>
      <c r="E33" s="71">
        <f>IF(VLOOKUP(A33,Schlußkurse!A$5:AU$105,37,FALSE)&gt;0,IF(VLOOKUP(A33,Dividende_je_Aktie!A$3:AM$103,9,FALSE)&lt;&gt;"",VLOOKUP(A33,Dividende_je_Aktie!A$3:AM$103,9,FALSE)/VLOOKUP(A33,Schlußkurse!A$5:AU$105,37,FALSE),""),"")</f>
        <v>3.0726256983240226E-2</v>
      </c>
      <c r="F33" s="71">
        <f>IF(VLOOKUP(A33,Schlußkurse!A$5:AU$105,38,FALSE)&gt;0,IF(VLOOKUP(A33,Dividende_je_Aktie!A$3:AM$103,10,FALSE)&lt;&gt;"",VLOOKUP(A33,Dividende_je_Aktie!A$3:AM$103,10,FALSE)/VLOOKUP(A33,Schlußkurse!A$5:AU$105,38,FALSE),""),"")</f>
        <v>2.8896257697773566E-2</v>
      </c>
      <c r="G33" s="71">
        <f>IF(VLOOKUP(A33,Schlußkurse!A$5:AU$105,39,FALSE)&gt;0,IF(VLOOKUP(A33,Dividende_je_Aktie!A$3:AM$103,11,FALSE)&lt;&gt;"",VLOOKUP(A33,Dividende_je_Aktie!A$3:AM$103,11,FALSE)/VLOOKUP(A33,Schlußkurse!A$5:AU$105,39,FALSE),""),"")</f>
        <v>2.71120793996611E-2</v>
      </c>
      <c r="H33" s="71">
        <f>IF(VLOOKUP(A33,Schlußkurse!A$5:AU$105,40,FALSE)&gt;0,IF(VLOOKUP(A33,Dividende_je_Aktie!A$3:AM$103,12,FALSE)&lt;&gt;"",VLOOKUP(A33,Dividende_je_Aktie!A$3:AM$103,12,FALSE)/VLOOKUP(A33,Schlußkurse!A$5:AU$105,40,FALSE),""),"")</f>
        <v>2.8137931034482758E-2</v>
      </c>
      <c r="I33" s="71">
        <f>IF(VLOOKUP(A33,Schlußkurse!A$5:AU$105,41,FALSE)&gt;0,IF(VLOOKUP(A33,Dividende_je_Aktie!A$3:AM$103,13,FALSE)&lt;&gt;"",VLOOKUP(A33,Dividende_je_Aktie!A$3:AM$103,13,FALSE)/VLOOKUP(A33,Schlußkurse!A$5:AU$105,41,FALSE),""),"")</f>
        <v>2.6868657996284122E-2</v>
      </c>
      <c r="J33" s="71">
        <f>IF(VLOOKUP(A33,Schlußkurse!A$5:AU$105,42,FALSE)&gt;0,IF(VLOOKUP(A33,Dividende_je_Aktie!A$3:AM$103,14,FALSE)&lt;&gt;"",VLOOKUP(A33,Dividende_je_Aktie!A$3:AM$103,14,FALSE)/VLOOKUP(A33,Schlußkurse!A$5:AU$105,42,FALSE),""),"")</f>
        <v>2.6759920936597233E-2</v>
      </c>
      <c r="K33" s="71">
        <f>IF(VLOOKUP(A33,Schlußkurse!A$5:AU$105,43,FALSE)&gt;0,IF(VLOOKUP(A33,Dividende_je_Aktie!A$3:AM$103,15,FALSE)&lt;&gt;"",VLOOKUP(A33,Dividende_je_Aktie!A$3:AM$103,15,FALSE)/VLOOKUP(A33,Schlußkurse!A$5:AU$105,43,FALSE),""),"")</f>
        <v>2.8771929824561403E-2</v>
      </c>
      <c r="L33" s="71">
        <f>IF(VLOOKUP(A33,Schlußkurse!A$5:AU$105,44,FALSE)&gt;0,IF(VLOOKUP(A33,Dividende_je_Aktie!A$3:AM$103,16,FALSE)&lt;&gt;"",VLOOKUP(A33,Dividende_je_Aktie!A$3:AM$103,16,FALSE)/VLOOKUP(A33,Schlußkurse!A$5:AU$105,44,FALSE),""),"")</f>
        <v>3.3576319858626018E-2</v>
      </c>
      <c r="M33" s="71">
        <f>IF(VLOOKUP(A33,Schlußkurse!A$5:AU$105,45,FALSE)&gt;0,IF(VLOOKUP(A33,Dividende_je_Aktie!A$3:AM$103,17,FALSE)&lt;&gt;"",VLOOKUP(A33,Dividende_je_Aktie!A$3:AM$103,17,FALSE)/VLOOKUP(A33,Schlußkurse!A$5:AU$105,45,FALSE),""),"")</f>
        <v>2.2160664819944602E-2</v>
      </c>
      <c r="N33" s="71">
        <f>IF(VLOOKUP(A33,Schlußkurse!A$5:AU$105,46,FALSE)&gt;0,IF(VLOOKUP(A33,Dividende_je_Aktie!A$3:AM$103,18,FALSE)&lt;&gt;"",VLOOKUP(A33,Dividende_je_Aktie!A$3:AM$103,18,FALSE)/VLOOKUP(A33,Schlußkurse!A$5:AU$105,46,FALSE),""),"")</f>
        <v>2.5619834710743802E-2</v>
      </c>
      <c r="O33" s="71">
        <f>IF(VLOOKUP(A33,Schlußkurse!A$5:AU$105,47,FALSE)&gt;0,IF(VLOOKUP(A33,Dividende_je_Aktie!A$3:AM$103,19,FALSE)&lt;&gt;"",VLOOKUP(A33,Dividende_je_Aktie!A$3:AM$103,19,FALSE)/VLOOKUP(A33,Schlußkurse!A$5:AU$105,47,FALSE),""),"")</f>
        <v>2.7784668816670802E-2</v>
      </c>
      <c r="P33" s="71">
        <f t="shared" si="0"/>
        <v>2.8264181861159851E-2</v>
      </c>
      <c r="Q33" s="5">
        <f ca="1">VLOOKUP(A33,Dividende_je_Aktie!A$3:AM$103,24,FALSE)/VLOOKUP(A33,Schlußkurse!A$5:AU$105,35,FALSE)</f>
        <v>3.0083208875613398E-2</v>
      </c>
      <c r="R33" s="5">
        <f t="shared" ca="1" si="1"/>
        <v>6.4358028241858323E-2</v>
      </c>
    </row>
    <row r="34" spans="1:18">
      <c r="A34" t="s">
        <v>42</v>
      </c>
      <c r="B34" s="38" t="s">
        <v>43</v>
      </c>
      <c r="C34" s="71">
        <f>IF(VLOOKUP(A34,Schlußkurse!A$5:AU$105,35,FALSE)&gt;0,IF(VLOOKUP(A34,Dividende_je_Aktie!A$3:AM$103,7,FALSE)&lt;&gt;"",VLOOKUP(A34,Dividende_je_Aktie!A$3:AM$103,7,FALSE)/VLOOKUP(A34,Schlußkurse!A$5:AU$105,35,FALSE),""),"")</f>
        <v>2.3779372449697484E-2</v>
      </c>
      <c r="D34" s="71">
        <f>IF(VLOOKUP(A34,Schlußkurse!A$5:AU$105,36,FALSE)&gt;0,IF(VLOOKUP(A34,Dividende_je_Aktie!A$3:AM$103,8,FALSE)&lt;&gt;"",VLOOKUP(A34,Dividende_je_Aktie!A$3:AM$103,8,FALSE)/VLOOKUP(A34,Schlußkurse!A$5:AU$105,36,FALSE),""),"")</f>
        <v>2.2090896299423107E-2</v>
      </c>
      <c r="E34" s="71">
        <f>IF(VLOOKUP(A34,Schlußkurse!A$5:AU$105,37,FALSE)&gt;0,IF(VLOOKUP(A34,Dividende_je_Aktie!A$3:AM$103,9,FALSE)&lt;&gt;"",VLOOKUP(A34,Dividende_je_Aktie!A$3:AM$103,9,FALSE)/VLOOKUP(A34,Schlußkurse!A$5:AU$105,37,FALSE),""),"")</f>
        <v>2.2515761032722903E-2</v>
      </c>
      <c r="F34" s="71">
        <f>IF(VLOOKUP(A34,Schlußkurse!A$5:AU$105,38,FALSE)&gt;0,IF(VLOOKUP(A34,Dividende_je_Aktie!A$3:AM$103,10,FALSE)&lt;&gt;"",VLOOKUP(A34,Dividende_je_Aktie!A$3:AM$103,10,FALSE)/VLOOKUP(A34,Schlußkurse!A$5:AU$105,38,FALSE),""),"")</f>
        <v>2.0523196993785228E-2</v>
      </c>
      <c r="G34" s="71">
        <f>IF(VLOOKUP(A34,Schlußkurse!A$5:AU$105,39,FALSE)&gt;0,IF(VLOOKUP(A34,Dividende_je_Aktie!A$3:AM$103,11,FALSE)&lt;&gt;"",VLOOKUP(A34,Dividende_je_Aktie!A$3:AM$103,11,FALSE)/VLOOKUP(A34,Schlußkurse!A$5:AU$105,39,FALSE),""),"")</f>
        <v>2.0395644839748508E-2</v>
      </c>
      <c r="H34" s="71">
        <f>IF(VLOOKUP(A34,Schlußkurse!A$5:AU$105,40,FALSE)&gt;0,IF(VLOOKUP(A34,Dividende_je_Aktie!A$3:AM$103,12,FALSE)&lt;&gt;"",VLOOKUP(A34,Dividende_je_Aktie!A$3:AM$103,12,FALSE)/VLOOKUP(A34,Schlußkurse!A$5:AU$105,40,FALSE),""),"")</f>
        <v>2.3340348192079585E-2</v>
      </c>
      <c r="I34" s="71">
        <f>IF(VLOOKUP(A34,Schlußkurse!A$5:AU$105,41,FALSE)&gt;0,IF(VLOOKUP(A34,Dividende_je_Aktie!A$3:AM$103,13,FALSE)&lt;&gt;"",VLOOKUP(A34,Dividende_je_Aktie!A$3:AM$103,13,FALSE)/VLOOKUP(A34,Schlußkurse!A$5:AU$105,41,FALSE),""),"")</f>
        <v>2.4677995454053466E-2</v>
      </c>
      <c r="J34" s="71">
        <f>IF(VLOOKUP(A34,Schlußkurse!A$5:AU$105,42,FALSE)&gt;0,IF(VLOOKUP(A34,Dividende_je_Aktie!A$3:AM$103,14,FALSE)&lt;&gt;"",VLOOKUP(A34,Dividende_je_Aktie!A$3:AM$103,14,FALSE)/VLOOKUP(A34,Schlußkurse!A$5:AU$105,42,FALSE),""),"")</f>
        <v>2.5133756376757497E-2</v>
      </c>
      <c r="K34" s="71">
        <f>IF(VLOOKUP(A34,Schlußkurse!A$5:AU$105,43,FALSE)&gt;0,IF(VLOOKUP(A34,Dividende_je_Aktie!A$3:AM$103,15,FALSE)&lt;&gt;"",VLOOKUP(A34,Dividende_je_Aktie!A$3:AM$103,15,FALSE)/VLOOKUP(A34,Schlußkurse!A$5:AU$105,43,FALSE),""),"")</f>
        <v>2.0937309799147898E-2</v>
      </c>
      <c r="L34" s="71">
        <f>IF(VLOOKUP(A34,Schlußkurse!A$5:AU$105,44,FALSE)&gt;0,IF(VLOOKUP(A34,Dividende_je_Aktie!A$3:AM$103,16,FALSE)&lt;&gt;"",VLOOKUP(A34,Dividende_je_Aktie!A$3:AM$103,16,FALSE)/VLOOKUP(A34,Schlußkurse!A$5:AU$105,44,FALSE),""),"")</f>
        <v>2.2760431864604608E-2</v>
      </c>
      <c r="M34" s="71">
        <f>IF(VLOOKUP(A34,Schlußkurse!A$5:AU$105,45,FALSE)&gt;0,IF(VLOOKUP(A34,Dividende_je_Aktie!A$3:AM$103,17,FALSE)&lt;&gt;"",VLOOKUP(A34,Dividende_je_Aktie!A$3:AM$103,17,FALSE)/VLOOKUP(A34,Schlußkurse!A$5:AU$105,45,FALSE),""),"")</f>
        <v>1.7957927142124165E-2</v>
      </c>
      <c r="N34" s="71">
        <f>IF(VLOOKUP(A34,Schlußkurse!A$5:AU$105,46,FALSE)&gt;0,IF(VLOOKUP(A34,Dividende_je_Aktie!A$3:AM$103,18,FALSE)&lt;&gt;"",VLOOKUP(A34,Dividende_je_Aktie!A$3:AM$103,18,FALSE)/VLOOKUP(A34,Schlußkurse!A$5:AU$105,46,FALSE),""),"")</f>
        <v>1.9289650949173304E-2</v>
      </c>
      <c r="O34" s="71">
        <f>IF(VLOOKUP(A34,Schlußkurse!A$5:AU$105,47,FALSE)&gt;0,IF(VLOOKUP(A34,Dividende_je_Aktie!A$3:AM$103,19,FALSE)&lt;&gt;"",VLOOKUP(A34,Dividende_je_Aktie!A$3:AM$103,19,FALSE)/VLOOKUP(A34,Schlußkurse!A$5:AU$105,47,FALSE),""),"")</f>
        <v>2.0260492040520984E-2</v>
      </c>
      <c r="P34" s="71">
        <f t="shared" si="0"/>
        <v>2.1820214110295284E-2</v>
      </c>
      <c r="Q34" s="5">
        <f ca="1">VLOOKUP(A34,Dividende_je_Aktie!A$3:AM$103,24,FALSE)/VLOOKUP(A34,Schlußkurse!A$5:AU$105,35,FALSE)</f>
        <v>2.2597439144505425E-2</v>
      </c>
      <c r="R34" s="5">
        <f t="shared" ca="1" si="1"/>
        <v>3.5619496228656455E-2</v>
      </c>
    </row>
    <row r="35" spans="1:18">
      <c r="A35" t="s">
        <v>44</v>
      </c>
      <c r="B35" s="38" t="s">
        <v>45</v>
      </c>
      <c r="C35" s="71">
        <f>IF(VLOOKUP(A35,Schlußkurse!A$5:AU$105,35,FALSE)&gt;0,IF(VLOOKUP(A35,Dividende_je_Aktie!A$3:AM$103,7,FALSE)&lt;&gt;"",VLOOKUP(A35,Dividende_je_Aktie!A$3:AM$103,7,FALSE)/VLOOKUP(A35,Schlußkurse!A$5:AU$105,35,FALSE),""),"")</f>
        <v>3.2802858070802209E-2</v>
      </c>
      <c r="D35" s="71">
        <f>IF(VLOOKUP(A35,Schlußkurse!A$5:AU$105,36,FALSE)&gt;0,IF(VLOOKUP(A35,Dividende_je_Aktie!A$3:AM$103,8,FALSE)&lt;&gt;"",VLOOKUP(A35,Dividende_je_Aktie!A$3:AM$103,8,FALSE)/VLOOKUP(A35,Schlußkurse!A$5:AU$105,36,FALSE),""),"")</f>
        <v>3.0204611886976294E-2</v>
      </c>
      <c r="E35" s="71">
        <f>IF(VLOOKUP(A35,Schlußkurse!A$5:AU$105,37,FALSE)&gt;0,IF(VLOOKUP(A35,Dividende_je_Aktie!A$3:AM$103,9,FALSE)&lt;&gt;"",VLOOKUP(A35,Dividende_je_Aktie!A$3:AM$103,9,FALSE)/VLOOKUP(A35,Schlußkurse!A$5:AU$105,37,FALSE),""),"")</f>
        <v>2.953451043338684E-2</v>
      </c>
      <c r="F35" s="71">
        <f>IF(VLOOKUP(A35,Schlußkurse!A$5:AU$105,38,FALSE)&gt;0,IF(VLOOKUP(A35,Dividende_je_Aktie!A$3:AM$103,10,FALSE)&lt;&gt;"",VLOOKUP(A35,Dividende_je_Aktie!A$3:AM$103,10,FALSE)/VLOOKUP(A35,Schlußkurse!A$5:AU$105,38,FALSE),""),"")</f>
        <v>3.521962801741195E-2</v>
      </c>
      <c r="G35" s="71">
        <f>IF(VLOOKUP(A35,Schlußkurse!A$5:AU$105,39,FALSE)&gt;0,IF(VLOOKUP(A35,Dividende_je_Aktie!A$3:AM$103,11,FALSE)&lt;&gt;"",VLOOKUP(A35,Dividende_je_Aktie!A$3:AM$103,11,FALSE)/VLOOKUP(A35,Schlußkurse!A$5:AU$105,39,FALSE),""),"")</f>
        <v>2.8184088476632181E-2</v>
      </c>
      <c r="H35" s="71">
        <f>IF(VLOOKUP(A35,Schlußkurse!A$5:AU$105,40,FALSE)&gt;0,IF(VLOOKUP(A35,Dividende_je_Aktie!A$3:AM$103,12,FALSE)&lt;&gt;"",VLOOKUP(A35,Dividende_je_Aktie!A$3:AM$103,12,FALSE)/VLOOKUP(A35,Schlußkurse!A$5:AU$105,40,FALSE),""),"")</f>
        <v>3.3349213911386372E-2</v>
      </c>
      <c r="I35" s="71">
        <f>IF(VLOOKUP(A35,Schlußkurse!A$5:AU$105,41,FALSE)&gt;0,IF(VLOOKUP(A35,Dividende_je_Aktie!A$3:AM$103,13,FALSE)&lt;&gt;"",VLOOKUP(A35,Dividende_je_Aktie!A$3:AM$103,13,FALSE)/VLOOKUP(A35,Schlußkurse!A$5:AU$105,41,FALSE),""),"")</f>
        <v>3.4059184812953655E-2</v>
      </c>
      <c r="J35" s="71">
        <f>IF(VLOOKUP(A35,Schlußkurse!A$5:AU$105,42,FALSE)&gt;0,IF(VLOOKUP(A35,Dividende_je_Aktie!A$3:AM$103,14,FALSE)&lt;&gt;"",VLOOKUP(A35,Dividende_je_Aktie!A$3:AM$103,14,FALSE)/VLOOKUP(A35,Schlußkurse!A$5:AU$105,42,FALSE),""),"")</f>
        <v>2.5150355385456537E-2</v>
      </c>
      <c r="K35" s="71">
        <f>IF(VLOOKUP(A35,Schlußkurse!A$5:AU$105,43,FALSE)&gt;0,IF(VLOOKUP(A35,Dividende_je_Aktie!A$3:AM$103,15,FALSE)&lt;&gt;"",VLOOKUP(A35,Dividende_je_Aktie!A$3:AM$103,15,FALSE)/VLOOKUP(A35,Schlußkurse!A$5:AU$105,43,FALSE),""),"")</f>
        <v>4.0317250495703894E-2</v>
      </c>
      <c r="L35" s="71">
        <f>IF(VLOOKUP(A35,Schlußkurse!A$5:AU$105,44,FALSE)&gt;0,IF(VLOOKUP(A35,Dividende_je_Aktie!A$3:AM$103,16,FALSE)&lt;&gt;"",VLOOKUP(A35,Dividende_je_Aktie!A$3:AM$103,16,FALSE)/VLOOKUP(A35,Schlußkurse!A$5:AU$105,44,FALSE),""),"")</f>
        <v>7.6543209876543214E-2</v>
      </c>
      <c r="M35" s="71">
        <f>IF(VLOOKUP(A35,Schlußkurse!A$5:AU$105,45,FALSE)&gt;0,IF(VLOOKUP(A35,Dividende_je_Aktie!A$3:AM$103,17,FALSE)&lt;&gt;"",VLOOKUP(A35,Dividende_je_Aktie!A$3:AM$103,17,FALSE)/VLOOKUP(A35,Schlußkurse!A$5:AU$105,45,FALSE),""),"")</f>
        <v>3.1022390072835176E-2</v>
      </c>
      <c r="N35" s="71">
        <f>IF(VLOOKUP(A35,Schlußkurse!A$5:AU$105,46,FALSE)&gt;0,IF(VLOOKUP(A35,Dividende_je_Aktie!A$3:AM$103,18,FALSE)&lt;&gt;"",VLOOKUP(A35,Dividende_je_Aktie!A$3:AM$103,18,FALSE)/VLOOKUP(A35,Schlußkurse!A$5:AU$105,46,FALSE),""),"")</f>
        <v>2.7582882545123456E-2</v>
      </c>
      <c r="O35" s="71">
        <f>IF(VLOOKUP(A35,Schlußkurse!A$5:AU$105,47,FALSE)&gt;0,IF(VLOOKUP(A35,Dividende_je_Aktie!A$3:AM$103,19,FALSE)&lt;&gt;"",VLOOKUP(A35,Dividende_je_Aktie!A$3:AM$103,19,FALSE)/VLOOKUP(A35,Schlußkurse!A$5:AU$105,47,FALSE),""),"")</f>
        <v>2.5962910128388021E-2</v>
      </c>
      <c r="P35" s="71">
        <f t="shared" si="0"/>
        <v>3.4610238008738456E-2</v>
      </c>
      <c r="Q35" s="5">
        <f ca="1">VLOOKUP(A35,Dividende_je_Aktie!A$3:AM$103,24,FALSE)/VLOOKUP(A35,Schlußkurse!A$5:AU$105,35,FALSE)</f>
        <v>3.0984085742124065E-2</v>
      </c>
      <c r="R35" s="5">
        <f t="shared" ca="1" si="1"/>
        <v>-0.10477108726322115</v>
      </c>
    </row>
    <row r="36" spans="1:18">
      <c r="A36" t="s">
        <v>46</v>
      </c>
      <c r="B36" s="38" t="s">
        <v>47</v>
      </c>
      <c r="C36" s="71">
        <f>IF(VLOOKUP(A36,Schlußkurse!A$5:AU$105,35,FALSE)&gt;0,IF(VLOOKUP(A36,Dividende_je_Aktie!A$3:AM$103,7,FALSE)&lt;&gt;"",VLOOKUP(A36,Dividende_je_Aktie!A$3:AM$103,7,FALSE)/VLOOKUP(A36,Schlußkurse!A$5:AU$105,35,FALSE),""),"")</f>
        <v>3.6089722129226648E-2</v>
      </c>
      <c r="D36" s="71">
        <f>IF(VLOOKUP(A36,Schlußkurse!A$5:AU$105,36,FALSE)&gt;0,IF(VLOOKUP(A36,Dividende_je_Aktie!A$3:AM$103,8,FALSE)&lt;&gt;"",VLOOKUP(A36,Dividende_je_Aktie!A$3:AM$103,8,FALSE)/VLOOKUP(A36,Schlußkurse!A$5:AU$105,36,FALSE),""),"")</f>
        <v>3.4281888182122536E-2</v>
      </c>
      <c r="E36" s="71">
        <f>IF(VLOOKUP(A36,Schlußkurse!A$5:AU$105,37,FALSE)&gt;0,IF(VLOOKUP(A36,Dividende_je_Aktie!A$3:AM$103,9,FALSE)&lt;&gt;"",VLOOKUP(A36,Dividende_je_Aktie!A$3:AM$103,9,FALSE)/VLOOKUP(A36,Schlußkurse!A$5:AU$105,37,FALSE),""),"")</f>
        <v>3.6331928498764716E-2</v>
      </c>
      <c r="F36" s="71">
        <f>IF(VLOOKUP(A36,Schlußkurse!A$5:AU$105,38,FALSE)&gt;0,IF(VLOOKUP(A36,Dividende_je_Aktie!A$3:AM$103,10,FALSE)&lt;&gt;"",VLOOKUP(A36,Dividende_je_Aktie!A$3:AM$103,10,FALSE)/VLOOKUP(A36,Schlußkurse!A$5:AU$105,38,FALSE),""),"")</f>
        <v>2.648965345300424E-2</v>
      </c>
      <c r="G36" s="71">
        <f>IF(VLOOKUP(A36,Schlußkurse!A$5:AU$105,39,FALSE)&gt;0,IF(VLOOKUP(A36,Dividende_je_Aktie!A$3:AM$103,11,FALSE)&lt;&gt;"",VLOOKUP(A36,Dividende_je_Aktie!A$3:AM$103,11,FALSE)/VLOOKUP(A36,Schlußkurse!A$5:AU$105,39,FALSE),""),"")</f>
        <v>1.9725968971583945E-2</v>
      </c>
      <c r="H36" s="71">
        <f>IF(VLOOKUP(A36,Schlußkurse!A$5:AU$105,40,FALSE)&gt;0,IF(VLOOKUP(A36,Dividende_je_Aktie!A$3:AM$103,12,FALSE)&lt;&gt;"",VLOOKUP(A36,Dividende_je_Aktie!A$3:AM$103,12,FALSE)/VLOOKUP(A36,Schlußkurse!A$5:AU$105,40,FALSE),""),"")</f>
        <v>1.7227877838684416E-2</v>
      </c>
      <c r="I36" s="71">
        <f>IF(VLOOKUP(A36,Schlußkurse!A$5:AU$105,41,FALSE)&gt;0,IF(VLOOKUP(A36,Dividende_je_Aktie!A$3:AM$103,13,FALSE)&lt;&gt;"",VLOOKUP(A36,Dividende_je_Aktie!A$3:AM$103,13,FALSE)/VLOOKUP(A36,Schlußkurse!A$5:AU$105,41,FALSE),""),"")</f>
        <v>1.5771155101152925E-2</v>
      </c>
      <c r="J36" s="71">
        <f>IF(VLOOKUP(A36,Schlußkurse!A$5:AU$105,42,FALSE)&gt;0,IF(VLOOKUP(A36,Dividende_je_Aktie!A$3:AM$103,14,FALSE)&lt;&gt;"",VLOOKUP(A36,Dividende_je_Aktie!A$3:AM$103,14,FALSE)/VLOOKUP(A36,Schlußkurse!A$5:AU$105,42,FALSE),""),"")</f>
        <v>1.7034614336331428E-2</v>
      </c>
      <c r="K36" s="71">
        <f>IF(VLOOKUP(A36,Schlußkurse!A$5:AU$105,43,FALSE)&gt;0,IF(VLOOKUP(A36,Dividende_je_Aktie!A$3:AM$103,15,FALSE)&lt;&gt;"",VLOOKUP(A36,Dividende_je_Aktie!A$3:AM$103,15,FALSE)/VLOOKUP(A36,Schlußkurse!A$5:AU$105,43,FALSE),""),"")</f>
        <v>1.6424751718869365E-2</v>
      </c>
      <c r="L36" s="71">
        <f>IF(VLOOKUP(A36,Schlußkurse!A$5:AU$105,44,FALSE)&gt;0,IF(VLOOKUP(A36,Dividende_je_Aktie!A$3:AM$103,16,FALSE)&lt;&gt;"",VLOOKUP(A36,Dividende_je_Aktie!A$3:AM$103,16,FALSE)/VLOOKUP(A36,Schlußkurse!A$5:AU$105,44,FALSE),""),"")</f>
        <v>2.2576045627376425E-2</v>
      </c>
      <c r="M36" s="71">
        <f>IF(VLOOKUP(A36,Schlußkurse!A$5:AU$105,45,FALSE)&gt;0,IF(VLOOKUP(A36,Dividende_je_Aktie!A$3:AM$103,17,FALSE)&lt;&gt;"",VLOOKUP(A36,Dividende_je_Aktie!A$3:AM$103,17,FALSE)/VLOOKUP(A36,Schlußkurse!A$5:AU$105,45,FALSE),""),"")</f>
        <v>1.387604070305273E-2</v>
      </c>
      <c r="N36" s="71">
        <f>IF(VLOOKUP(A36,Schlußkurse!A$5:AU$105,46,FALSE)&gt;0,IF(VLOOKUP(A36,Dividende_je_Aktie!A$3:AM$103,18,FALSE)&lt;&gt;"",VLOOKUP(A36,Dividende_je_Aktie!A$3:AM$103,18,FALSE)/VLOOKUP(A36,Schlußkurse!A$5:AU$105,46,FALSE),""),"")</f>
        <v>1.1301756909483202E-2</v>
      </c>
      <c r="O36" s="71">
        <f>IF(VLOOKUP(A36,Schlußkurse!A$5:AU$105,47,FALSE)&gt;0,IF(VLOOKUP(A36,Dividende_je_Aktie!A$3:AM$103,19,FALSE)&lt;&gt;"",VLOOKUP(A36,Dividende_je_Aktie!A$3:AM$103,19,FALSE)/VLOOKUP(A36,Schlußkurse!A$5:AU$105,47,FALSE),""),"")</f>
        <v>9.4890510948905105E-3</v>
      </c>
      <c r="P36" s="71">
        <f t="shared" ref="P36:P67" si="2">AVERAGE(C36:O36)</f>
        <v>2.1278496504964852E-2</v>
      </c>
      <c r="Q36" s="5">
        <f ca="1">VLOOKUP(A36,Dividende_je_Aktie!A$3:AM$103,24,FALSE)/VLOOKUP(A36,Schlußkurse!A$5:AU$105,35,FALSE)</f>
        <v>3.4824238366253771E-2</v>
      </c>
      <c r="R36" s="5">
        <f t="shared" ref="R36:R67" ca="1" si="3">IF(P36=0,0,(Q36/P36)-1)</f>
        <v>0.63659299697834992</v>
      </c>
    </row>
    <row r="37" spans="1:18">
      <c r="A37" t="s">
        <v>48</v>
      </c>
      <c r="B37" s="38" t="s">
        <v>49</v>
      </c>
      <c r="C37" s="71">
        <f>IF(VLOOKUP(A37,Schlußkurse!A$5:AU$105,35,FALSE)&gt;0,IF(VLOOKUP(A37,Dividende_je_Aktie!A$3:AM$103,7,FALSE)&lt;&gt;"",VLOOKUP(A37,Dividende_je_Aktie!A$3:AM$103,7,FALSE)/VLOOKUP(A37,Schlußkurse!A$5:AU$105,35,FALSE),""),"")</f>
        <v>2.9697525206232818E-2</v>
      </c>
      <c r="D37" s="71">
        <f>IF(VLOOKUP(A37,Schlußkurse!A$5:AU$105,36,FALSE)&gt;0,IF(VLOOKUP(A37,Dividende_je_Aktie!A$3:AM$103,8,FALSE)&lt;&gt;"",VLOOKUP(A37,Dividende_je_Aktie!A$3:AM$103,8,FALSE)/VLOOKUP(A37,Schlußkurse!A$5:AU$105,36,FALSE),""),"")</f>
        <v>2.8139321723189736E-2</v>
      </c>
      <c r="E37" s="71">
        <f>IF(VLOOKUP(A37,Schlußkurse!A$5:AU$105,37,FALSE)&gt;0,IF(VLOOKUP(A37,Dividende_je_Aktie!A$3:AM$103,9,FALSE)&lt;&gt;"",VLOOKUP(A37,Dividende_je_Aktie!A$3:AM$103,9,FALSE)/VLOOKUP(A37,Schlußkurse!A$5:AU$105,37,FALSE),""),"")</f>
        <v>2.8718847352024925E-2</v>
      </c>
      <c r="F37" s="71">
        <f>IF(VLOOKUP(A37,Schlußkurse!A$5:AU$105,38,FALSE)&gt;0,IF(VLOOKUP(A37,Dividende_je_Aktie!A$3:AM$103,10,FALSE)&lt;&gt;"",VLOOKUP(A37,Dividende_je_Aktie!A$3:AM$103,10,FALSE)/VLOOKUP(A37,Schlußkurse!A$5:AU$105,38,FALSE),""),"")</f>
        <v>2.6393803194032704E-2</v>
      </c>
      <c r="G37" s="71">
        <f>IF(VLOOKUP(A37,Schlußkurse!A$5:AU$105,39,FALSE)&gt;0,IF(VLOOKUP(A37,Dividende_je_Aktie!A$3:AM$103,11,FALSE)&lt;&gt;"",VLOOKUP(A37,Dividende_je_Aktie!A$3:AM$103,11,FALSE)/VLOOKUP(A37,Schlußkurse!A$5:AU$105,39,FALSE),""),"")</f>
        <v>2.8290551611141451E-2</v>
      </c>
      <c r="H37" s="71">
        <f>IF(VLOOKUP(A37,Schlußkurse!A$5:AU$105,40,FALSE)&gt;0,IF(VLOOKUP(A37,Dividende_je_Aktie!A$3:AM$103,12,FALSE)&lt;&gt;"",VLOOKUP(A37,Dividende_je_Aktie!A$3:AM$103,12,FALSE)/VLOOKUP(A37,Schlußkurse!A$5:AU$105,40,FALSE),""),"")</f>
        <v>3.4236804564907276E-2</v>
      </c>
      <c r="I37" s="71">
        <f>IF(VLOOKUP(A37,Schlußkurse!A$5:AU$105,41,FALSE)&gt;0,IF(VLOOKUP(A37,Dividende_je_Aktie!A$3:AM$103,13,FALSE)&lt;&gt;"",VLOOKUP(A37,Dividende_je_Aktie!A$3:AM$103,13,FALSE)/VLOOKUP(A37,Schlußkurse!A$5:AU$105,41,FALSE),""),"")</f>
        <v>3.4309240622140899E-2</v>
      </c>
      <c r="J37" s="71">
        <f>IF(VLOOKUP(A37,Schlußkurse!A$5:AU$105,42,FALSE)&gt;0,IF(VLOOKUP(A37,Dividende_je_Aktie!A$3:AM$103,14,FALSE)&lt;&gt;"",VLOOKUP(A37,Dividende_je_Aktie!A$3:AM$103,14,FALSE)/VLOOKUP(A37,Schlußkurse!A$5:AU$105,42,FALSE),""),"")</f>
        <v>3.411479385610347E-2</v>
      </c>
      <c r="K37" s="71">
        <f>IF(VLOOKUP(A37,Schlußkurse!A$5:AU$105,43,FALSE)&gt;0,IF(VLOOKUP(A37,Dividende_je_Aktie!A$3:AM$103,15,FALSE)&lt;&gt;"",VLOOKUP(A37,Dividende_je_Aktie!A$3:AM$103,15,FALSE)/VLOOKUP(A37,Schlußkurse!A$5:AU$105,43,FALSE),""),"")</f>
        <v>2.9964291259121256E-2</v>
      </c>
      <c r="L37" s="71">
        <f>IF(VLOOKUP(A37,Schlußkurse!A$5:AU$105,44,FALSE)&gt;0,IF(VLOOKUP(A37,Dividende_je_Aktie!A$3:AM$103,16,FALSE)&lt;&gt;"",VLOOKUP(A37,Dividende_je_Aktie!A$3:AM$103,16,FALSE)/VLOOKUP(A37,Schlußkurse!A$5:AU$105,44,FALSE),""),"")</f>
        <v>3.0001671402306536E-2</v>
      </c>
      <c r="M37" s="71">
        <f>IF(VLOOKUP(A37,Schlußkurse!A$5:AU$105,45,FALSE)&gt;0,IF(VLOOKUP(A37,Dividende_je_Aktie!A$3:AM$103,17,FALSE)&lt;&gt;"",VLOOKUP(A37,Dividende_je_Aktie!A$3:AM$103,17,FALSE)/VLOOKUP(A37,Schlußkurse!A$5:AU$105,45,FALSE),""),"")</f>
        <v>2.4287856071964018E-2</v>
      </c>
      <c r="N37" s="71">
        <f>IF(VLOOKUP(A37,Schlußkurse!A$5:AU$105,46,FALSE)&gt;0,IF(VLOOKUP(A37,Dividende_je_Aktie!A$3:AM$103,18,FALSE)&lt;&gt;"",VLOOKUP(A37,Dividende_je_Aktie!A$3:AM$103,18,FALSE)/VLOOKUP(A37,Schlußkurse!A$5:AU$105,46,FALSE),""),"")</f>
        <v>2.2018765133171914E-2</v>
      </c>
      <c r="O37" s="71">
        <f>IF(VLOOKUP(A37,Schlußkurse!A$5:AU$105,47,FALSE)&gt;0,IF(VLOOKUP(A37,Dividende_je_Aktie!A$3:AM$103,19,FALSE)&lt;&gt;"",VLOOKUP(A37,Dividende_je_Aktie!A$3:AM$103,19,FALSE)/VLOOKUP(A37,Schlußkurse!A$5:AU$105,47,FALSE),""),"")</f>
        <v>2.1214642262895173E-2</v>
      </c>
      <c r="P37" s="71">
        <f t="shared" si="2"/>
        <v>2.8568316481479398E-2</v>
      </c>
      <c r="Q37" s="5">
        <f ca="1">VLOOKUP(A37,Dividende_je_Aktie!A$3:AM$103,24,FALSE)/VLOOKUP(A37,Schlußkurse!A$5:AU$105,35,FALSE)</f>
        <v>2.8606782768102655E-2</v>
      </c>
      <c r="R37" s="5">
        <f t="shared" ca="1" si="3"/>
        <v>1.3464666932052616E-3</v>
      </c>
    </row>
    <row r="38" spans="1:18">
      <c r="A38" t="s">
        <v>314</v>
      </c>
      <c r="B38" s="38" t="s">
        <v>315</v>
      </c>
      <c r="C38" s="71">
        <f>IF(VLOOKUP(A38,Schlußkurse!A$5:AU$105,35,FALSE)&gt;0,IF(VLOOKUP(A38,Dividende_je_Aktie!A$3:AM$103,7,FALSE)&lt;&gt;"",VLOOKUP(A38,Dividende_je_Aktie!A$3:AM$103,7,FALSE)/VLOOKUP(A38,Schlußkurse!A$5:AU$105,35,FALSE),""),"")</f>
        <v>3.0967248630049703E-2</v>
      </c>
      <c r="D38" s="71">
        <f>IF(VLOOKUP(A38,Schlußkurse!A$5:AU$105,36,FALSE)&gt;0,IF(VLOOKUP(A38,Dividende_je_Aktie!A$3:AM$103,8,FALSE)&lt;&gt;"",VLOOKUP(A38,Dividende_je_Aktie!A$3:AM$103,8,FALSE)/VLOOKUP(A38,Schlußkurse!A$5:AU$105,36,FALSE),""),"")</f>
        <v>2.9565439021282017E-2</v>
      </c>
      <c r="E38" s="71">
        <f>IF(VLOOKUP(A38,Schlußkurse!A$5:AU$105,37,FALSE)&gt;0,IF(VLOOKUP(A38,Dividende_je_Aktie!A$3:AM$103,9,FALSE)&lt;&gt;"",VLOOKUP(A38,Dividende_je_Aktie!A$3:AM$103,9,FALSE)/VLOOKUP(A38,Schlußkurse!A$5:AU$105,37,FALSE),""),"")</f>
        <v>2.336448598130841E-2</v>
      </c>
      <c r="F38" s="71" t="str">
        <f>IF(VLOOKUP(A38,Schlußkurse!A$5:AU$105,38,FALSE)&gt;0,IF(VLOOKUP(A38,Dividende_je_Aktie!A$3:AM$103,10,FALSE)&lt;&gt;"",VLOOKUP(A38,Dividende_je_Aktie!A$3:AM$103,10,FALSE)/VLOOKUP(A38,Schlußkurse!A$5:AU$105,38,FALSE),""),"")</f>
        <v/>
      </c>
      <c r="G38" s="71" t="str">
        <f>IF(VLOOKUP(A38,Schlußkurse!A$5:AU$105,39,FALSE)&gt;0,IF(VLOOKUP(A38,Dividende_je_Aktie!A$3:AM$103,11,FALSE)&lt;&gt;"",VLOOKUP(A38,Dividende_je_Aktie!A$3:AM$103,11,FALSE)/VLOOKUP(A38,Schlußkurse!A$5:AU$105,39,FALSE),""),"")</f>
        <v/>
      </c>
      <c r="H38" s="71" t="str">
        <f>IF(VLOOKUP(A38,Schlußkurse!A$5:AU$105,40,FALSE)&gt;0,IF(VLOOKUP(A38,Dividende_je_Aktie!A$3:AM$103,12,FALSE)&lt;&gt;"",VLOOKUP(A38,Dividende_je_Aktie!A$3:AM$103,12,FALSE)/VLOOKUP(A38,Schlußkurse!A$5:AU$105,40,FALSE),""),"")</f>
        <v/>
      </c>
      <c r="I38" s="71" t="str">
        <f>IF(VLOOKUP(A38,Schlußkurse!A$5:AU$105,41,FALSE)&gt;0,IF(VLOOKUP(A38,Dividende_je_Aktie!A$3:AM$103,13,FALSE)&lt;&gt;"",VLOOKUP(A38,Dividende_je_Aktie!A$3:AM$103,13,FALSE)/VLOOKUP(A38,Schlußkurse!A$5:AU$105,41,FALSE),""),"")</f>
        <v/>
      </c>
      <c r="J38" s="71" t="str">
        <f>IF(VLOOKUP(A38,Schlußkurse!A$5:AU$105,42,FALSE)&gt;0,IF(VLOOKUP(A38,Dividende_je_Aktie!A$3:AM$103,14,FALSE)&lt;&gt;"",VLOOKUP(A38,Dividende_je_Aktie!A$3:AM$103,14,FALSE)/VLOOKUP(A38,Schlußkurse!A$5:AU$105,42,FALSE),""),"")</f>
        <v/>
      </c>
      <c r="K38" s="71" t="str">
        <f>IF(VLOOKUP(A38,Schlußkurse!A$5:AU$105,43,FALSE)&gt;0,IF(VLOOKUP(A38,Dividende_je_Aktie!A$3:AM$103,15,FALSE)&lt;&gt;"",VLOOKUP(A38,Dividende_je_Aktie!A$3:AM$103,15,FALSE)/VLOOKUP(A38,Schlußkurse!A$5:AU$105,43,FALSE),""),"")</f>
        <v/>
      </c>
      <c r="L38" s="71" t="str">
        <f>IF(VLOOKUP(A38,Schlußkurse!A$5:AU$105,44,FALSE)&gt;0,IF(VLOOKUP(A38,Dividende_je_Aktie!A$3:AM$103,16,FALSE)&lt;&gt;"",VLOOKUP(A38,Dividende_je_Aktie!A$3:AM$103,16,FALSE)/VLOOKUP(A38,Schlußkurse!A$5:AU$105,44,FALSE),""),"")</f>
        <v/>
      </c>
      <c r="M38" s="71" t="str">
        <f>IF(VLOOKUP(A38,Schlußkurse!A$5:AU$105,45,FALSE)&gt;0,IF(VLOOKUP(A38,Dividende_je_Aktie!A$3:AM$103,17,FALSE)&lt;&gt;"",VLOOKUP(A38,Dividende_je_Aktie!A$3:AM$103,17,FALSE)/VLOOKUP(A38,Schlußkurse!A$5:AU$105,45,FALSE),""),"")</f>
        <v/>
      </c>
      <c r="N38" s="71" t="str">
        <f>IF(VLOOKUP(A38,Schlußkurse!A$5:AU$105,46,FALSE)&gt;0,IF(VLOOKUP(A38,Dividende_je_Aktie!A$3:AM$103,18,FALSE)&lt;&gt;"",VLOOKUP(A38,Dividende_je_Aktie!A$3:AM$103,18,FALSE)/VLOOKUP(A38,Schlußkurse!A$5:AU$105,46,FALSE),""),"")</f>
        <v/>
      </c>
      <c r="O38" s="71" t="str">
        <f>IF(VLOOKUP(A38,Schlußkurse!A$5:AU$105,47,FALSE)&gt;0,IF(VLOOKUP(A38,Dividende_je_Aktie!A$3:AM$103,19,FALSE)&lt;&gt;"",VLOOKUP(A38,Dividende_je_Aktie!A$3:AM$103,19,FALSE)/VLOOKUP(A38,Schlußkurse!A$5:AU$105,47,FALSE),""),"")</f>
        <v/>
      </c>
      <c r="P38" s="71">
        <f t="shared" si="2"/>
        <v>2.7965724544213377E-2</v>
      </c>
      <c r="Q38" s="5">
        <f ca="1">VLOOKUP(A38,Dividende_je_Aktie!A$3:AM$103,24,FALSE)/VLOOKUP(A38,Schlußkurse!A$5:AU$105,35,FALSE)</f>
        <v>2.9985981903912322E-2</v>
      </c>
      <c r="R38" s="5">
        <f t="shared" ca="1" si="3"/>
        <v>7.2240479823969972E-2</v>
      </c>
    </row>
    <row r="39" spans="1:18">
      <c r="A39" t="s">
        <v>50</v>
      </c>
      <c r="B39" s="38" t="s">
        <v>51</v>
      </c>
      <c r="C39" s="71">
        <f>IF(VLOOKUP(A39,Schlußkurse!A$5:AU$105,35,FALSE)&gt;0,IF(VLOOKUP(A39,Dividende_je_Aktie!A$3:AM$103,7,FALSE)&lt;&gt;"",VLOOKUP(A39,Dividende_je_Aktie!A$3:AM$103,7,FALSE)/VLOOKUP(A39,Schlußkurse!A$5:AU$105,35,FALSE),""),"")</f>
        <v>2.9931228508909037E-2</v>
      </c>
      <c r="D39" s="71">
        <f>IF(VLOOKUP(A39,Schlußkurse!A$5:AU$105,36,FALSE)&gt;0,IF(VLOOKUP(A39,Dividende_je_Aktie!A$3:AM$103,8,FALSE)&lt;&gt;"",VLOOKUP(A39,Dividende_je_Aktie!A$3:AM$103,8,FALSE)/VLOOKUP(A39,Schlußkurse!A$5:AU$105,36,FALSE),""),"")</f>
        <v>2.8290090653329169E-2</v>
      </c>
      <c r="E39" s="71">
        <f>IF(VLOOKUP(A39,Schlußkurse!A$5:AU$105,37,FALSE)&gt;0,IF(VLOOKUP(A39,Dividende_je_Aktie!A$3:AM$103,9,FALSE)&lt;&gt;"",VLOOKUP(A39,Dividende_je_Aktie!A$3:AM$103,9,FALSE)/VLOOKUP(A39,Schlußkurse!A$5:AU$105,37,FALSE),""),"")</f>
        <v>2.9117995598442525E-2</v>
      </c>
      <c r="F39" s="71">
        <f>IF(VLOOKUP(A39,Schlußkurse!A$5:AU$105,38,FALSE)&gt;0,IF(VLOOKUP(A39,Dividende_je_Aktie!A$3:AM$103,10,FALSE)&lt;&gt;"",VLOOKUP(A39,Dividende_je_Aktie!A$3:AM$103,10,FALSE)/VLOOKUP(A39,Schlußkurse!A$5:AU$105,38,FALSE),""),"")</f>
        <v>3.5005336179295618E-2</v>
      </c>
      <c r="G39" s="71">
        <f>IF(VLOOKUP(A39,Schlußkurse!A$5:AU$105,39,FALSE)&gt;0,IF(VLOOKUP(A39,Dividende_je_Aktie!A$3:AM$103,11,FALSE)&lt;&gt;"",VLOOKUP(A39,Dividende_je_Aktie!A$3:AM$103,11,FALSE)/VLOOKUP(A39,Schlußkurse!A$5:AU$105,39,FALSE),""),"")</f>
        <v>3.2155003607131818E-2</v>
      </c>
      <c r="H39" s="71">
        <f>IF(VLOOKUP(A39,Schlußkurse!A$5:AU$105,40,FALSE)&gt;0,IF(VLOOKUP(A39,Dividende_je_Aktie!A$3:AM$103,12,FALSE)&lt;&gt;"",VLOOKUP(A39,Dividende_je_Aktie!A$3:AM$103,12,FALSE)/VLOOKUP(A39,Schlußkurse!A$5:AU$105,40,FALSE),""),"")</f>
        <v>3.253599365151344E-2</v>
      </c>
      <c r="I39" s="71">
        <f>IF(VLOOKUP(A39,Schlußkurse!A$5:AU$105,41,FALSE)&gt;0,IF(VLOOKUP(A39,Dividende_je_Aktie!A$3:AM$103,13,FALSE)&lt;&gt;"",VLOOKUP(A39,Dividende_je_Aktie!A$3:AM$103,13,FALSE)/VLOOKUP(A39,Schlußkurse!A$5:AU$105,41,FALSE),""),"")</f>
        <v>2.5216784610784408E-2</v>
      </c>
      <c r="J39" s="71">
        <f>IF(VLOOKUP(A39,Schlußkurse!A$5:AU$105,42,FALSE)&gt;0,IF(VLOOKUP(A39,Dividende_je_Aktie!A$3:AM$103,14,FALSE)&lt;&gt;"",VLOOKUP(A39,Dividende_je_Aktie!A$3:AM$103,14,FALSE)/VLOOKUP(A39,Schlußkurse!A$5:AU$105,42,FALSE),""),"")</f>
        <v>2.9442417926003123E-2</v>
      </c>
      <c r="K39" s="71">
        <f>IF(VLOOKUP(A39,Schlußkurse!A$5:AU$105,43,FALSE)&gt;0,IF(VLOOKUP(A39,Dividende_je_Aktie!A$3:AM$103,15,FALSE)&lt;&gt;"",VLOOKUP(A39,Dividende_je_Aktie!A$3:AM$103,15,FALSE)/VLOOKUP(A39,Schlußkurse!A$5:AU$105,43,FALSE),""),"")</f>
        <v>3.2831518257527226E-2</v>
      </c>
      <c r="L39" s="71">
        <f>IF(VLOOKUP(A39,Schlußkurse!A$5:AU$105,44,FALSE)&gt;0,IF(VLOOKUP(A39,Dividende_je_Aktie!A$3:AM$103,16,FALSE)&lt;&gt;"",VLOOKUP(A39,Dividende_je_Aktie!A$3:AM$103,16,FALSE)/VLOOKUP(A39,Schlußkurse!A$5:AU$105,44,FALSE),""),"")</f>
        <v>2.6210001607975559E-2</v>
      </c>
      <c r="M39" s="71">
        <f>IF(VLOOKUP(A39,Schlußkurse!A$5:AU$105,45,FALSE)&gt;0,IF(VLOOKUP(A39,Dividende_je_Aktie!A$3:AM$103,17,FALSE)&lt;&gt;"",VLOOKUP(A39,Dividende_je_Aktie!A$3:AM$103,17,FALSE)/VLOOKUP(A39,Schlußkurse!A$5:AU$105,45,FALSE),""),"")</f>
        <v>2.5462570022067563E-2</v>
      </c>
      <c r="N39" s="71">
        <f>IF(VLOOKUP(A39,Schlußkurse!A$5:AU$105,46,FALSE)&gt;0,IF(VLOOKUP(A39,Dividende_je_Aktie!A$3:AM$103,18,FALSE)&lt;&gt;"",VLOOKUP(A39,Dividende_je_Aktie!A$3:AM$103,18,FALSE)/VLOOKUP(A39,Schlußkurse!A$5:AU$105,46,FALSE),""),"")</f>
        <v>2.2522522522522525E-2</v>
      </c>
      <c r="O39" s="71">
        <f>IF(VLOOKUP(A39,Schlußkurse!A$5:AU$105,47,FALSE)&gt;0,IF(VLOOKUP(A39,Dividende_je_Aktie!A$3:AM$103,19,FALSE)&lt;&gt;"",VLOOKUP(A39,Dividende_je_Aktie!A$3:AM$103,19,FALSE)/VLOOKUP(A39,Schlußkurse!A$5:AU$105,47,FALSE),""),"")</f>
        <v>1.9869513641755637E-2</v>
      </c>
      <c r="P39" s="71">
        <f t="shared" si="2"/>
        <v>2.835315206055828E-2</v>
      </c>
      <c r="Q39" s="5">
        <f ca="1">VLOOKUP(A39,Dividende_je_Aktie!A$3:AM$103,24,FALSE)/VLOOKUP(A39,Schlußkurse!A$5:AU$105,35,FALSE)</f>
        <v>2.8782432010003127E-2</v>
      </c>
      <c r="R39" s="5">
        <f t="shared" ca="1" si="3"/>
        <v>1.5140466517725049E-2</v>
      </c>
    </row>
    <row r="40" spans="1:18">
      <c r="A40" t="s">
        <v>52</v>
      </c>
      <c r="B40" s="38" t="s">
        <v>53</v>
      </c>
      <c r="C40" s="71">
        <f>IF(VLOOKUP(A40,Schlußkurse!A$5:AU$105,35,FALSE)&gt;0,IF(VLOOKUP(A40,Dividende_je_Aktie!A$3:AM$103,7,FALSE)&lt;&gt;"",VLOOKUP(A40,Dividende_je_Aktie!A$3:AM$103,7,FALSE)/VLOOKUP(A40,Schlußkurse!A$5:AU$105,35,FALSE),""),"")</f>
        <v>3.4320809248554913E-2</v>
      </c>
      <c r="D40" s="71">
        <f>IF(VLOOKUP(A40,Schlußkurse!A$5:AU$105,36,FALSE)&gt;0,IF(VLOOKUP(A40,Dividende_je_Aktie!A$3:AM$103,8,FALSE)&lt;&gt;"",VLOOKUP(A40,Dividende_je_Aktie!A$3:AM$103,8,FALSE)/VLOOKUP(A40,Schlußkurse!A$5:AU$105,36,FALSE),""),"")</f>
        <v>3.3417630057803467E-2</v>
      </c>
      <c r="E40" s="71">
        <f>IF(VLOOKUP(A40,Schlußkurse!A$5:AU$105,37,FALSE)&gt;0,IF(VLOOKUP(A40,Dividende_je_Aktie!A$3:AM$103,9,FALSE)&lt;&gt;"",VLOOKUP(A40,Dividende_je_Aktie!A$3:AM$103,9,FALSE)/VLOOKUP(A40,Schlußkurse!A$5:AU$105,37,FALSE),""),"")</f>
        <v>3.426732298371829E-2</v>
      </c>
      <c r="F40" s="71">
        <f>IF(VLOOKUP(A40,Schlußkurse!A$5:AU$105,38,FALSE)&gt;0,IF(VLOOKUP(A40,Dividende_je_Aktie!A$3:AM$103,10,FALSE)&lt;&gt;"",VLOOKUP(A40,Dividende_je_Aktie!A$3:AM$103,10,FALSE)/VLOOKUP(A40,Schlußkurse!A$5:AU$105,38,FALSE),""),"")</f>
        <v>3.1167459059693609E-2</v>
      </c>
      <c r="G40" s="71">
        <f>IF(VLOOKUP(A40,Schlußkurse!A$5:AU$105,39,FALSE)&gt;0,IF(VLOOKUP(A40,Dividende_je_Aktie!A$3:AM$103,11,FALSE)&lt;&gt;"",VLOOKUP(A40,Dividende_je_Aktie!A$3:AM$103,11,FALSE)/VLOOKUP(A40,Schlußkurse!A$5:AU$105,39,FALSE),""),"")</f>
        <v>3.4565434565434566E-2</v>
      </c>
      <c r="H40" s="71">
        <f>IF(VLOOKUP(A40,Schlußkurse!A$5:AU$105,40,FALSE)&gt;0,IF(VLOOKUP(A40,Dividende_je_Aktie!A$3:AM$103,12,FALSE)&lt;&gt;"",VLOOKUP(A40,Dividende_je_Aktie!A$3:AM$103,12,FALSE)/VLOOKUP(A40,Schlußkurse!A$5:AU$105,40,FALSE),""),"")</f>
        <v>4.1035661944308743E-2</v>
      </c>
      <c r="I40" s="71">
        <f>IF(VLOOKUP(A40,Schlußkurse!A$5:AU$105,41,FALSE)&gt;0,IF(VLOOKUP(A40,Dividende_je_Aktie!A$3:AM$103,13,FALSE)&lt;&gt;"",VLOOKUP(A40,Dividende_je_Aktie!A$3:AM$103,13,FALSE)/VLOOKUP(A40,Schlußkurse!A$5:AU$105,41,FALSE),""),"")</f>
        <v>4.0318302387267899E-2</v>
      </c>
      <c r="J40" s="71">
        <f>IF(VLOOKUP(A40,Schlußkurse!A$5:AU$105,42,FALSE)&gt;0,IF(VLOOKUP(A40,Dividende_je_Aktie!A$3:AM$103,14,FALSE)&lt;&gt;"",VLOOKUP(A40,Dividende_je_Aktie!A$3:AM$103,14,FALSE)/VLOOKUP(A40,Schlußkurse!A$5:AU$105,42,FALSE),""),"")</f>
        <v>4.2175360710321866E-2</v>
      </c>
      <c r="K40" s="71">
        <f>IF(VLOOKUP(A40,Schlußkurse!A$5:AU$105,43,FALSE)&gt;0,IF(VLOOKUP(A40,Dividende_je_Aktie!A$3:AM$103,15,FALSE)&lt;&gt;"",VLOOKUP(A40,Dividende_je_Aktie!A$3:AM$103,15,FALSE)/VLOOKUP(A40,Schlußkurse!A$5:AU$105,43,FALSE),""),"")</f>
        <v>4.1598248494800219E-2</v>
      </c>
      <c r="L40" s="71">
        <f>IF(VLOOKUP(A40,Schlußkurse!A$5:AU$105,44,FALSE)&gt;0,IF(VLOOKUP(A40,Dividende_je_Aktie!A$3:AM$103,16,FALSE)&lt;&gt;"",VLOOKUP(A40,Dividende_je_Aktie!A$3:AM$103,16,FALSE)/VLOOKUP(A40,Schlußkurse!A$5:AU$105,44,FALSE),""),"")</f>
        <v>0.05</v>
      </c>
      <c r="M40" s="71">
        <f>IF(VLOOKUP(A40,Schlußkurse!A$5:AU$105,45,FALSE)&gt;0,IF(VLOOKUP(A40,Dividende_je_Aktie!A$3:AM$103,17,FALSE)&lt;&gt;"",VLOOKUP(A40,Dividende_je_Aktie!A$3:AM$103,17,FALSE)/VLOOKUP(A40,Schlußkurse!A$5:AU$105,45,FALSE),""),"")</f>
        <v>2.6157287902254345E-2</v>
      </c>
      <c r="N40" s="71">
        <f>IF(VLOOKUP(A40,Schlußkurse!A$5:AU$105,46,FALSE)&gt;0,IF(VLOOKUP(A40,Dividende_je_Aktie!A$3:AM$103,18,FALSE)&lt;&gt;"",VLOOKUP(A40,Dividende_je_Aktie!A$3:AM$103,18,FALSE)/VLOOKUP(A40,Schlußkurse!A$5:AU$105,46,FALSE),""),"")</f>
        <v>3.4870383115393436E-2</v>
      </c>
      <c r="O40" s="71">
        <f>IF(VLOOKUP(A40,Schlußkurse!A$5:AU$105,47,FALSE)&gt;0,IF(VLOOKUP(A40,Dividende_je_Aktie!A$3:AM$103,19,FALSE)&lt;&gt;"",VLOOKUP(A40,Dividende_je_Aktie!A$3:AM$103,19,FALSE)/VLOOKUP(A40,Schlußkurse!A$5:AU$105,47,FALSE),""),"")</f>
        <v>4.7783715812637538E-2</v>
      </c>
      <c r="P40" s="71">
        <f t="shared" si="2"/>
        <v>3.7821355098629911E-2</v>
      </c>
      <c r="Q40" s="5">
        <f ca="1">VLOOKUP(A40,Dividende_je_Aktie!A$3:AM$103,24,FALSE)/VLOOKUP(A40,Schlußkurse!A$5:AU$105,35,FALSE)</f>
        <v>3.36885838150289E-2</v>
      </c>
      <c r="R40" s="5">
        <f t="shared" ca="1" si="3"/>
        <v>-0.10927084111142071</v>
      </c>
    </row>
    <row r="41" spans="1:18">
      <c r="A41" t="s">
        <v>54</v>
      </c>
      <c r="B41" s="38" t="s">
        <v>55</v>
      </c>
      <c r="C41" s="71">
        <f>IF(VLOOKUP(A41,Schlußkurse!A$5:AU$105,35,FALSE)&gt;0,IF(VLOOKUP(A41,Dividende_je_Aktie!A$3:AM$103,7,FALSE)&lt;&gt;"",VLOOKUP(A41,Dividende_je_Aktie!A$3:AM$103,7,FALSE)/VLOOKUP(A41,Schlußkurse!A$5:AU$105,35,FALSE),""),"")</f>
        <v>2.8298419698640206E-2</v>
      </c>
      <c r="D41" s="71">
        <f>IF(VLOOKUP(A41,Schlußkurse!A$5:AU$105,36,FALSE)&gt;0,IF(VLOOKUP(A41,Dividende_je_Aktie!A$3:AM$103,8,FALSE)&lt;&gt;"",VLOOKUP(A41,Dividende_je_Aktie!A$3:AM$103,8,FALSE)/VLOOKUP(A41,Schlußkurse!A$5:AU$105,36,FALSE),""),"")</f>
        <v>2.5909592061742006E-2</v>
      </c>
      <c r="E41" s="71">
        <f>IF(VLOOKUP(A41,Schlußkurse!A$5:AU$105,37,FALSE)&gt;0,IF(VLOOKUP(A41,Dividende_je_Aktie!A$3:AM$103,9,FALSE)&lt;&gt;"",VLOOKUP(A41,Dividende_je_Aktie!A$3:AM$103,9,FALSE)/VLOOKUP(A41,Schlußkurse!A$5:AU$105,37,FALSE),""),"")</f>
        <v>2.8086070215175538E-2</v>
      </c>
      <c r="F41" s="71">
        <f>IF(VLOOKUP(A41,Schlußkurse!A$5:AU$105,38,FALSE)&gt;0,IF(VLOOKUP(A41,Dividende_je_Aktie!A$3:AM$103,10,FALSE)&lt;&gt;"",VLOOKUP(A41,Dividende_je_Aktie!A$3:AM$103,10,FALSE)/VLOOKUP(A41,Schlußkurse!A$5:AU$105,38,FALSE),""),"")</f>
        <v>2.6858513189448444E-2</v>
      </c>
      <c r="G41" s="71">
        <f>IF(VLOOKUP(A41,Schlußkurse!A$5:AU$105,39,FALSE)&gt;0,IF(VLOOKUP(A41,Dividende_je_Aktie!A$3:AM$103,11,FALSE)&lt;&gt;"",VLOOKUP(A41,Dividende_je_Aktie!A$3:AM$103,11,FALSE)/VLOOKUP(A41,Schlußkurse!A$5:AU$105,39,FALSE),""),"")</f>
        <v>2.6631929367491678E-2</v>
      </c>
      <c r="H41" s="71">
        <f>IF(VLOOKUP(A41,Schlußkurse!A$5:AU$105,40,FALSE)&gt;0,IF(VLOOKUP(A41,Dividende_je_Aktie!A$3:AM$103,12,FALSE)&lt;&gt;"",VLOOKUP(A41,Dividende_je_Aktie!A$3:AM$103,12,FALSE)/VLOOKUP(A41,Schlußkurse!A$5:AU$105,40,FALSE),""),"")</f>
        <v>2.6152337365152011E-2</v>
      </c>
      <c r="I41" s="71">
        <f>IF(VLOOKUP(A41,Schlußkurse!A$5:AU$105,41,FALSE)&gt;0,IF(VLOOKUP(A41,Dividende_je_Aktie!A$3:AM$103,13,FALSE)&lt;&gt;"",VLOOKUP(A41,Dividende_je_Aktie!A$3:AM$103,13,FALSE)/VLOOKUP(A41,Schlußkurse!A$5:AU$105,41,FALSE),""),"")</f>
        <v>2.4615384615384615E-2</v>
      </c>
      <c r="J41" s="71">
        <f>IF(VLOOKUP(A41,Schlußkurse!A$5:AU$105,42,FALSE)&gt;0,IF(VLOOKUP(A41,Dividende_je_Aktie!A$3:AM$103,14,FALSE)&lt;&gt;"",VLOOKUP(A41,Dividende_je_Aktie!A$3:AM$103,14,FALSE)/VLOOKUP(A41,Schlußkurse!A$5:AU$105,42,FALSE),""),"")</f>
        <v>2.2598870056497175E-2</v>
      </c>
      <c r="K41" s="71">
        <f>IF(VLOOKUP(A41,Schlußkurse!A$5:AU$105,43,FALSE)&gt;0,IF(VLOOKUP(A41,Dividende_je_Aktie!A$3:AM$103,15,FALSE)&lt;&gt;"",VLOOKUP(A41,Dividende_je_Aktie!A$3:AM$103,15,FALSE)/VLOOKUP(A41,Schlußkurse!A$5:AU$105,43,FALSE),""),"")</f>
        <v>2.1876314682372739E-2</v>
      </c>
      <c r="L41" s="71">
        <f>IF(VLOOKUP(A41,Schlußkurse!A$5:AU$105,44,FALSE)&gt;0,IF(VLOOKUP(A41,Dividende_je_Aktie!A$3:AM$103,16,FALSE)&lt;&gt;"",VLOOKUP(A41,Dividende_je_Aktie!A$3:AM$103,16,FALSE)/VLOOKUP(A41,Schlußkurse!A$5:AU$105,44,FALSE),""),"")</f>
        <v>1.599418393311523E-2</v>
      </c>
      <c r="M41" s="71">
        <f>IF(VLOOKUP(A41,Schlußkurse!A$5:AU$105,45,FALSE)&gt;0,IF(VLOOKUP(A41,Dividende_je_Aktie!A$3:AM$103,17,FALSE)&lt;&gt;"",VLOOKUP(A41,Dividende_je_Aktie!A$3:AM$103,17,FALSE)/VLOOKUP(A41,Schlußkurse!A$5:AU$105,45,FALSE),""),"")</f>
        <v>1.3573125212080083E-2</v>
      </c>
      <c r="N41" s="71">
        <f>IF(VLOOKUP(A41,Schlußkurse!A$5:AU$105,46,FALSE)&gt;0,IF(VLOOKUP(A41,Dividende_je_Aktie!A$3:AM$103,18,FALSE)&lt;&gt;"",VLOOKUP(A41,Dividende_je_Aktie!A$3:AM$103,18,FALSE)/VLOOKUP(A41,Schlußkurse!A$5:AU$105,46,FALSE),""),"")</f>
        <v>1.5021459227467809E-2</v>
      </c>
      <c r="O41" s="71">
        <f>IF(VLOOKUP(A41,Schlußkurse!A$5:AU$105,47,FALSE)&gt;0,IF(VLOOKUP(A41,Dividende_je_Aktie!A$3:AM$103,19,FALSE)&lt;&gt;"",VLOOKUP(A41,Dividende_je_Aktie!A$3:AM$103,19,FALSE)/VLOOKUP(A41,Schlußkurse!A$5:AU$105,47,FALSE),""),"")</f>
        <v>1.3687600644122385E-2</v>
      </c>
      <c r="P41" s="71">
        <f t="shared" si="2"/>
        <v>2.2254138482206916E-2</v>
      </c>
      <c r="Q41" s="5">
        <f ca="1">VLOOKUP(A41,Dividende_je_Aktie!A$3:AM$103,24,FALSE)/VLOOKUP(A41,Schlußkurse!A$5:AU$105,35,FALSE)</f>
        <v>2.782728980358528E-2</v>
      </c>
      <c r="R41" s="5">
        <f t="shared" ca="1" si="3"/>
        <v>0.25043213089710581</v>
      </c>
    </row>
    <row r="42" spans="1:18">
      <c r="A42" t="s">
        <v>56</v>
      </c>
      <c r="B42" s="38" t="s">
        <v>57</v>
      </c>
      <c r="C42" s="71">
        <f>IF(VLOOKUP(A42,Schlußkurse!A$5:AU$105,35,FALSE)&gt;0,IF(VLOOKUP(A42,Dividende_je_Aktie!A$3:AM$103,7,FALSE)&lt;&gt;"",VLOOKUP(A42,Dividende_je_Aktie!A$3:AM$103,7,FALSE)/VLOOKUP(A42,Schlußkurse!A$5:AU$105,35,FALSE),""),"")</f>
        <v>1.7958412098298678E-2</v>
      </c>
      <c r="D42" s="71">
        <f>IF(VLOOKUP(A42,Schlußkurse!A$5:AU$105,36,FALSE)&gt;0,IF(VLOOKUP(A42,Dividende_je_Aktie!A$3:AM$103,8,FALSE)&lt;&gt;"",VLOOKUP(A42,Dividende_je_Aktie!A$3:AM$103,8,FALSE)/VLOOKUP(A42,Schlußkurse!A$5:AU$105,36,FALSE),""),"")</f>
        <v>1.6068052930056712E-2</v>
      </c>
      <c r="E42" s="71">
        <f>IF(VLOOKUP(A42,Schlußkurse!A$5:AU$105,37,FALSE)&gt;0,IF(VLOOKUP(A42,Dividende_je_Aktie!A$3:AM$103,9,FALSE)&lt;&gt;"",VLOOKUP(A42,Dividende_je_Aktie!A$3:AM$103,9,FALSE)/VLOOKUP(A42,Schlußkurse!A$5:AU$105,37,FALSE),""),"")</f>
        <v>1.4272970561998215E-2</v>
      </c>
      <c r="F42" s="71">
        <f>IF(VLOOKUP(A42,Schlußkurse!A$5:AU$105,38,FALSE)&gt;0,IF(VLOOKUP(A42,Dividende_je_Aktie!A$3:AM$103,10,FALSE)&lt;&gt;"",VLOOKUP(A42,Dividende_je_Aktie!A$3:AM$103,10,FALSE)/VLOOKUP(A42,Schlußkurse!A$5:AU$105,38,FALSE),""),"")</f>
        <v>1.5966964900206469E-2</v>
      </c>
      <c r="G42" s="71">
        <f>IF(VLOOKUP(A42,Schlußkurse!A$5:AU$105,39,FALSE)&gt;0,IF(VLOOKUP(A42,Dividende_je_Aktie!A$3:AM$103,11,FALSE)&lt;&gt;"",VLOOKUP(A42,Dividende_je_Aktie!A$3:AM$103,11,FALSE)/VLOOKUP(A42,Schlußkurse!A$5:AU$105,39,FALSE),""),"")</f>
        <v>1.5297450424929181E-2</v>
      </c>
      <c r="H42" s="71">
        <f>IF(VLOOKUP(A42,Schlußkurse!A$5:AU$105,40,FALSE)&gt;0,IF(VLOOKUP(A42,Dividende_je_Aktie!A$3:AM$103,12,FALSE)&lt;&gt;"",VLOOKUP(A42,Dividende_je_Aktie!A$3:AM$103,12,FALSE)/VLOOKUP(A42,Schlußkurse!A$5:AU$105,40,FALSE),""),"")</f>
        <v>2.7700831024930751E-2</v>
      </c>
      <c r="I42" s="71">
        <f>IF(VLOOKUP(A42,Schlußkurse!A$5:AU$105,41,FALSE)&gt;0,IF(VLOOKUP(A42,Dividende_je_Aktie!A$3:AM$103,13,FALSE)&lt;&gt;"",VLOOKUP(A42,Dividende_je_Aktie!A$3:AM$103,13,FALSE)/VLOOKUP(A42,Schlußkurse!A$5:AU$105,41,FALSE),""),"")</f>
        <v>1.5625210468891017E-2</v>
      </c>
      <c r="J42" s="71">
        <f>IF(VLOOKUP(A42,Schlußkurse!A$5:AU$105,42,FALSE)&gt;0,IF(VLOOKUP(A42,Dividende_je_Aktie!A$3:AM$103,14,FALSE)&lt;&gt;"",VLOOKUP(A42,Dividende_je_Aktie!A$3:AM$103,14,FALSE)/VLOOKUP(A42,Schlußkurse!A$5:AU$105,42,FALSE),""),"")</f>
        <v>2.473453025715382E-2</v>
      </c>
      <c r="K42" s="71">
        <f>IF(VLOOKUP(A42,Schlußkurse!A$5:AU$105,43,FALSE)&gt;0,IF(VLOOKUP(A42,Dividende_je_Aktie!A$3:AM$103,15,FALSE)&lt;&gt;"",VLOOKUP(A42,Dividende_je_Aktie!A$3:AM$103,15,FALSE)/VLOOKUP(A42,Schlußkurse!A$5:AU$105,43,FALSE),""),"")</f>
        <v>2.3073556908143372E-2</v>
      </c>
      <c r="L42" s="71">
        <f>IF(VLOOKUP(A42,Schlußkurse!A$5:AU$105,44,FALSE)&gt;0,IF(VLOOKUP(A42,Dividende_je_Aktie!A$3:AM$103,16,FALSE)&lt;&gt;"",VLOOKUP(A42,Dividende_je_Aktie!A$3:AM$103,16,FALSE)/VLOOKUP(A42,Schlußkurse!A$5:AU$105,44,FALSE),""),"")</f>
        <v>3.2858064894678171E-2</v>
      </c>
      <c r="M42" s="71" t="str">
        <f>IF(VLOOKUP(A42,Schlußkurse!A$5:AU$105,45,FALSE)&gt;0,IF(VLOOKUP(A42,Dividende_je_Aktie!A$3:AM$103,17,FALSE)&lt;&gt;"",VLOOKUP(A42,Dividende_je_Aktie!A$3:AM$103,17,FALSE)/VLOOKUP(A42,Schlußkurse!A$5:AU$105,45,FALSE),""),"")</f>
        <v/>
      </c>
      <c r="N42" s="71" t="str">
        <f>IF(VLOOKUP(A42,Schlußkurse!A$5:AU$105,46,FALSE)&gt;0,IF(VLOOKUP(A42,Dividende_je_Aktie!A$3:AM$103,18,FALSE)&lt;&gt;"",VLOOKUP(A42,Dividende_je_Aktie!A$3:AM$103,18,FALSE)/VLOOKUP(A42,Schlußkurse!A$5:AU$105,46,FALSE),""),"")</f>
        <v/>
      </c>
      <c r="O42" s="71" t="str">
        <f>IF(VLOOKUP(A42,Schlußkurse!A$5:AU$105,47,FALSE)&gt;0,IF(VLOOKUP(A42,Dividende_je_Aktie!A$3:AM$103,19,FALSE)&lt;&gt;"",VLOOKUP(A42,Dividende_je_Aktie!A$3:AM$103,19,FALSE)/VLOOKUP(A42,Schlußkurse!A$5:AU$105,47,FALSE),""),"")</f>
        <v/>
      </c>
      <c r="P42" s="71">
        <f t="shared" si="2"/>
        <v>2.0355604446928639E-2</v>
      </c>
      <c r="Q42" s="5">
        <f ca="1">VLOOKUP(A42,Dividende_je_Aktie!A$3:AM$103,24,FALSE)/VLOOKUP(A42,Schlußkurse!A$5:AU$105,35,FALSE)</f>
        <v>1.6635160680529303E-2</v>
      </c>
      <c r="R42" s="5">
        <f t="shared" ca="1" si="3"/>
        <v>-0.18277245345866877</v>
      </c>
    </row>
    <row r="43" spans="1:18">
      <c r="A43" t="s">
        <v>58</v>
      </c>
      <c r="B43" s="38" t="s">
        <v>59</v>
      </c>
      <c r="C43" s="71">
        <f>IF(VLOOKUP(A43,Schlußkurse!A$5:AU$105,35,FALSE)&gt;0,IF(VLOOKUP(A43,Dividende_je_Aktie!A$3:AM$103,7,FALSE)&lt;&gt;"",VLOOKUP(A43,Dividende_je_Aktie!A$3:AM$103,7,FALSE)/VLOOKUP(A43,Schlußkurse!A$5:AU$105,35,FALSE),""),"")</f>
        <v>2.6434260648736007E-2</v>
      </c>
      <c r="D43" s="71">
        <f>IF(VLOOKUP(A43,Schlußkurse!A$5:AU$105,36,FALSE)&gt;0,IF(VLOOKUP(A43,Dividende_je_Aktie!A$3:AM$103,8,FALSE)&lt;&gt;"",VLOOKUP(A43,Dividende_je_Aktie!A$3:AM$103,8,FALSE)/VLOOKUP(A43,Schlußkurse!A$5:AU$105,36,FALSE),""),"")</f>
        <v>2.4587325406902921E-2</v>
      </c>
      <c r="E43" s="71">
        <f>IF(VLOOKUP(A43,Schlußkurse!A$5:AU$105,37,FALSE)&gt;0,IF(VLOOKUP(A43,Dividende_je_Aktie!A$3:AM$103,9,FALSE)&lt;&gt;"",VLOOKUP(A43,Dividende_je_Aktie!A$3:AM$103,9,FALSE)/VLOOKUP(A43,Schlußkurse!A$5:AU$105,37,FALSE),""),"")</f>
        <v>2.0583717357910904E-2</v>
      </c>
      <c r="F43" s="71">
        <f>IF(VLOOKUP(A43,Schlußkurse!A$5:AU$105,38,FALSE)&gt;0,IF(VLOOKUP(A43,Dividende_je_Aktie!A$3:AM$103,10,FALSE)&lt;&gt;"",VLOOKUP(A43,Dividende_je_Aktie!A$3:AM$103,10,FALSE)/VLOOKUP(A43,Schlußkurse!A$5:AU$105,38,FALSE),""),"")</f>
        <v>1.5391266753134457E-2</v>
      </c>
      <c r="G43" s="71">
        <f>IF(VLOOKUP(A43,Schlußkurse!A$5:AU$105,39,FALSE)&gt;0,IF(VLOOKUP(A43,Dividende_je_Aktie!A$3:AM$103,11,FALSE)&lt;&gt;"",VLOOKUP(A43,Dividende_je_Aktie!A$3:AM$103,11,FALSE)/VLOOKUP(A43,Schlußkurse!A$5:AU$105,39,FALSE),""),"")</f>
        <v>1.5936254980079681E-2</v>
      </c>
      <c r="H43" s="71">
        <f>IF(VLOOKUP(A43,Schlußkurse!A$5:AU$105,40,FALSE)&gt;0,IF(VLOOKUP(A43,Dividende_je_Aktie!A$3:AM$103,12,FALSE)&lt;&gt;"",VLOOKUP(A43,Dividende_je_Aktie!A$3:AM$103,12,FALSE)/VLOOKUP(A43,Schlußkurse!A$5:AU$105,40,FALSE),""),"")</f>
        <v>1.4694064975318563E-2</v>
      </c>
      <c r="I43" s="71">
        <f>IF(VLOOKUP(A43,Schlußkurse!A$5:AU$105,41,FALSE)&gt;0,IF(VLOOKUP(A43,Dividende_je_Aktie!A$3:AM$103,13,FALSE)&lt;&gt;"",VLOOKUP(A43,Dividende_je_Aktie!A$3:AM$103,13,FALSE)/VLOOKUP(A43,Schlußkurse!A$5:AU$105,41,FALSE),""),"")</f>
        <v>1.6538517336428256E-2</v>
      </c>
      <c r="J43" s="71">
        <f>IF(VLOOKUP(A43,Schlußkurse!A$5:AU$105,42,FALSE)&gt;0,IF(VLOOKUP(A43,Dividende_je_Aktie!A$3:AM$103,14,FALSE)&lt;&gt;"",VLOOKUP(A43,Dividende_je_Aktie!A$3:AM$103,14,FALSE)/VLOOKUP(A43,Schlußkurse!A$5:AU$105,42,FALSE),""),"")</f>
        <v>2.0512820512820516E-2</v>
      </c>
      <c r="K43" s="71">
        <f>IF(VLOOKUP(A43,Schlußkurse!A$5:AU$105,43,FALSE)&gt;0,IF(VLOOKUP(A43,Dividende_je_Aktie!A$3:AM$103,15,FALSE)&lt;&gt;"",VLOOKUP(A43,Dividende_je_Aktie!A$3:AM$103,15,FALSE)/VLOOKUP(A43,Schlußkurse!A$5:AU$105,43,FALSE),""),"")</f>
        <v>1.2398664759179782E-2</v>
      </c>
      <c r="L43" s="71">
        <f>IF(VLOOKUP(A43,Schlußkurse!A$5:AU$105,44,FALSE)&gt;0,IF(VLOOKUP(A43,Dividende_je_Aktie!A$3:AM$103,16,FALSE)&lt;&gt;"",VLOOKUP(A43,Dividende_je_Aktie!A$3:AM$103,16,FALSE)/VLOOKUP(A43,Schlußkurse!A$5:AU$105,44,FALSE),""),"")</f>
        <v>7.2647702407002187E-3</v>
      </c>
      <c r="M43" s="71">
        <f>IF(VLOOKUP(A43,Schlußkurse!A$5:AU$105,45,FALSE)&gt;0,IF(VLOOKUP(A43,Dividende_je_Aktie!A$3:AM$103,17,FALSE)&lt;&gt;"",VLOOKUP(A43,Dividende_je_Aktie!A$3:AM$103,17,FALSE)/VLOOKUP(A43,Schlußkurse!A$5:AU$105,45,FALSE),""),"")</f>
        <v>7.8864353312302852E-3</v>
      </c>
      <c r="N43" s="71">
        <f>IF(VLOOKUP(A43,Schlußkurse!A$5:AU$105,46,FALSE)&gt;0,IF(VLOOKUP(A43,Dividende_je_Aktie!A$3:AM$103,18,FALSE)&lt;&gt;"",VLOOKUP(A43,Dividende_je_Aktie!A$3:AM$103,18,FALSE)/VLOOKUP(A43,Schlußkurse!A$5:AU$105,46,FALSE),""),"")</f>
        <v>8.4352593842260647E-3</v>
      </c>
      <c r="O43" s="71">
        <f>IF(VLOOKUP(A43,Schlußkurse!A$5:AU$105,47,FALSE)&gt;0,IF(VLOOKUP(A43,Dividende_je_Aktie!A$3:AM$103,19,FALSE)&lt;&gt;"",VLOOKUP(A43,Dividende_je_Aktie!A$3:AM$103,19,FALSE)/VLOOKUP(A43,Schlußkurse!A$5:AU$105,47,FALSE),""),"")</f>
        <v>1.0675039246467817E-2</v>
      </c>
      <c r="P43" s="71">
        <f t="shared" si="2"/>
        <v>1.5487568994856576E-2</v>
      </c>
      <c r="Q43" s="5">
        <f ca="1">VLOOKUP(A43,Dividende_je_Aktie!A$3:AM$103,24,FALSE)/VLOOKUP(A43,Schlußkurse!A$5:AU$105,35,FALSE)</f>
        <v>2.5757051060063874E-2</v>
      </c>
      <c r="R43" s="5">
        <f t="shared" ca="1" si="3"/>
        <v>0.663079019607131</v>
      </c>
    </row>
    <row r="44" spans="1:18">
      <c r="A44" t="s">
        <v>60</v>
      </c>
      <c r="B44" s="38" t="s">
        <v>61</v>
      </c>
      <c r="C44" s="71">
        <f>IF(VLOOKUP(A44,Schlußkurse!A$5:AU$105,35,FALSE)&gt;0,IF(VLOOKUP(A44,Dividende_je_Aktie!A$3:AM$103,7,FALSE)&lt;&gt;"",VLOOKUP(A44,Dividende_je_Aktie!A$3:AM$103,7,FALSE)/VLOOKUP(A44,Schlußkurse!A$5:AU$105,35,FALSE),""),"")</f>
        <v>1.4122893954410307E-2</v>
      </c>
      <c r="D44" s="71">
        <f>IF(VLOOKUP(A44,Schlußkurse!A$5:AU$105,36,FALSE)&gt;0,IF(VLOOKUP(A44,Dividende_je_Aktie!A$3:AM$103,8,FALSE)&lt;&gt;"",VLOOKUP(A44,Dividende_je_Aktie!A$3:AM$103,8,FALSE)/VLOOKUP(A44,Schlußkurse!A$5:AU$105,36,FALSE),""),"")</f>
        <v>1.3875123885034689E-2</v>
      </c>
      <c r="E44" s="71">
        <f>IF(VLOOKUP(A44,Schlußkurse!A$5:AU$105,37,FALSE)&gt;0,IF(VLOOKUP(A44,Dividende_je_Aktie!A$3:AM$103,9,FALSE)&lt;&gt;"",VLOOKUP(A44,Dividende_je_Aktie!A$3:AM$103,9,FALSE)/VLOOKUP(A44,Schlußkurse!A$5:AU$105,37,FALSE),""),"")</f>
        <v>1.172683375488618E-2</v>
      </c>
      <c r="F44" s="71">
        <f>IF(VLOOKUP(A44,Schlußkurse!A$5:AU$105,38,FALSE)&gt;0,IF(VLOOKUP(A44,Dividende_je_Aktie!A$3:AM$103,10,FALSE)&lt;&gt;"",VLOOKUP(A44,Dividende_je_Aktie!A$3:AM$103,10,FALSE)/VLOOKUP(A44,Schlußkurse!A$5:AU$105,38,FALSE),""),"")</f>
        <v>1.1423131841980008E-2</v>
      </c>
      <c r="G44" s="71">
        <f>IF(VLOOKUP(A44,Schlußkurse!A$5:AU$105,39,FALSE)&gt;0,IF(VLOOKUP(A44,Dividende_je_Aktie!A$3:AM$103,11,FALSE)&lt;&gt;"",VLOOKUP(A44,Dividende_je_Aktie!A$3:AM$103,11,FALSE)/VLOOKUP(A44,Schlußkurse!A$5:AU$105,39,FALSE),""),"")</f>
        <v>8.8809946714031966E-3</v>
      </c>
      <c r="H44" s="71">
        <f>IF(VLOOKUP(A44,Schlußkurse!A$5:AU$105,40,FALSE)&gt;0,IF(VLOOKUP(A44,Dividende_je_Aktie!A$3:AM$103,12,FALSE)&lt;&gt;"",VLOOKUP(A44,Dividende_je_Aktie!A$3:AM$103,12,FALSE)/VLOOKUP(A44,Schlußkurse!A$5:AU$105,40,FALSE),""),"")</f>
        <v>9.066868152625614E-3</v>
      </c>
      <c r="I44" s="71">
        <f>IF(VLOOKUP(A44,Schlußkurse!A$5:AU$105,41,FALSE)&gt;0,IF(VLOOKUP(A44,Dividende_je_Aktie!A$3:AM$103,13,FALSE)&lt;&gt;"",VLOOKUP(A44,Dividende_je_Aktie!A$3:AM$103,13,FALSE)/VLOOKUP(A44,Schlußkurse!A$5:AU$105,41,FALSE),""),"")</f>
        <v>6.1367621274108705E-3</v>
      </c>
      <c r="J44" s="71">
        <f>IF(VLOOKUP(A44,Schlußkurse!A$5:AU$105,42,FALSE)&gt;0,IF(VLOOKUP(A44,Dividende_je_Aktie!A$3:AM$103,14,FALSE)&lt;&gt;"",VLOOKUP(A44,Dividende_je_Aktie!A$3:AM$103,14,FALSE)/VLOOKUP(A44,Schlußkurse!A$5:AU$105,42,FALSE),""),"")</f>
        <v>8.8613203367301739E-3</v>
      </c>
      <c r="K44" s="71">
        <f>IF(VLOOKUP(A44,Schlußkurse!A$5:AU$105,43,FALSE)&gt;0,IF(VLOOKUP(A44,Dividende_je_Aktie!A$3:AM$103,15,FALSE)&lt;&gt;"",VLOOKUP(A44,Dividende_je_Aktie!A$3:AM$103,15,FALSE)/VLOOKUP(A44,Schlußkurse!A$5:AU$105,43,FALSE),""),"")</f>
        <v>2.5523226135783566E-3</v>
      </c>
      <c r="L44" s="71">
        <f>IF(VLOOKUP(A44,Schlußkurse!A$5:AU$105,44,FALSE)&gt;0,IF(VLOOKUP(A44,Dividende_je_Aktie!A$3:AM$103,16,FALSE)&lt;&gt;"",VLOOKUP(A44,Dividende_je_Aktie!A$3:AM$103,16,FALSE)/VLOOKUP(A44,Schlußkurse!A$5:AU$105,44,FALSE),""),"")</f>
        <v>0</v>
      </c>
      <c r="M44" s="71">
        <f>IF(VLOOKUP(A44,Schlußkurse!A$5:AU$105,45,FALSE)&gt;0,IF(VLOOKUP(A44,Dividende_je_Aktie!A$3:AM$103,17,FALSE)&lt;&gt;"",VLOOKUP(A44,Dividende_je_Aktie!A$3:AM$103,17,FALSE)/VLOOKUP(A44,Schlußkurse!A$5:AU$105,45,FALSE),""),"")</f>
        <v>0</v>
      </c>
      <c r="N44" s="71">
        <f>IF(VLOOKUP(A44,Schlußkurse!A$5:AU$105,46,FALSE)&gt;0,IF(VLOOKUP(A44,Dividende_je_Aktie!A$3:AM$103,18,FALSE)&lt;&gt;"",VLOOKUP(A44,Dividende_je_Aktie!A$3:AM$103,18,FALSE)/VLOOKUP(A44,Schlußkurse!A$5:AU$105,46,FALSE),""),"")</f>
        <v>0</v>
      </c>
      <c r="O44" s="71">
        <f>IF(VLOOKUP(A44,Schlußkurse!A$5:AU$105,47,FALSE)&gt;0,IF(VLOOKUP(A44,Dividende_je_Aktie!A$3:AM$103,19,FALSE)&lt;&gt;"",VLOOKUP(A44,Dividende_je_Aktie!A$3:AM$103,19,FALSE)/VLOOKUP(A44,Schlußkurse!A$5:AU$105,47,FALSE),""),"")</f>
        <v>0</v>
      </c>
      <c r="P44" s="71">
        <f t="shared" si="2"/>
        <v>6.6650962567737998E-3</v>
      </c>
      <c r="Q44" s="5">
        <f ca="1">VLOOKUP(A44,Dividende_je_Aktie!A$3:AM$103,24,FALSE)/VLOOKUP(A44,Schlußkurse!A$5:AU$105,35,FALSE)</f>
        <v>1.4093987446316484E-2</v>
      </c>
      <c r="R44" s="5">
        <f t="shared" ca="1" si="3"/>
        <v>1.1145962343743547</v>
      </c>
    </row>
    <row r="45" spans="1:18">
      <c r="A45" t="s">
        <v>62</v>
      </c>
      <c r="B45" s="38" t="s">
        <v>63</v>
      </c>
      <c r="C45" s="71">
        <f>IF(VLOOKUP(A45,Schlußkurse!A$5:AU$105,35,FALSE)&gt;0,IF(VLOOKUP(A45,Dividende_je_Aktie!A$3:AM$103,7,FALSE)&lt;&gt;"",VLOOKUP(A45,Dividende_je_Aktie!A$3:AM$103,7,FALSE)/VLOOKUP(A45,Schlußkurse!A$5:AU$105,35,FALSE),""),"")</f>
        <v>3.0072325846973735E-2</v>
      </c>
      <c r="D45" s="71">
        <f>IF(VLOOKUP(A45,Schlußkurse!A$5:AU$105,36,FALSE)&gt;0,IF(VLOOKUP(A45,Dividende_je_Aktie!A$3:AM$103,8,FALSE)&lt;&gt;"",VLOOKUP(A45,Dividende_je_Aktie!A$3:AM$103,8,FALSE)/VLOOKUP(A45,Schlußkurse!A$5:AU$105,36,FALSE),""),"")</f>
        <v>2.7978682908260374E-2</v>
      </c>
      <c r="E45" s="71">
        <f>IF(VLOOKUP(A45,Schlußkurse!A$5:AU$105,37,FALSE)&gt;0,IF(VLOOKUP(A45,Dividende_je_Aktie!A$3:AM$103,9,FALSE)&lt;&gt;"",VLOOKUP(A45,Dividende_je_Aktie!A$3:AM$103,9,FALSE)/VLOOKUP(A45,Schlußkurse!A$5:AU$105,37,FALSE),""),"")</f>
        <v>2.7622097678142513E-2</v>
      </c>
      <c r="F45" s="71">
        <f>IF(VLOOKUP(A45,Schlußkurse!A$5:AU$105,38,FALSE)&gt;0,IF(VLOOKUP(A45,Dividende_je_Aktie!A$3:AM$103,10,FALSE)&lt;&gt;"",VLOOKUP(A45,Dividende_je_Aktie!A$3:AM$103,10,FALSE)/VLOOKUP(A45,Schlußkurse!A$5:AU$105,38,FALSE),""),"")</f>
        <v>2.6755499153976309E-2</v>
      </c>
      <c r="G45" s="71">
        <f>IF(VLOOKUP(A45,Schlußkurse!A$5:AU$105,39,FALSE)&gt;0,IF(VLOOKUP(A45,Dividende_je_Aktie!A$3:AM$103,11,FALSE)&lt;&gt;"",VLOOKUP(A45,Dividende_je_Aktie!A$3:AM$103,11,FALSE)/VLOOKUP(A45,Schlußkurse!A$5:AU$105,39,FALSE),""),"")</f>
        <v>2.7007475283337357E-2</v>
      </c>
      <c r="H45" s="71">
        <f>IF(VLOOKUP(A45,Schlußkurse!A$5:AU$105,40,FALSE)&gt;0,IF(VLOOKUP(A45,Dividende_je_Aktie!A$3:AM$103,12,FALSE)&lt;&gt;"",VLOOKUP(A45,Dividende_je_Aktie!A$3:AM$103,12,FALSE)/VLOOKUP(A45,Schlußkurse!A$5:AU$105,40,FALSE),""),"")</f>
        <v>3.1126698816308633E-2</v>
      </c>
      <c r="I45" s="71">
        <f>IF(VLOOKUP(A45,Schlußkurse!A$5:AU$105,41,FALSE)&gt;0,IF(VLOOKUP(A45,Dividende_je_Aktie!A$3:AM$103,13,FALSE)&lt;&gt;"",VLOOKUP(A45,Dividende_je_Aktie!A$3:AM$103,13,FALSE)/VLOOKUP(A45,Schlußkurse!A$5:AU$105,41,FALSE),""),"")</f>
        <v>3.0595327807083648E-2</v>
      </c>
      <c r="J45" s="71">
        <f>IF(VLOOKUP(A45,Schlußkurse!A$5:AU$105,42,FALSE)&gt;0,IF(VLOOKUP(A45,Dividende_je_Aktie!A$3:AM$103,14,FALSE)&lt;&gt;"",VLOOKUP(A45,Dividende_je_Aktie!A$3:AM$103,14,FALSE)/VLOOKUP(A45,Schlußkurse!A$5:AU$105,42,FALSE),""),"")</f>
        <v>2.8930047451400581E-2</v>
      </c>
      <c r="K45" s="71">
        <f>IF(VLOOKUP(A45,Schlußkurse!A$5:AU$105,43,FALSE)&gt;0,IF(VLOOKUP(A45,Dividende_je_Aktie!A$3:AM$103,15,FALSE)&lt;&gt;"",VLOOKUP(A45,Dividende_je_Aktie!A$3:AM$103,15,FALSE)/VLOOKUP(A45,Schlußkurse!A$5:AU$105,43,FALSE),""),"")</f>
        <v>2.9276315789473685E-2</v>
      </c>
      <c r="L45" s="71">
        <f>IF(VLOOKUP(A45,Schlußkurse!A$5:AU$105,44,FALSE)&gt;0,IF(VLOOKUP(A45,Dividende_je_Aktie!A$3:AM$103,16,FALSE)&lt;&gt;"",VLOOKUP(A45,Dividende_je_Aktie!A$3:AM$103,16,FALSE)/VLOOKUP(A45,Schlußkurse!A$5:AU$105,44,FALSE),""),"")</f>
        <v>3.0125981376666056E-2</v>
      </c>
      <c r="M45" s="71">
        <f>IF(VLOOKUP(A45,Schlußkurse!A$5:AU$105,45,FALSE)&gt;0,IF(VLOOKUP(A45,Dividende_je_Aktie!A$3:AM$103,17,FALSE)&lt;&gt;"",VLOOKUP(A45,Dividende_je_Aktie!A$3:AM$103,17,FALSE)/VLOOKUP(A45,Schlußkurse!A$5:AU$105,45,FALSE),""),"")</f>
        <v>1.8840579710144925E-2</v>
      </c>
      <c r="N45" s="71">
        <f>IF(VLOOKUP(A45,Schlußkurse!A$5:AU$105,46,FALSE)&gt;0,IF(VLOOKUP(A45,Dividende_je_Aktie!A$3:AM$103,18,FALSE)&lt;&gt;"",VLOOKUP(A45,Dividende_je_Aktie!A$3:AM$103,18,FALSE)/VLOOKUP(A45,Schlußkurse!A$5:AU$105,46,FALSE),""),"")</f>
        <v>1.8512607724225982E-2</v>
      </c>
      <c r="O45" s="71">
        <f>IF(VLOOKUP(A45,Schlußkurse!A$5:AU$105,47,FALSE)&gt;0,IF(VLOOKUP(A45,Dividende_je_Aktie!A$3:AM$103,19,FALSE)&lt;&gt;"",VLOOKUP(A45,Dividende_je_Aktie!A$3:AM$103,19,FALSE)/VLOOKUP(A45,Schlußkurse!A$5:AU$105,47,FALSE),""),"")</f>
        <v>1.7020559487698012E-2</v>
      </c>
      <c r="P45" s="71">
        <f t="shared" si="2"/>
        <v>2.6451092233360909E-2</v>
      </c>
      <c r="Q45" s="5">
        <f ca="1">VLOOKUP(A45,Dividende_je_Aktie!A$3:AM$103,24,FALSE)/VLOOKUP(A45,Schlußkurse!A$5:AU$105,35,FALSE)</f>
        <v>2.8606775789874379E-2</v>
      </c>
      <c r="R45" s="5">
        <f t="shared" ca="1" si="3"/>
        <v>8.1496958140528264E-2</v>
      </c>
    </row>
    <row r="46" spans="1:18">
      <c r="A46" t="s">
        <v>64</v>
      </c>
      <c r="B46" s="38" t="s">
        <v>65</v>
      </c>
      <c r="C46" s="71">
        <f>IF(VLOOKUP(A46,Schlußkurse!A$5:AU$105,35,FALSE)&gt;0,IF(VLOOKUP(A46,Dividende_je_Aktie!A$3:AM$103,7,FALSE)&lt;&gt;"",VLOOKUP(A46,Dividende_je_Aktie!A$3:AM$103,7,FALSE)/VLOOKUP(A46,Schlußkurse!A$5:AU$105,35,FALSE),""),"")</f>
        <v>3.8769230769230771E-2</v>
      </c>
      <c r="D46" s="71">
        <f>IF(VLOOKUP(A46,Schlußkurse!A$5:AU$105,36,FALSE)&gt;0,IF(VLOOKUP(A46,Dividende_je_Aktie!A$3:AM$103,8,FALSE)&lt;&gt;"",VLOOKUP(A46,Dividende_je_Aktie!A$3:AM$103,8,FALSE)/VLOOKUP(A46,Schlußkurse!A$5:AU$105,36,FALSE),""),"")</f>
        <v>3.6615384615384612E-2</v>
      </c>
      <c r="E46" s="71">
        <f>IF(VLOOKUP(A46,Schlußkurse!A$5:AU$105,37,FALSE)&gt;0,IF(VLOOKUP(A46,Dividende_je_Aktie!A$3:AM$103,9,FALSE)&lt;&gt;"",VLOOKUP(A46,Dividende_je_Aktie!A$3:AM$103,9,FALSE)/VLOOKUP(A46,Schlußkurse!A$5:AU$105,37,FALSE),""),"")</f>
        <v>3.4696406443618343E-2</v>
      </c>
      <c r="F46" s="71">
        <f>IF(VLOOKUP(A46,Schlußkurse!A$5:AU$105,38,FALSE)&gt;0,IF(VLOOKUP(A46,Dividende_je_Aktie!A$3:AM$103,10,FALSE)&lt;&gt;"",VLOOKUP(A46,Dividende_je_Aktie!A$3:AM$103,10,FALSE)/VLOOKUP(A46,Schlußkurse!A$5:AU$105,38,FALSE),""),"")</f>
        <v>3.3386837881219905E-2</v>
      </c>
      <c r="G46" s="71">
        <f>IF(VLOOKUP(A46,Schlußkurse!A$5:AU$105,39,FALSE)&gt;0,IF(VLOOKUP(A46,Dividende_je_Aktie!A$3:AM$103,11,FALSE)&lt;&gt;"",VLOOKUP(A46,Dividende_je_Aktie!A$3:AM$103,11,FALSE)/VLOOKUP(A46,Schlußkurse!A$5:AU$105,39,FALSE),""),"")</f>
        <v>3.1341821743388835E-2</v>
      </c>
      <c r="H46" s="71">
        <f>IF(VLOOKUP(A46,Schlußkurse!A$5:AU$105,40,FALSE)&gt;0,IF(VLOOKUP(A46,Dividende_je_Aktie!A$3:AM$103,12,FALSE)&lt;&gt;"",VLOOKUP(A46,Dividende_je_Aktie!A$3:AM$103,12,FALSE)/VLOOKUP(A46,Schlußkurse!A$5:AU$105,40,FALSE),""),"")</f>
        <v>3.5088698647888897E-2</v>
      </c>
      <c r="I46" s="71">
        <f>IF(VLOOKUP(A46,Schlußkurse!A$5:AU$105,41,FALSE)&gt;0,IF(VLOOKUP(A46,Dividende_je_Aktie!A$3:AM$103,13,FALSE)&lt;&gt;"",VLOOKUP(A46,Dividende_je_Aktie!A$3:AM$103,13,FALSE)/VLOOKUP(A46,Schlußkurse!A$5:AU$105,41,FALSE),""),"")</f>
        <v>3.6968576709796676E-2</v>
      </c>
      <c r="J46" s="71">
        <f>IF(VLOOKUP(A46,Schlußkurse!A$5:AU$105,42,FALSE)&gt;0,IF(VLOOKUP(A46,Dividende_je_Aktie!A$3:AM$103,14,FALSE)&lt;&gt;"",VLOOKUP(A46,Dividende_je_Aktie!A$3:AM$103,14,FALSE)/VLOOKUP(A46,Schlußkurse!A$5:AU$105,42,FALSE),""),"")</f>
        <v>4.1119360365505418E-2</v>
      </c>
      <c r="K46" s="71">
        <f>IF(VLOOKUP(A46,Schlußkurse!A$5:AU$105,43,FALSE)&gt;0,IF(VLOOKUP(A46,Dividende_je_Aktie!A$3:AM$103,15,FALSE)&lt;&gt;"",VLOOKUP(A46,Dividende_je_Aktie!A$3:AM$103,15,FALSE)/VLOOKUP(A46,Schlußkurse!A$5:AU$105,43,FALSE),""),"")</f>
        <v>4.3980208905992302E-2</v>
      </c>
      <c r="L46" s="71">
        <f>IF(VLOOKUP(A46,Schlußkurse!A$5:AU$105,44,FALSE)&gt;0,IF(VLOOKUP(A46,Dividende_je_Aktie!A$3:AM$103,16,FALSE)&lt;&gt;"",VLOOKUP(A46,Dividende_je_Aktie!A$3:AM$103,16,FALSE)/VLOOKUP(A46,Schlußkurse!A$5:AU$105,44,FALSE),""),"")</f>
        <v>7.2275550536420097E-2</v>
      </c>
      <c r="M46" s="71">
        <f>IF(VLOOKUP(A46,Schlußkurse!A$5:AU$105,45,FALSE)&gt;0,IF(VLOOKUP(A46,Dividende_je_Aktie!A$3:AM$103,17,FALSE)&lt;&gt;"",VLOOKUP(A46,Dividende_je_Aktie!A$3:AM$103,17,FALSE)/VLOOKUP(A46,Schlußkurse!A$5:AU$105,45,FALSE),""),"")</f>
        <v>5.1033875934887812E-2</v>
      </c>
      <c r="N46" s="71">
        <f>IF(VLOOKUP(A46,Schlußkurse!A$5:AU$105,46,FALSE)&gt;0,IF(VLOOKUP(A46,Dividende_je_Aktie!A$3:AM$103,18,FALSE)&lt;&gt;"",VLOOKUP(A46,Dividende_je_Aktie!A$3:AM$103,18,FALSE)/VLOOKUP(A46,Schlußkurse!A$5:AU$105,46,FALSE),""),"")</f>
        <v>3.6965729688101655E-2</v>
      </c>
      <c r="O46" s="71">
        <f>IF(VLOOKUP(A46,Schlußkurse!A$5:AU$105,47,FALSE)&gt;0,IF(VLOOKUP(A46,Dividende_je_Aktie!A$3:AM$103,19,FALSE)&lt;&gt;"",VLOOKUP(A46,Dividende_je_Aktie!A$3:AM$103,19,FALSE)/VLOOKUP(A46,Schlußkurse!A$5:AU$105,47,FALSE),""),"")</f>
        <v>3.2590051457975985E-2</v>
      </c>
      <c r="P46" s="71">
        <f t="shared" si="2"/>
        <v>4.0371671823031634E-2</v>
      </c>
      <c r="Q46" s="5">
        <f ca="1">VLOOKUP(A46,Dividende_je_Aktie!A$3:AM$103,24,FALSE)/VLOOKUP(A46,Schlußkurse!A$5:AU$105,35,FALSE)</f>
        <v>3.7261538461538457E-2</v>
      </c>
      <c r="R46" s="5">
        <f t="shared" ca="1" si="3"/>
        <v>-7.7037517176062997E-2</v>
      </c>
    </row>
    <row r="47" spans="1:18">
      <c r="A47" t="s">
        <v>66</v>
      </c>
      <c r="B47" s="38" t="s">
        <v>67</v>
      </c>
      <c r="C47" s="71">
        <f>IF(VLOOKUP(A47,Schlußkurse!A$5:AU$105,35,FALSE)&gt;0,IF(VLOOKUP(A47,Dividende_je_Aktie!A$3:AM$103,7,FALSE)&lt;&gt;"",VLOOKUP(A47,Dividende_je_Aktie!A$3:AM$103,7,FALSE)/VLOOKUP(A47,Schlußkurse!A$5:AU$105,35,FALSE),""),"")</f>
        <v>4.2823156225218088E-2</v>
      </c>
      <c r="D47" s="71">
        <f>IF(VLOOKUP(A47,Schlußkurse!A$5:AU$105,36,FALSE)&gt;0,IF(VLOOKUP(A47,Dividende_je_Aktie!A$3:AM$103,8,FALSE)&lt;&gt;"",VLOOKUP(A47,Dividende_je_Aktie!A$3:AM$103,8,FALSE)/VLOOKUP(A47,Schlußkurse!A$5:AU$105,36,FALSE),""),"")</f>
        <v>4.0939730372720064E-2</v>
      </c>
      <c r="E47" s="71">
        <f>IF(VLOOKUP(A47,Schlußkurse!A$5:AU$105,37,FALSE)&gt;0,IF(VLOOKUP(A47,Dividende_je_Aktie!A$3:AM$103,9,FALSE)&lt;&gt;"",VLOOKUP(A47,Dividende_je_Aktie!A$3:AM$103,9,FALSE)/VLOOKUP(A47,Schlußkurse!A$5:AU$105,37,FALSE),""),"")</f>
        <v>4.595609145717211E-2</v>
      </c>
      <c r="F47" s="71">
        <f>IF(VLOOKUP(A47,Schlußkurse!A$5:AU$105,38,FALSE)&gt;0,IF(VLOOKUP(A47,Dividende_je_Aktie!A$3:AM$103,10,FALSE)&lt;&gt;"",VLOOKUP(A47,Dividende_je_Aktie!A$3:AM$103,10,FALSE)/VLOOKUP(A47,Schlußkurse!A$5:AU$105,38,FALSE),""),"")</f>
        <v>4.7636586863106199E-2</v>
      </c>
      <c r="G47" s="71">
        <f>IF(VLOOKUP(A47,Schlußkurse!A$5:AU$105,39,FALSE)&gt;0,IF(VLOOKUP(A47,Dividende_je_Aktie!A$3:AM$103,11,FALSE)&lt;&gt;"",VLOOKUP(A47,Dividende_je_Aktie!A$3:AM$103,11,FALSE)/VLOOKUP(A47,Schlußkurse!A$5:AU$105,39,FALSE),""),"")</f>
        <v>4.1088029381384145E-2</v>
      </c>
      <c r="H47" s="71">
        <f>IF(VLOOKUP(A47,Schlußkurse!A$5:AU$105,40,FALSE)&gt;0,IF(VLOOKUP(A47,Dividende_je_Aktie!A$3:AM$103,12,FALSE)&lt;&gt;"",VLOOKUP(A47,Dividende_je_Aktie!A$3:AM$103,12,FALSE)/VLOOKUP(A47,Schlußkurse!A$5:AU$105,40,FALSE),""),"")</f>
        <v>3.8737446197991396E-2</v>
      </c>
      <c r="I47" s="71">
        <f>IF(VLOOKUP(A47,Schlußkurse!A$5:AU$105,41,FALSE)&gt;0,IF(VLOOKUP(A47,Dividende_je_Aktie!A$3:AM$103,13,FALSE)&lt;&gt;"",VLOOKUP(A47,Dividende_je_Aktie!A$3:AM$103,13,FALSE)/VLOOKUP(A47,Schlußkurse!A$5:AU$105,41,FALSE),""),"")</f>
        <v>3.5932721712538224E-2</v>
      </c>
      <c r="J47" s="71">
        <f>IF(VLOOKUP(A47,Schlußkurse!A$5:AU$105,42,FALSE)&gt;0,IF(VLOOKUP(A47,Dividende_je_Aktie!A$3:AM$103,14,FALSE)&lt;&gt;"",VLOOKUP(A47,Dividende_je_Aktie!A$3:AM$103,14,FALSE)/VLOOKUP(A47,Schlußkurse!A$5:AU$105,42,FALSE),""),"")</f>
        <v>4.1688023235947377E-2</v>
      </c>
      <c r="K47" s="71">
        <f>IF(VLOOKUP(A47,Schlußkurse!A$5:AU$105,43,FALSE)&gt;0,IF(VLOOKUP(A47,Dividende_je_Aktie!A$3:AM$103,15,FALSE)&lt;&gt;"",VLOOKUP(A47,Dividende_je_Aktie!A$3:AM$103,15,FALSE)/VLOOKUP(A47,Schlußkurse!A$5:AU$105,43,FALSE),""),"")</f>
        <v>4.6482672753683341E-2</v>
      </c>
      <c r="L47" s="71">
        <f>IF(VLOOKUP(A47,Schlußkurse!A$5:AU$105,44,FALSE)&gt;0,IF(VLOOKUP(A47,Dividende_je_Aktie!A$3:AM$103,16,FALSE)&lt;&gt;"",VLOOKUP(A47,Dividende_je_Aktie!A$3:AM$103,16,FALSE)/VLOOKUP(A47,Schlußkurse!A$5:AU$105,44,FALSE),""),"")</f>
        <v>3.5394162261549074E-2</v>
      </c>
      <c r="M47" s="71" t="str">
        <f>IF(VLOOKUP(A47,Schlußkurse!A$5:AU$105,45,FALSE)&gt;0,IF(VLOOKUP(A47,Dividende_je_Aktie!A$3:AM$103,17,FALSE)&lt;&gt;"",VLOOKUP(A47,Dividende_je_Aktie!A$3:AM$103,17,FALSE)/VLOOKUP(A47,Schlußkurse!A$5:AU$105,45,FALSE),""),"")</f>
        <v/>
      </c>
      <c r="N47" s="71" t="str">
        <f>IF(VLOOKUP(A47,Schlußkurse!A$5:AU$105,46,FALSE)&gt;0,IF(VLOOKUP(A47,Dividende_je_Aktie!A$3:AM$103,18,FALSE)&lt;&gt;"",VLOOKUP(A47,Dividende_je_Aktie!A$3:AM$103,18,FALSE)/VLOOKUP(A47,Schlußkurse!A$5:AU$105,46,FALSE),""),"")</f>
        <v/>
      </c>
      <c r="O47" s="71" t="str">
        <f>IF(VLOOKUP(A47,Schlußkurse!A$5:AU$105,47,FALSE)&gt;0,IF(VLOOKUP(A47,Dividende_je_Aktie!A$3:AM$103,19,FALSE)&lt;&gt;"",VLOOKUP(A47,Dividende_je_Aktie!A$3:AM$103,19,FALSE)/VLOOKUP(A47,Schlußkurse!A$5:AU$105,47,FALSE),""),"")</f>
        <v/>
      </c>
      <c r="P47" s="71">
        <f t="shared" si="2"/>
        <v>4.1667862046131002E-2</v>
      </c>
      <c r="Q47" s="5">
        <f ca="1">VLOOKUP(A47,Dividende_je_Aktie!A$3:AM$103,24,FALSE)/VLOOKUP(A47,Schlußkurse!A$5:AU$105,35,FALSE)</f>
        <v>4.1504758128469474E-2</v>
      </c>
      <c r="R47" s="5">
        <f t="shared" ca="1" si="3"/>
        <v>-3.9143817237600187E-3</v>
      </c>
    </row>
    <row r="48" spans="1:18">
      <c r="A48" t="s">
        <v>68</v>
      </c>
      <c r="B48" s="38" t="s">
        <v>69</v>
      </c>
      <c r="C48" s="71">
        <f>IF(VLOOKUP(A48,Schlußkurse!A$5:AU$105,35,FALSE)&gt;0,IF(VLOOKUP(A48,Dividende_je_Aktie!A$3:AM$103,7,FALSE)&lt;&gt;"",VLOOKUP(A48,Dividende_je_Aktie!A$3:AM$103,7,FALSE)/VLOOKUP(A48,Schlußkurse!A$5:AU$105,35,FALSE),""),"")</f>
        <v>3.4254807692307696E-2</v>
      </c>
      <c r="D48" s="71">
        <f>IF(VLOOKUP(A48,Schlußkurse!A$5:AU$105,36,FALSE)&gt;0,IF(VLOOKUP(A48,Dividende_je_Aktie!A$3:AM$103,8,FALSE)&lt;&gt;"",VLOOKUP(A48,Dividende_je_Aktie!A$3:AM$103,8,FALSE)/VLOOKUP(A48,Schlußkurse!A$5:AU$105,36,FALSE),""),"")</f>
        <v>3.2211538461538465E-2</v>
      </c>
      <c r="E48" s="71">
        <f>IF(VLOOKUP(A48,Schlußkurse!A$5:AU$105,37,FALSE)&gt;0,IF(VLOOKUP(A48,Dividende_je_Aktie!A$3:AM$103,9,FALSE)&lt;&gt;"",VLOOKUP(A48,Dividende_je_Aktie!A$3:AM$103,9,FALSE)/VLOOKUP(A48,Schlußkurse!A$5:AU$105,37,FALSE),""),"")</f>
        <v>3.3103271983640083E-2</v>
      </c>
      <c r="F48" s="71">
        <f>IF(VLOOKUP(A48,Schlußkurse!A$5:AU$105,38,FALSE)&gt;0,IF(VLOOKUP(A48,Dividende_je_Aktie!A$3:AM$103,10,FALSE)&lt;&gt;"",VLOOKUP(A48,Dividende_je_Aktie!A$3:AM$103,10,FALSE)/VLOOKUP(A48,Schlußkurse!A$5:AU$105,38,FALSE),""),"")</f>
        <v>3.1174449675531238E-2</v>
      </c>
      <c r="G48" s="71">
        <f>IF(VLOOKUP(A48,Schlußkurse!A$5:AU$105,39,FALSE)&gt;0,IF(VLOOKUP(A48,Dividende_je_Aktie!A$3:AM$103,11,FALSE)&lt;&gt;"",VLOOKUP(A48,Dividende_je_Aktie!A$3:AM$103,11,FALSE)/VLOOKUP(A48,Schlußkurse!A$5:AU$105,39,FALSE),""),"")</f>
        <v>2.9744122613326408E-2</v>
      </c>
      <c r="H48" s="71">
        <f>IF(VLOOKUP(A48,Schlußkurse!A$5:AU$105,40,FALSE)&gt;0,IF(VLOOKUP(A48,Dividende_je_Aktie!A$3:AM$103,12,FALSE)&lt;&gt;"",VLOOKUP(A48,Dividende_je_Aktie!A$3:AM$103,12,FALSE)/VLOOKUP(A48,Schlußkurse!A$5:AU$105,40,FALSE),""),"")</f>
        <v>3.4938775510204086E-2</v>
      </c>
      <c r="I48" s="71">
        <f>IF(VLOOKUP(A48,Schlußkurse!A$5:AU$105,41,FALSE)&gt;0,IF(VLOOKUP(A48,Dividende_je_Aktie!A$3:AM$103,13,FALSE)&lt;&gt;"",VLOOKUP(A48,Dividende_je_Aktie!A$3:AM$103,13,FALSE)/VLOOKUP(A48,Schlußkurse!A$5:AU$105,41,FALSE),""),"")</f>
        <v>3.0989460437313196E-2</v>
      </c>
      <c r="J48" s="71">
        <f>IF(VLOOKUP(A48,Schlußkurse!A$5:AU$105,42,FALSE)&gt;0,IF(VLOOKUP(A48,Dividende_je_Aktie!A$3:AM$103,14,FALSE)&lt;&gt;"",VLOOKUP(A48,Dividende_je_Aktie!A$3:AM$103,14,FALSE)/VLOOKUP(A48,Schlußkurse!A$5:AU$105,42,FALSE),""),"")</f>
        <v>3.0010003334444816E-2</v>
      </c>
      <c r="K48" s="71">
        <f>IF(VLOOKUP(A48,Schlußkurse!A$5:AU$105,43,FALSE)&gt;0,IF(VLOOKUP(A48,Dividende_je_Aktie!A$3:AM$103,15,FALSE)&lt;&gt;"",VLOOKUP(A48,Dividende_je_Aktie!A$3:AM$103,15,FALSE)/VLOOKUP(A48,Schlußkurse!A$5:AU$105,43,FALSE),""),"")</f>
        <v>3.2093933463796472E-2</v>
      </c>
      <c r="L48" s="71">
        <f>IF(VLOOKUP(A48,Schlußkurse!A$5:AU$105,44,FALSE)&gt;0,IF(VLOOKUP(A48,Dividende_je_Aktie!A$3:AM$103,16,FALSE)&lt;&gt;"",VLOOKUP(A48,Dividende_je_Aktie!A$3:AM$103,16,FALSE)/VLOOKUP(A48,Schlußkurse!A$5:AU$105,44,FALSE),""),"")</f>
        <v>2.3844762374609439E-2</v>
      </c>
      <c r="M48" s="71">
        <f>IF(VLOOKUP(A48,Schlußkurse!A$5:AU$105,45,FALSE)&gt;0,IF(VLOOKUP(A48,Dividende_je_Aktie!A$3:AM$103,17,FALSE)&lt;&gt;"",VLOOKUP(A48,Dividende_je_Aktie!A$3:AM$103,17,FALSE)/VLOOKUP(A48,Schlußkurse!A$5:AU$105,45,FALSE),""),"")</f>
        <v>2.0918450727243014E-2</v>
      </c>
      <c r="N48" s="71">
        <f>IF(VLOOKUP(A48,Schlußkurse!A$5:AU$105,46,FALSE)&gt;0,IF(VLOOKUP(A48,Dividende_je_Aktie!A$3:AM$103,18,FALSE)&lt;&gt;"",VLOOKUP(A48,Dividende_je_Aktie!A$3:AM$103,18,FALSE)/VLOOKUP(A48,Schlußkurse!A$5:AU$105,46,FALSE),""),"")</f>
        <v>2.0300088261253308E-2</v>
      </c>
      <c r="O48" s="71">
        <f>IF(VLOOKUP(A48,Schlußkurse!A$5:AU$105,47,FALSE)&gt;0,IF(VLOOKUP(A48,Dividende_je_Aktie!A$3:AM$103,19,FALSE)&lt;&gt;"",VLOOKUP(A48,Dividende_je_Aktie!A$3:AM$103,19,FALSE)/VLOOKUP(A48,Schlußkurse!A$5:AU$105,47,FALSE),""),"")</f>
        <v>1.9526066350710899E-2</v>
      </c>
      <c r="P48" s="71">
        <f t="shared" si="2"/>
        <v>2.8700748529686085E-2</v>
      </c>
      <c r="Q48" s="5">
        <f ca="1">VLOOKUP(A48,Dividende_je_Aktie!A$3:AM$103,24,FALSE)/VLOOKUP(A48,Schlußkurse!A$5:AU$105,35,FALSE)</f>
        <v>3.3851829594017099E-2</v>
      </c>
      <c r="R48" s="5">
        <f t="shared" ca="1" si="3"/>
        <v>0.17947549552594744</v>
      </c>
    </row>
    <row r="49" spans="1:18">
      <c r="A49" t="s">
        <v>70</v>
      </c>
      <c r="B49" s="38" t="s">
        <v>71</v>
      </c>
      <c r="C49" s="71">
        <f>IF(VLOOKUP(A49,Schlußkurse!A$5:AU$105,35,FALSE)&gt;0,IF(VLOOKUP(A49,Dividende_je_Aktie!A$3:AM$103,7,FALSE)&lt;&gt;"",VLOOKUP(A49,Dividende_je_Aktie!A$3:AM$103,7,FALSE)/VLOOKUP(A49,Schlußkurse!A$5:AU$105,35,FALSE),""),"")</f>
        <v>4.4844768110387116E-2</v>
      </c>
      <c r="D49" s="71">
        <f>IF(VLOOKUP(A49,Schlußkurse!A$5:AU$105,36,FALSE)&gt;0,IF(VLOOKUP(A49,Dividende_je_Aktie!A$3:AM$103,8,FALSE)&lt;&gt;"",VLOOKUP(A49,Dividende_je_Aktie!A$3:AM$103,8,FALSE)/VLOOKUP(A49,Schlußkurse!A$5:AU$105,36,FALSE),""),"")</f>
        <v>4.3694902261402831E-2</v>
      </c>
      <c r="E49" s="71">
        <f>IF(VLOOKUP(A49,Schlußkurse!A$5:AU$105,37,FALSE)&gt;0,IF(VLOOKUP(A49,Dividende_je_Aktie!A$3:AM$103,9,FALSE)&lt;&gt;"",VLOOKUP(A49,Dividende_je_Aktie!A$3:AM$103,9,FALSE)/VLOOKUP(A49,Schlußkurse!A$5:AU$105,37,FALSE),""),"")</f>
        <v>4.824751189961056E-2</v>
      </c>
      <c r="F49" s="71">
        <f>IF(VLOOKUP(A49,Schlußkurse!A$5:AU$105,38,FALSE)&gt;0,IF(VLOOKUP(A49,Dividende_je_Aktie!A$3:AM$103,10,FALSE)&lt;&gt;"",VLOOKUP(A49,Dividende_je_Aktie!A$3:AM$103,10,FALSE)/VLOOKUP(A49,Schlußkurse!A$5:AU$105,38,FALSE),""),"")</f>
        <v>4.6173578452330055E-2</v>
      </c>
      <c r="G49" s="71">
        <f>IF(VLOOKUP(A49,Schlußkurse!A$5:AU$105,39,FALSE)&gt;0,IF(VLOOKUP(A49,Dividende_je_Aktie!A$3:AM$103,11,FALSE)&lt;&gt;"",VLOOKUP(A49,Dividende_je_Aktie!A$3:AM$103,11,FALSE)/VLOOKUP(A49,Schlußkurse!A$5:AU$105,39,FALSE),""),"")</f>
        <v>4.2531542531542531E-2</v>
      </c>
      <c r="H49" s="71">
        <f>IF(VLOOKUP(A49,Schlußkurse!A$5:AU$105,40,FALSE)&gt;0,IF(VLOOKUP(A49,Dividende_je_Aktie!A$3:AM$103,12,FALSE)&lt;&gt;"",VLOOKUP(A49,Dividende_je_Aktie!A$3:AM$103,12,FALSE)/VLOOKUP(A49,Schlußkurse!A$5:AU$105,40,FALSE),""),"")</f>
        <v>4.6914721516061929E-2</v>
      </c>
      <c r="I49" s="71">
        <f>IF(VLOOKUP(A49,Schlußkurse!A$5:AU$105,41,FALSE)&gt;0,IF(VLOOKUP(A49,Dividende_je_Aktie!A$3:AM$103,13,FALSE)&lt;&gt;"",VLOOKUP(A49,Dividende_je_Aktie!A$3:AM$103,13,FALSE)/VLOOKUP(A49,Schlußkurse!A$5:AU$105,41,FALSE),""),"")</f>
        <v>4.9351944167497511E-2</v>
      </c>
      <c r="J49" s="71">
        <f>IF(VLOOKUP(A49,Schlußkurse!A$5:AU$105,42,FALSE)&gt;0,IF(VLOOKUP(A49,Dividende_je_Aktie!A$3:AM$103,14,FALSE)&lt;&gt;"",VLOOKUP(A49,Dividende_je_Aktie!A$3:AM$103,14,FALSE)/VLOOKUP(A49,Schlußkurse!A$5:AU$105,42,FALSE),""),"")</f>
        <v>5.3940749021799884E-2</v>
      </c>
      <c r="K49" s="71">
        <f>IF(VLOOKUP(A49,Schlußkurse!A$5:AU$105,43,FALSE)&gt;0,IF(VLOOKUP(A49,Dividende_je_Aktie!A$3:AM$103,15,FALSE)&lt;&gt;"",VLOOKUP(A49,Dividende_je_Aktie!A$3:AM$103,15,FALSE)/VLOOKUP(A49,Schlußkurse!A$5:AU$105,43,FALSE),""),"")</f>
        <v>5.6444310292785994E-2</v>
      </c>
      <c r="L49" s="71">
        <f>IF(VLOOKUP(A49,Schlußkurse!A$5:AU$105,44,FALSE)&gt;0,IF(VLOOKUP(A49,Dividende_je_Aktie!A$3:AM$103,16,FALSE)&lt;&gt;"",VLOOKUP(A49,Dividende_je_Aktie!A$3:AM$103,16,FALSE)/VLOOKUP(A49,Schlußkurse!A$5:AU$105,44,FALSE),""),"")</f>
        <v>5.2507374631268443E-2</v>
      </c>
      <c r="M49" s="71">
        <f>IF(VLOOKUP(A49,Schlußkurse!A$5:AU$105,45,FALSE)&gt;0,IF(VLOOKUP(A49,Dividende_je_Aktie!A$3:AM$103,17,FALSE)&lt;&gt;"",VLOOKUP(A49,Dividende_je_Aktie!A$3:AM$103,17,FALSE)/VLOOKUP(A49,Schlußkurse!A$5:AU$105,45,FALSE),""),"")</f>
        <v>3.8223849851224539E-2</v>
      </c>
      <c r="N49" s="71">
        <f>IF(VLOOKUP(A49,Schlußkurse!A$5:AU$105,46,FALSE)&gt;0,IF(VLOOKUP(A49,Dividende_je_Aktie!A$3:AM$103,18,FALSE)&lt;&gt;"",VLOOKUP(A49,Dividende_je_Aktie!A$3:AM$103,18,FALSE)/VLOOKUP(A49,Schlußkurse!A$5:AU$105,46,FALSE),""),"")</f>
        <v>4.3431635388739953E-2</v>
      </c>
      <c r="O49" s="71">
        <f>IF(VLOOKUP(A49,Schlußkurse!A$5:AU$105,47,FALSE)&gt;0,IF(VLOOKUP(A49,Dividende_je_Aktie!A$3:AM$103,19,FALSE)&lt;&gt;"",VLOOKUP(A49,Dividende_je_Aktie!A$3:AM$103,19,FALSE)/VLOOKUP(A49,Schlußkurse!A$5:AU$105,47,FALSE),""),"")</f>
        <v>5.3784860557768925E-2</v>
      </c>
      <c r="P49" s="71">
        <f t="shared" si="2"/>
        <v>4.7699365283263094E-2</v>
      </c>
      <c r="Q49" s="5">
        <f ca="1">VLOOKUP(A49,Dividende_je_Aktie!A$3:AM$103,24,FALSE)/VLOOKUP(A49,Schlußkurse!A$5:AU$105,35,FALSE)</f>
        <v>4.4039862016098122E-2</v>
      </c>
      <c r="R49" s="5">
        <f t="shared" ca="1" si="3"/>
        <v>-7.6720166933731293E-2</v>
      </c>
    </row>
    <row r="50" spans="1:18">
      <c r="A50" t="s">
        <v>260</v>
      </c>
      <c r="B50" s="38" t="s">
        <v>265</v>
      </c>
      <c r="C50" s="71">
        <f>IF(VLOOKUP(A50,Schlußkurse!A$5:AU$105,35,FALSE)&gt;0,IF(VLOOKUP(A50,Dividende_je_Aktie!A$3:AM$103,7,FALSE)&lt;&gt;"",VLOOKUP(A50,Dividende_je_Aktie!A$3:AM$103,7,FALSE)/VLOOKUP(A50,Schlußkurse!A$5:AU$105,35,FALSE),""),"")</f>
        <v>8.0738177623990767E-3</v>
      </c>
      <c r="D50" s="71">
        <f>IF(VLOOKUP(A50,Schlußkurse!A$5:AU$105,36,FALSE)&gt;0,IF(VLOOKUP(A50,Dividende_je_Aktie!A$3:AM$103,8,FALSE)&lt;&gt;"",VLOOKUP(A50,Dividende_je_Aktie!A$3:AM$103,8,FALSE)/VLOOKUP(A50,Schlußkurse!A$5:AU$105,36,FALSE),""),"")</f>
        <v>7.0485710624118934E-3</v>
      </c>
      <c r="E50" s="71">
        <f>IF(VLOOKUP(A50,Schlußkurse!A$5:AU$105,37,FALSE)&gt;0,IF(VLOOKUP(A50,Dividende_je_Aktie!A$3:AM$103,9,FALSE)&lt;&gt;"",VLOOKUP(A50,Dividende_je_Aktie!A$3:AM$103,9,FALSE)/VLOOKUP(A50,Schlußkurse!A$5:AU$105,37,FALSE),""),"")</f>
        <v>6.8906115417743325E-3</v>
      </c>
      <c r="F50" s="71">
        <f>IF(VLOOKUP(A50,Schlußkurse!A$5:AU$105,38,FALSE)&gt;0,IF(VLOOKUP(A50,Dividende_je_Aktie!A$3:AM$103,10,FALSE)&lt;&gt;"",VLOOKUP(A50,Dividende_je_Aktie!A$3:AM$103,10,FALSE)/VLOOKUP(A50,Schlußkurse!A$5:AU$105,38,FALSE),""),"")</f>
        <v>7.498711159019544E-3</v>
      </c>
      <c r="G50" s="71">
        <f>IF(VLOOKUP(A50,Schlußkurse!A$5:AU$105,39,FALSE)&gt;0,IF(VLOOKUP(A50,Dividende_je_Aktie!A$3:AM$103,11,FALSE)&lt;&gt;"",VLOOKUP(A50,Dividende_je_Aktie!A$3:AM$103,11,FALSE)/VLOOKUP(A50,Schlußkurse!A$5:AU$105,39,FALSE),""),"")</f>
        <v>7.326007326007326E-3</v>
      </c>
      <c r="H50" s="71">
        <f>IF(VLOOKUP(A50,Schlußkurse!A$5:AU$105,40,FALSE)&gt;0,IF(VLOOKUP(A50,Dividende_je_Aktie!A$3:AM$103,12,FALSE)&lt;&gt;"",VLOOKUP(A50,Dividende_je_Aktie!A$3:AM$103,12,FALSE)/VLOOKUP(A50,Schlußkurse!A$5:AU$105,40,FALSE),""),"")</f>
        <v>7.4471254095918975E-3</v>
      </c>
      <c r="I50" s="71">
        <f>IF(VLOOKUP(A50,Schlußkurse!A$5:AU$105,41,FALSE)&gt;0,IF(VLOOKUP(A50,Dividende_je_Aktie!A$3:AM$103,13,FALSE)&lt;&gt;"",VLOOKUP(A50,Dividende_je_Aktie!A$3:AM$103,13,FALSE)/VLOOKUP(A50,Schlußkurse!A$5:AU$105,41,FALSE),""),"")</f>
        <v>6.99953336444237E-3</v>
      </c>
      <c r="J50" s="71">
        <f>IF(VLOOKUP(A50,Schlußkurse!A$5:AU$105,42,FALSE)&gt;0,IF(VLOOKUP(A50,Dividende_je_Aktie!A$3:AM$103,14,FALSE)&lt;&gt;"",VLOOKUP(A50,Dividende_je_Aktie!A$3:AM$103,14,FALSE)/VLOOKUP(A50,Schlußkurse!A$5:AU$105,42,FALSE),""),"")</f>
        <v>7.0024239159709126E-3</v>
      </c>
      <c r="K50" s="71">
        <f>IF(VLOOKUP(A50,Schlußkurse!A$5:AU$105,43,FALSE)&gt;0,IF(VLOOKUP(A50,Dividende_je_Aktie!A$3:AM$103,15,FALSE)&lt;&gt;"",VLOOKUP(A50,Dividende_je_Aktie!A$3:AM$103,15,FALSE)/VLOOKUP(A50,Schlußkurse!A$5:AU$105,43,FALSE),""),"")</f>
        <v>6.3666618434379974E-3</v>
      </c>
      <c r="L50" s="71">
        <f>IF(VLOOKUP(A50,Schlußkurse!A$5:AU$105,44,FALSE)&gt;0,IF(VLOOKUP(A50,Dividende_je_Aktie!A$3:AM$103,16,FALSE)&lt;&gt;"",VLOOKUP(A50,Dividende_je_Aktie!A$3:AM$103,16,FALSE)/VLOOKUP(A50,Schlußkurse!A$5:AU$105,44,FALSE),""),"")</f>
        <v>1.6940869848509528E-3</v>
      </c>
      <c r="M50" s="71" t="str">
        <f>IF(VLOOKUP(A50,Schlußkurse!A$5:AU$105,45,FALSE)&gt;0,IF(VLOOKUP(A50,Dividende_je_Aktie!A$3:AM$103,17,FALSE)&lt;&gt;"",VLOOKUP(A50,Dividende_je_Aktie!A$3:AM$103,17,FALSE)/VLOOKUP(A50,Schlußkurse!A$5:AU$105,45,FALSE),""),"")</f>
        <v/>
      </c>
      <c r="N50" s="71" t="str">
        <f>IF(VLOOKUP(A50,Schlußkurse!A$5:AU$105,46,FALSE)&gt;0,IF(VLOOKUP(A50,Dividende_je_Aktie!A$3:AM$103,18,FALSE)&lt;&gt;"",VLOOKUP(A50,Dividende_je_Aktie!A$3:AM$103,18,FALSE)/VLOOKUP(A50,Schlußkurse!A$5:AU$105,46,FALSE),""),"")</f>
        <v/>
      </c>
      <c r="O50" s="71" t="str">
        <f>IF(VLOOKUP(A50,Schlußkurse!A$5:AU$105,47,FALSE)&gt;0,IF(VLOOKUP(A50,Dividende_je_Aktie!A$3:AM$103,19,FALSE)&lt;&gt;"",VLOOKUP(A50,Dividende_je_Aktie!A$3:AM$103,19,FALSE)/VLOOKUP(A50,Schlußkurse!A$5:AU$105,47,FALSE),""),"")</f>
        <v/>
      </c>
      <c r="P50" s="71">
        <f t="shared" si="2"/>
        <v>6.6347550369906302E-3</v>
      </c>
      <c r="Q50" s="5">
        <f ca="1">VLOOKUP(A50,Dividende_je_Aktie!A$3:AM$103,24,FALSE)/VLOOKUP(A50,Schlußkurse!A$5:AU$105,35,FALSE)</f>
        <v>7.6153046549048082E-3</v>
      </c>
      <c r="R50" s="5">
        <f t="shared" ca="1" si="3"/>
        <v>0.14778987505150343</v>
      </c>
    </row>
    <row r="51" spans="1:18">
      <c r="A51" t="s">
        <v>72</v>
      </c>
      <c r="B51" s="38" t="s">
        <v>73</v>
      </c>
      <c r="C51" s="71">
        <f>IF(VLOOKUP(A51,Schlußkurse!A$5:AU$105,35,FALSE)&gt;0,IF(VLOOKUP(A51,Dividende_je_Aktie!A$3:AM$103,7,FALSE)&lt;&gt;"",VLOOKUP(A51,Dividende_je_Aktie!A$3:AM$103,7,FALSE)/VLOOKUP(A51,Schlußkurse!A$5:AU$105,35,FALSE),""),"")</f>
        <v>2.9385836027034967E-2</v>
      </c>
      <c r="D51" s="71">
        <f>IF(VLOOKUP(A51,Schlußkurse!A$5:AU$105,36,FALSE)&gt;0,IF(VLOOKUP(A51,Dividende_je_Aktie!A$3:AM$103,8,FALSE)&lt;&gt;"",VLOOKUP(A51,Dividende_je_Aktie!A$3:AM$103,8,FALSE)/VLOOKUP(A51,Schlußkurse!A$5:AU$105,36,FALSE),""),"")</f>
        <v>2.9535864978902954E-2</v>
      </c>
      <c r="E51" s="71">
        <f>IF(VLOOKUP(A51,Schlußkurse!A$5:AU$105,37,FALSE)&gt;0,IF(VLOOKUP(A51,Dividende_je_Aktie!A$3:AM$103,9,FALSE)&lt;&gt;"",VLOOKUP(A51,Dividende_je_Aktie!A$3:AM$103,9,FALSE)/VLOOKUP(A51,Schlußkurse!A$5:AU$105,37,FALSE),""),"")</f>
        <v>2.2593551423864437E-2</v>
      </c>
      <c r="F51" s="71">
        <f>IF(VLOOKUP(A51,Schlußkurse!A$5:AU$105,38,FALSE)&gt;0,IF(VLOOKUP(A51,Dividende_je_Aktie!A$3:AM$103,10,FALSE)&lt;&gt;"",VLOOKUP(A51,Dividende_je_Aktie!A$3:AM$103,10,FALSE)/VLOOKUP(A51,Schlußkurse!A$5:AU$105,38,FALSE),""),"")</f>
        <v>2.5174076057846811E-2</v>
      </c>
      <c r="G51" s="71">
        <f>IF(VLOOKUP(A51,Schlußkurse!A$5:AU$105,39,FALSE)&gt;0,IF(VLOOKUP(A51,Dividende_je_Aktie!A$3:AM$103,11,FALSE)&lt;&gt;"",VLOOKUP(A51,Dividende_je_Aktie!A$3:AM$103,11,FALSE)/VLOOKUP(A51,Schlußkurse!A$5:AU$105,39,FALSE),""),"")</f>
        <v>2.2730521801286634E-2</v>
      </c>
      <c r="H51" s="71">
        <f>IF(VLOOKUP(A51,Schlußkurse!A$5:AU$105,40,FALSE)&gt;0,IF(VLOOKUP(A51,Dividende_je_Aktie!A$3:AM$103,12,FALSE)&lt;&gt;"",VLOOKUP(A51,Dividende_je_Aktie!A$3:AM$103,12,FALSE)/VLOOKUP(A51,Schlußkurse!A$5:AU$105,40,FALSE),""),"")</f>
        <v>2.3794002607561929E-2</v>
      </c>
      <c r="I51" s="71">
        <f>IF(VLOOKUP(A51,Schlußkurse!A$5:AU$105,41,FALSE)&gt;0,IF(VLOOKUP(A51,Dividende_je_Aktie!A$3:AM$103,13,FALSE)&lt;&gt;"",VLOOKUP(A51,Dividende_je_Aktie!A$3:AM$103,13,FALSE)/VLOOKUP(A51,Schlußkurse!A$5:AU$105,41,FALSE),""),"")</f>
        <v>2.1580167647583377E-2</v>
      </c>
      <c r="J51" s="71">
        <f>IF(VLOOKUP(A51,Schlußkurse!A$5:AU$105,42,FALSE)&gt;0,IF(VLOOKUP(A51,Dividende_je_Aktie!A$3:AM$103,14,FALSE)&lt;&gt;"",VLOOKUP(A51,Dividende_je_Aktie!A$3:AM$103,14,FALSE)/VLOOKUP(A51,Schlußkurse!A$5:AU$105,42,FALSE),""),"")</f>
        <v>2.0400524050159088E-2</v>
      </c>
      <c r="K51" s="71">
        <f>IF(VLOOKUP(A51,Schlußkurse!A$5:AU$105,43,FALSE)&gt;0,IF(VLOOKUP(A51,Dividende_je_Aktie!A$3:AM$103,15,FALSE)&lt;&gt;"",VLOOKUP(A51,Dividende_je_Aktie!A$3:AM$103,15,FALSE)/VLOOKUP(A51,Schlußkurse!A$5:AU$105,43,FALSE),""),"")</f>
        <v>2.0161290322580645E-2</v>
      </c>
      <c r="L51" s="71">
        <f>IF(VLOOKUP(A51,Schlußkurse!A$5:AU$105,44,FALSE)&gt;0,IF(VLOOKUP(A51,Dividende_je_Aktie!A$3:AM$103,16,FALSE)&lt;&gt;"",VLOOKUP(A51,Dividende_je_Aktie!A$3:AM$103,16,FALSE)/VLOOKUP(A51,Schlußkurse!A$5:AU$105,44,FALSE),""),"")</f>
        <v>1.7333070711049833E-2</v>
      </c>
      <c r="M51" s="71">
        <f>IF(VLOOKUP(A51,Schlußkurse!A$5:AU$105,45,FALSE)&gt;0,IF(VLOOKUP(A51,Dividende_je_Aktie!A$3:AM$103,17,FALSE)&lt;&gt;"",VLOOKUP(A51,Dividende_je_Aktie!A$3:AM$103,17,FALSE)/VLOOKUP(A51,Schlußkurse!A$5:AU$105,45,FALSE),""),"")</f>
        <v>1.4054961191525068E-2</v>
      </c>
      <c r="N51" s="71">
        <f>IF(VLOOKUP(A51,Schlußkurse!A$5:AU$105,46,FALSE)&gt;0,IF(VLOOKUP(A51,Dividende_je_Aktie!A$3:AM$103,18,FALSE)&lt;&gt;"",VLOOKUP(A51,Dividende_je_Aktie!A$3:AM$103,18,FALSE)/VLOOKUP(A51,Schlußkurse!A$5:AU$105,46,FALSE),""),"")</f>
        <v>1.3012361743656473E-2</v>
      </c>
      <c r="O51" s="71">
        <f>IF(VLOOKUP(A51,Schlußkurse!A$5:AU$105,47,FALSE)&gt;0,IF(VLOOKUP(A51,Dividende_je_Aktie!A$3:AM$103,19,FALSE)&lt;&gt;"",VLOOKUP(A51,Dividende_je_Aktie!A$3:AM$103,19,FALSE)/VLOOKUP(A51,Schlußkurse!A$5:AU$105,47,FALSE),""),"")</f>
        <v>9.9236641221374048E-3</v>
      </c>
      <c r="P51" s="71">
        <f t="shared" si="2"/>
        <v>2.0744607129629975E-2</v>
      </c>
      <c r="Q51" s="5">
        <f ca="1">VLOOKUP(A51,Dividende_je_Aktie!A$3:AM$103,24,FALSE)/VLOOKUP(A51,Schlußkurse!A$5:AU$105,35,FALSE)</f>
        <v>2.9608678616906647E-2</v>
      </c>
      <c r="R51" s="5">
        <f t="shared" ca="1" si="3"/>
        <v>0.42729522096448491</v>
      </c>
    </row>
    <row r="52" spans="1:18">
      <c r="A52" t="s">
        <v>74</v>
      </c>
      <c r="B52" s="38" t="s">
        <v>75</v>
      </c>
      <c r="C52" s="71">
        <f>IF(VLOOKUP(A52,Schlußkurse!A$5:AU$105,35,FALSE)&gt;0,IF(VLOOKUP(A52,Dividende_je_Aktie!A$3:AM$103,7,FALSE)&lt;&gt;"",VLOOKUP(A52,Dividende_je_Aktie!A$3:AM$103,7,FALSE)/VLOOKUP(A52,Schlußkurse!A$5:AU$105,35,FALSE),""),"")</f>
        <v>3.3661615639981365E-2</v>
      </c>
      <c r="D52" s="71">
        <f>IF(VLOOKUP(A52,Schlußkurse!A$5:AU$105,36,FALSE)&gt;0,IF(VLOOKUP(A52,Dividende_je_Aktie!A$3:AM$103,8,FALSE)&lt;&gt;"",VLOOKUP(A52,Dividende_je_Aktie!A$3:AM$103,8,FALSE)/VLOOKUP(A52,Schlußkurse!A$5:AU$105,36,FALSE),""),"")</f>
        <v>3.0870164586909742E-2</v>
      </c>
      <c r="E52" s="71">
        <f>IF(VLOOKUP(A52,Schlußkurse!A$5:AU$105,37,FALSE)&gt;0,IF(VLOOKUP(A52,Dividende_je_Aktie!A$3:AM$103,9,FALSE)&lt;&gt;"",VLOOKUP(A52,Dividende_je_Aktie!A$3:AM$103,9,FALSE)/VLOOKUP(A52,Schlußkurse!A$5:AU$105,37,FALSE),""),"")</f>
        <v>2.896188069442867E-2</v>
      </c>
      <c r="F52" s="71">
        <f>IF(VLOOKUP(A52,Schlußkurse!A$5:AU$105,38,FALSE)&gt;0,IF(VLOOKUP(A52,Dividende_je_Aktie!A$3:AM$103,10,FALSE)&lt;&gt;"",VLOOKUP(A52,Dividende_je_Aktie!A$3:AM$103,10,FALSE)/VLOOKUP(A52,Schlußkurse!A$5:AU$105,38,FALSE),""),"")</f>
        <v>2.6415287054924425E-2</v>
      </c>
      <c r="G52" s="71">
        <f>IF(VLOOKUP(A52,Schlußkurse!A$5:AU$105,39,FALSE)&gt;0,IF(VLOOKUP(A52,Dividende_je_Aktie!A$3:AM$103,11,FALSE)&lt;&gt;"",VLOOKUP(A52,Dividende_je_Aktie!A$3:AM$103,11,FALSE)/VLOOKUP(A52,Schlußkurse!A$5:AU$105,39,FALSE),""),"")</f>
        <v>1.925668193242475E-2</v>
      </c>
      <c r="H52" s="71">
        <f>IF(VLOOKUP(A52,Schlußkurse!A$5:AU$105,40,FALSE)&gt;0,IF(VLOOKUP(A52,Dividende_je_Aktie!A$3:AM$103,12,FALSE)&lt;&gt;"",VLOOKUP(A52,Dividende_je_Aktie!A$3:AM$103,12,FALSE)/VLOOKUP(A52,Schlußkurse!A$5:AU$105,40,FALSE),""),"")</f>
        <v>2.5727348482934408E-2</v>
      </c>
      <c r="I52" s="71">
        <f>IF(VLOOKUP(A52,Schlußkurse!A$5:AU$105,41,FALSE)&gt;0,IF(VLOOKUP(A52,Dividende_je_Aktie!A$3:AM$103,13,FALSE)&lt;&gt;"",VLOOKUP(A52,Dividende_je_Aktie!A$3:AM$103,13,FALSE)/VLOOKUP(A52,Schlußkurse!A$5:AU$105,41,FALSE),""),"")</f>
        <v>2.5276627616478513E-2</v>
      </c>
      <c r="J52" s="71">
        <f>IF(VLOOKUP(A52,Schlußkurse!A$5:AU$105,42,FALSE)&gt;0,IF(VLOOKUP(A52,Dividende_je_Aktie!A$3:AM$103,14,FALSE)&lt;&gt;"",VLOOKUP(A52,Dividende_je_Aktie!A$3:AM$103,14,FALSE)/VLOOKUP(A52,Schlußkurse!A$5:AU$105,42,FALSE),""),"")</f>
        <v>1.8667861409796899E-2</v>
      </c>
      <c r="K52" s="71">
        <f>IF(VLOOKUP(A52,Schlußkurse!A$5:AU$105,43,FALSE)&gt;0,IF(VLOOKUP(A52,Dividende_je_Aktie!A$3:AM$103,15,FALSE)&lt;&gt;"",VLOOKUP(A52,Dividende_je_Aktie!A$3:AM$103,15,FALSE)/VLOOKUP(A52,Schlußkurse!A$5:AU$105,43,FALSE),""),"")</f>
        <v>1.0542741683679299E-2</v>
      </c>
      <c r="L52" s="71">
        <f>IF(VLOOKUP(A52,Schlußkurse!A$5:AU$105,44,FALSE)&gt;0,IF(VLOOKUP(A52,Dividende_je_Aktie!A$3:AM$103,16,FALSE)&lt;&gt;"",VLOOKUP(A52,Dividende_je_Aktie!A$3:AM$103,16,FALSE)/VLOOKUP(A52,Schlußkurse!A$5:AU$105,44,FALSE),""),"")</f>
        <v>1.4885953605671432E-2</v>
      </c>
      <c r="M52" s="71">
        <f>IF(VLOOKUP(A52,Schlußkurse!A$5:AU$105,45,FALSE)&gt;0,IF(VLOOKUP(A52,Dividende_je_Aktie!A$3:AM$103,17,FALSE)&lt;&gt;"",VLOOKUP(A52,Dividende_je_Aktie!A$3:AM$103,17,FALSE)/VLOOKUP(A52,Schlußkurse!A$5:AU$105,45,FALSE),""),"")</f>
        <v>1.2388810426422855E-2</v>
      </c>
      <c r="N52" s="71">
        <f>IF(VLOOKUP(A52,Schlußkurse!A$5:AU$105,46,FALSE)&gt;0,IF(VLOOKUP(A52,Dividende_je_Aktie!A$3:AM$103,18,FALSE)&lt;&gt;"",VLOOKUP(A52,Dividende_je_Aktie!A$3:AM$103,18,FALSE)/VLOOKUP(A52,Schlußkurse!A$5:AU$105,46,FALSE),""),"")</f>
        <v>2.3279534573980593E-2</v>
      </c>
      <c r="O52" s="71">
        <f>IF(VLOOKUP(A52,Schlußkurse!A$5:AU$105,47,FALSE)&gt;0,IF(VLOOKUP(A52,Dividende_je_Aktie!A$3:AM$103,19,FALSE)&lt;&gt;"",VLOOKUP(A52,Dividende_je_Aktie!A$3:AM$103,19,FALSE)/VLOOKUP(A52,Schlußkurse!A$5:AU$105,47,FALSE),""),"")</f>
        <v>2.1005800475409172E-2</v>
      </c>
      <c r="P52" s="71">
        <f t="shared" si="2"/>
        <v>2.2380023706387857E-2</v>
      </c>
      <c r="Q52" s="5">
        <f ca="1">VLOOKUP(A52,Dividende_je_Aktie!A$3:AM$103,24,FALSE)/VLOOKUP(A52,Schlußkurse!A$5:AU$105,35,FALSE)</f>
        <v>3.1707599902831229E-2</v>
      </c>
      <c r="R52" s="5">
        <f t="shared" ca="1" si="3"/>
        <v>0.4167813367320532</v>
      </c>
    </row>
    <row r="53" spans="1:18">
      <c r="A53" t="s">
        <v>76</v>
      </c>
      <c r="B53" s="38" t="s">
        <v>77</v>
      </c>
      <c r="C53" s="71">
        <f>IF(VLOOKUP(A53,Schlußkurse!A$5:AU$105,35,FALSE)&gt;0,IF(VLOOKUP(A53,Dividende_je_Aktie!A$3:AM$103,7,FALSE)&lt;&gt;"",VLOOKUP(A53,Dividende_je_Aktie!A$3:AM$103,7,FALSE)/VLOOKUP(A53,Schlußkurse!A$5:AU$105,35,FALSE),""),"")</f>
        <v>1.1482398239823983E-2</v>
      </c>
      <c r="D53" s="71">
        <f>IF(VLOOKUP(A53,Schlußkurse!A$5:AU$105,36,FALSE)&gt;0,IF(VLOOKUP(A53,Dividende_je_Aktie!A$3:AM$103,8,FALSE)&lt;&gt;"",VLOOKUP(A53,Dividende_je_Aktie!A$3:AM$103,8,FALSE)/VLOOKUP(A53,Schlußkurse!A$5:AU$105,36,FALSE),""),"")</f>
        <v>1.0808580858085809E-2</v>
      </c>
      <c r="E53" s="71">
        <f>IF(VLOOKUP(A53,Schlußkurse!A$5:AU$105,37,FALSE)&gt;0,IF(VLOOKUP(A53,Dividende_je_Aktie!A$3:AM$103,9,FALSE)&lt;&gt;"",VLOOKUP(A53,Dividende_je_Aktie!A$3:AM$103,9,FALSE)/VLOOKUP(A53,Schlußkurse!A$5:AU$105,37,FALSE),""),"")</f>
        <v>1.0720986330742428E-2</v>
      </c>
      <c r="F53" s="71">
        <f>IF(VLOOKUP(A53,Schlußkurse!A$5:AU$105,38,FALSE)&gt;0,IF(VLOOKUP(A53,Dividende_je_Aktie!A$3:AM$103,10,FALSE)&lt;&gt;"",VLOOKUP(A53,Dividende_je_Aktie!A$3:AM$103,10,FALSE)/VLOOKUP(A53,Schlußkurse!A$5:AU$105,38,FALSE),""),"")</f>
        <v>1.2683694891532541E-2</v>
      </c>
      <c r="G53" s="71">
        <f>IF(VLOOKUP(A53,Schlußkurse!A$5:AU$105,39,FALSE)&gt;0,IF(VLOOKUP(A53,Dividende_je_Aktie!A$3:AM$103,11,FALSE)&lt;&gt;"",VLOOKUP(A53,Dividende_je_Aktie!A$3:AM$103,11,FALSE)/VLOOKUP(A53,Schlußkurse!A$5:AU$105,39,FALSE),""),"")</f>
        <v>1.3513513513513514E-2</v>
      </c>
      <c r="H53" s="71">
        <f>IF(VLOOKUP(A53,Schlußkurse!A$5:AU$105,40,FALSE)&gt;0,IF(VLOOKUP(A53,Dividende_je_Aktie!A$3:AM$103,12,FALSE)&lt;&gt;"",VLOOKUP(A53,Dividende_je_Aktie!A$3:AM$103,12,FALSE)/VLOOKUP(A53,Schlußkurse!A$5:AU$105,40,FALSE),""),"")</f>
        <v>1.6659423439084456E-2</v>
      </c>
      <c r="I53" s="71">
        <f>IF(VLOOKUP(A53,Schlußkurse!A$5:AU$105,41,FALSE)&gt;0,IF(VLOOKUP(A53,Dividende_je_Aktie!A$3:AM$103,13,FALSE)&lt;&gt;"",VLOOKUP(A53,Dividende_je_Aktie!A$3:AM$103,13,FALSE)/VLOOKUP(A53,Schlußkurse!A$5:AU$105,41,FALSE),""),"")</f>
        <v>1.5928639694170119E-2</v>
      </c>
      <c r="J53" s="71">
        <f>IF(VLOOKUP(A53,Schlußkurse!A$5:AU$105,42,FALSE)&gt;0,IF(VLOOKUP(A53,Dividende_je_Aktie!A$3:AM$103,14,FALSE)&lt;&gt;"",VLOOKUP(A53,Dividende_je_Aktie!A$3:AM$103,14,FALSE)/VLOOKUP(A53,Schlußkurse!A$5:AU$105,42,FALSE),""),"")</f>
        <v>1.4950166112956811E-2</v>
      </c>
      <c r="K53" s="71">
        <f>IF(VLOOKUP(A53,Schlußkurse!A$5:AU$105,43,FALSE)&gt;0,IF(VLOOKUP(A53,Dividende_je_Aktie!A$3:AM$103,15,FALSE)&lt;&gt;"",VLOOKUP(A53,Dividende_je_Aktie!A$3:AM$103,15,FALSE)/VLOOKUP(A53,Schlußkurse!A$5:AU$105,43,FALSE),""),"")</f>
        <v>1.5744932099980319E-2</v>
      </c>
      <c r="L53" s="71">
        <f>IF(VLOOKUP(A53,Schlußkurse!A$5:AU$105,44,FALSE)&gt;0,IF(VLOOKUP(A53,Dividende_je_Aktie!A$3:AM$103,16,FALSE)&lt;&gt;"",VLOOKUP(A53,Dividende_je_Aktie!A$3:AM$103,16,FALSE)/VLOOKUP(A53,Schlußkurse!A$5:AU$105,44,FALSE),""),"")</f>
        <v>1.5929203539823009E-2</v>
      </c>
      <c r="M53" s="71">
        <f>IF(VLOOKUP(A53,Schlußkurse!A$5:AU$105,45,FALSE)&gt;0,IF(VLOOKUP(A53,Dividende_je_Aktie!A$3:AM$103,17,FALSE)&lt;&gt;"",VLOOKUP(A53,Dividende_je_Aktie!A$3:AM$103,17,FALSE)/VLOOKUP(A53,Schlußkurse!A$5:AU$105,45,FALSE),""),"")</f>
        <v>8.2977118430978131E-3</v>
      </c>
      <c r="N53" s="71">
        <f>IF(VLOOKUP(A53,Schlußkurse!A$5:AU$105,46,FALSE)&gt;0,IF(VLOOKUP(A53,Dividende_je_Aktie!A$3:AM$103,18,FALSE)&lt;&gt;"",VLOOKUP(A53,Dividende_je_Aktie!A$3:AM$103,18,FALSE)/VLOOKUP(A53,Schlußkurse!A$5:AU$105,46,FALSE),""),"")</f>
        <v>8.9576547231270363E-3</v>
      </c>
      <c r="O53" s="71">
        <f>IF(VLOOKUP(A53,Schlußkurse!A$5:AU$105,47,FALSE)&gt;0,IF(VLOOKUP(A53,Dividende_je_Aktie!A$3:AM$103,19,FALSE)&lt;&gt;"",VLOOKUP(A53,Dividende_je_Aktie!A$3:AM$103,19,FALSE)/VLOOKUP(A53,Schlußkurse!A$5:AU$105,47,FALSE),""),"")</f>
        <v>1.0250569476082005E-2</v>
      </c>
      <c r="P53" s="71">
        <f t="shared" si="2"/>
        <v>1.2763651904770757E-2</v>
      </c>
      <c r="Q53" s="5">
        <f ca="1">VLOOKUP(A53,Dividende_je_Aktie!A$3:AM$103,24,FALSE)/VLOOKUP(A53,Schlußkurse!A$5:AU$105,35,FALSE)</f>
        <v>1.1010726072607259E-2</v>
      </c>
      <c r="R53" s="5">
        <f t="shared" ca="1" si="3"/>
        <v>-0.13733732674958765</v>
      </c>
    </row>
    <row r="54" spans="1:18">
      <c r="A54" t="s">
        <v>79</v>
      </c>
      <c r="B54" s="38" t="s">
        <v>80</v>
      </c>
      <c r="C54" s="71">
        <f>IF(VLOOKUP(A54,Schlußkurse!A$5:AU$105,35,FALSE)&gt;0,IF(VLOOKUP(A54,Dividende_je_Aktie!A$3:AM$103,7,FALSE)&lt;&gt;"",VLOOKUP(A54,Dividende_je_Aktie!A$3:AM$103,7,FALSE)/VLOOKUP(A54,Schlußkurse!A$5:AU$105,35,FALSE),""),"")</f>
        <v>1.7386883579054397E-2</v>
      </c>
      <c r="D54" s="71">
        <f>IF(VLOOKUP(A54,Schlußkurse!A$5:AU$105,36,FALSE)&gt;0,IF(VLOOKUP(A54,Dividende_je_Aktie!A$3:AM$103,8,FALSE)&lt;&gt;"",VLOOKUP(A54,Dividende_je_Aktie!A$3:AM$103,8,FALSE)/VLOOKUP(A54,Schlußkurse!A$5:AU$105,36,FALSE),""),"")</f>
        <v>1.5963396034570414E-2</v>
      </c>
      <c r="E54" s="71">
        <f>IF(VLOOKUP(A54,Schlußkurse!A$5:AU$105,37,FALSE)&gt;0,IF(VLOOKUP(A54,Dividende_je_Aktie!A$3:AM$103,9,FALSE)&lt;&gt;"",VLOOKUP(A54,Dividende_je_Aktie!A$3:AM$103,9,FALSE)/VLOOKUP(A54,Schlußkurse!A$5:AU$105,37,FALSE),""),"")</f>
        <v>1.4244186046511627E-2</v>
      </c>
      <c r="F54" s="71">
        <f>IF(VLOOKUP(A54,Schlußkurse!A$5:AU$105,38,FALSE)&gt;0,IF(VLOOKUP(A54,Dividende_je_Aktie!A$3:AM$103,10,FALSE)&lt;&gt;"",VLOOKUP(A54,Dividende_je_Aktie!A$3:AM$103,10,FALSE)/VLOOKUP(A54,Schlußkurse!A$5:AU$105,38,FALSE),""),"")</f>
        <v>1.4649966450458511E-2</v>
      </c>
      <c r="G54" s="71">
        <f>IF(VLOOKUP(A54,Schlußkurse!A$5:AU$105,39,FALSE)&gt;0,IF(VLOOKUP(A54,Dividende_je_Aktie!A$3:AM$103,11,FALSE)&lt;&gt;"",VLOOKUP(A54,Dividende_je_Aktie!A$3:AM$103,11,FALSE)/VLOOKUP(A54,Schlußkurse!A$5:AU$105,39,FALSE),""),"")</f>
        <v>1.4470406831929782E-2</v>
      </c>
      <c r="H54" s="71">
        <f>IF(VLOOKUP(A54,Schlußkurse!A$5:AU$105,40,FALSE)&gt;0,IF(VLOOKUP(A54,Dividende_je_Aktie!A$3:AM$103,12,FALSE)&lt;&gt;"",VLOOKUP(A54,Dividende_je_Aktie!A$3:AM$103,12,FALSE)/VLOOKUP(A54,Schlußkurse!A$5:AU$105,40,FALSE),""),"")</f>
        <v>1.5273311897106108E-2</v>
      </c>
      <c r="I54" s="71">
        <f>IF(VLOOKUP(A54,Schlußkurse!A$5:AU$105,41,FALSE)&gt;0,IF(VLOOKUP(A54,Dividende_je_Aktie!A$3:AM$103,13,FALSE)&lt;&gt;"",VLOOKUP(A54,Dividende_je_Aktie!A$3:AM$103,13,FALSE)/VLOOKUP(A54,Schlußkurse!A$5:AU$105,41,FALSE),""),"")</f>
        <v>1.794124243103835E-2</v>
      </c>
      <c r="J54" s="71">
        <f>IF(VLOOKUP(A54,Schlußkurse!A$5:AU$105,42,FALSE)&gt;0,IF(VLOOKUP(A54,Dividende_je_Aktie!A$3:AM$103,14,FALSE)&lt;&gt;"",VLOOKUP(A54,Dividende_je_Aktie!A$3:AM$103,14,FALSE)/VLOOKUP(A54,Schlußkurse!A$5:AU$105,42,FALSE),""),"")</f>
        <v>1.5472225206833567E-2</v>
      </c>
      <c r="K54" s="71">
        <f>IF(VLOOKUP(A54,Schlußkurse!A$5:AU$105,43,FALSE)&gt;0,IF(VLOOKUP(A54,Dividende_je_Aktie!A$3:AM$103,15,FALSE)&lt;&gt;"",VLOOKUP(A54,Dividende_je_Aktie!A$3:AM$103,15,FALSE)/VLOOKUP(A54,Schlußkurse!A$5:AU$105,43,FALSE),""),"")</f>
        <v>1.4548449080428219E-2</v>
      </c>
      <c r="L54" s="71">
        <f>IF(VLOOKUP(A54,Schlußkurse!A$5:AU$105,44,FALSE)&gt;0,IF(VLOOKUP(A54,Dividende_je_Aktie!A$3:AM$103,16,FALSE)&lt;&gt;"",VLOOKUP(A54,Dividende_je_Aktie!A$3:AM$103,16,FALSE)/VLOOKUP(A54,Schlußkurse!A$5:AU$105,44,FALSE),""),"")</f>
        <v>2.3461708720672866E-2</v>
      </c>
      <c r="M54" s="71">
        <f>IF(VLOOKUP(A54,Schlußkurse!A$5:AU$105,45,FALSE)&gt;0,IF(VLOOKUP(A54,Dividende_je_Aktie!A$3:AM$103,17,FALSE)&lt;&gt;"",VLOOKUP(A54,Dividende_je_Aktie!A$3:AM$103,17,FALSE)/VLOOKUP(A54,Schlußkurse!A$5:AU$105,45,FALSE),""),"")</f>
        <v>1.3791308873276087E-2</v>
      </c>
      <c r="N54" s="71">
        <f>IF(VLOOKUP(A54,Schlußkurse!A$5:AU$105,46,FALSE)&gt;0,IF(VLOOKUP(A54,Dividende_je_Aktie!A$3:AM$103,18,FALSE)&lt;&gt;"",VLOOKUP(A54,Dividende_je_Aktie!A$3:AM$103,18,FALSE)/VLOOKUP(A54,Schlußkurse!A$5:AU$105,46,FALSE),""),"")</f>
        <v>1.3455328310010766E-2</v>
      </c>
      <c r="O54" s="71">
        <f>IF(VLOOKUP(A54,Schlußkurse!A$5:AU$105,47,FALSE)&gt;0,IF(VLOOKUP(A54,Dividende_je_Aktie!A$3:AM$103,19,FALSE)&lt;&gt;"",VLOOKUP(A54,Dividende_je_Aktie!A$3:AM$103,19,FALSE)/VLOOKUP(A54,Schlußkurse!A$5:AU$105,47,FALSE),""),"")</f>
        <v>1.5882371626319561E-2</v>
      </c>
      <c r="P54" s="71">
        <f t="shared" si="2"/>
        <v>1.5887752699093094E-2</v>
      </c>
      <c r="Q54" s="5">
        <f ca="1">VLOOKUP(A54,Dividende_je_Aktie!A$3:AM$103,24,FALSE)/VLOOKUP(A54,Schlußkurse!A$5:AU$105,35,FALSE)</f>
        <v>1.639044229791561E-2</v>
      </c>
      <c r="R54" s="5">
        <f t="shared" ca="1" si="3"/>
        <v>3.1640069451182473E-2</v>
      </c>
    </row>
    <row r="55" spans="1:18">
      <c r="A55" t="s">
        <v>266</v>
      </c>
      <c r="B55" s="38" t="s">
        <v>270</v>
      </c>
      <c r="C55" s="71">
        <f>IF(VLOOKUP(A55,Schlußkurse!A$5:AU$105,35,FALSE)&gt;0,IF(VLOOKUP(A55,Dividende_je_Aktie!A$3:AM$103,7,FALSE)&lt;&gt;"",VLOOKUP(A55,Dividende_je_Aktie!A$3:AM$103,7,FALSE)/VLOOKUP(A55,Schlußkurse!A$5:AU$105,35,FALSE),""),"")</f>
        <v>3.0959242486620006E-2</v>
      </c>
      <c r="D55" s="71">
        <f>IF(VLOOKUP(A55,Schlußkurse!A$5:AU$105,36,FALSE)&gt;0,IF(VLOOKUP(A55,Dividende_je_Aktie!A$3:AM$103,8,FALSE)&lt;&gt;"",VLOOKUP(A55,Dividende_je_Aktie!A$3:AM$103,8,FALSE)/VLOOKUP(A55,Schlußkurse!A$5:AU$105,36,FALSE),""),"")</f>
        <v>2.9230135858377932E-2</v>
      </c>
      <c r="E55" s="71">
        <f>IF(VLOOKUP(A55,Schlußkurse!A$5:AU$105,37,FALSE)&gt;0,IF(VLOOKUP(A55,Dividende_je_Aktie!A$3:AM$103,9,FALSE)&lt;&gt;"",VLOOKUP(A55,Dividende_je_Aktie!A$3:AM$103,9,FALSE)/VLOOKUP(A55,Schlußkurse!A$5:AU$105,37,FALSE),""),"")</f>
        <v>2.5765496639283049E-2</v>
      </c>
      <c r="F55" s="71">
        <f>IF(VLOOKUP(A55,Schlußkurse!A$5:AU$105,38,FALSE)&gt;0,IF(VLOOKUP(A55,Dividende_je_Aktie!A$3:AM$103,10,FALSE)&lt;&gt;"",VLOOKUP(A55,Dividende_je_Aktie!A$3:AM$103,10,FALSE)/VLOOKUP(A55,Schlußkurse!A$5:AU$105,38,FALSE),""),"")</f>
        <v>2.0428015564202335E-2</v>
      </c>
      <c r="G55" s="71">
        <f>IF(VLOOKUP(A55,Schlußkurse!A$5:AU$105,39,FALSE)&gt;0,IF(VLOOKUP(A55,Dividende_je_Aktie!A$3:AM$103,11,FALSE)&lt;&gt;"",VLOOKUP(A55,Dividende_je_Aktie!A$3:AM$103,11,FALSE)/VLOOKUP(A55,Schlußkurse!A$5:AU$105,39,FALSE),""),"")</f>
        <v>1.9730351857941465E-2</v>
      </c>
      <c r="H55" s="71">
        <f>IF(VLOOKUP(A55,Schlußkurse!A$5:AU$105,40,FALSE)&gt;0,IF(VLOOKUP(A55,Dividende_je_Aktie!A$3:AM$103,12,FALSE)&lt;&gt;"",VLOOKUP(A55,Dividende_je_Aktie!A$3:AM$103,12,FALSE)/VLOOKUP(A55,Schlußkurse!A$5:AU$105,40,FALSE),""),"")</f>
        <v>2.0454545454545454E-2</v>
      </c>
      <c r="I55" s="71">
        <f>IF(VLOOKUP(A55,Schlußkurse!A$5:AU$105,41,FALSE)&gt;0,IF(VLOOKUP(A55,Dividende_je_Aktie!A$3:AM$103,13,FALSE)&lt;&gt;"",VLOOKUP(A55,Dividende_je_Aktie!A$3:AM$103,13,FALSE)/VLOOKUP(A55,Schlußkurse!A$5:AU$105,41,FALSE),""),"")</f>
        <v>2.1748586341887775E-2</v>
      </c>
      <c r="J55" s="71">
        <f>IF(VLOOKUP(A55,Schlußkurse!A$5:AU$105,42,FALSE)&gt;0,IF(VLOOKUP(A55,Dividende_je_Aktie!A$3:AM$103,14,FALSE)&lt;&gt;"",VLOOKUP(A55,Dividende_je_Aktie!A$3:AM$103,14,FALSE)/VLOOKUP(A55,Schlußkurse!A$5:AU$105,42,FALSE),""),"")</f>
        <v>1.9374724790841041E-2</v>
      </c>
      <c r="K55" s="71">
        <f>IF(VLOOKUP(A55,Schlußkurse!A$5:AU$105,43,FALSE)&gt;0,IF(VLOOKUP(A55,Dividende_je_Aktie!A$3:AM$103,15,FALSE)&lt;&gt;"",VLOOKUP(A55,Dividende_je_Aktie!A$3:AM$103,15,FALSE)/VLOOKUP(A55,Schlußkurse!A$5:AU$105,43,FALSE),""),"")</f>
        <v>2.1387832699619774E-2</v>
      </c>
      <c r="L55" s="71">
        <f>IF(VLOOKUP(A55,Schlußkurse!A$5:AU$105,44,FALSE)&gt;0,IF(VLOOKUP(A55,Dividende_je_Aktie!A$3:AM$103,16,FALSE)&lt;&gt;"",VLOOKUP(A55,Dividende_je_Aktie!A$3:AM$103,16,FALSE)/VLOOKUP(A55,Schlußkurse!A$5:AU$105,44,FALSE),""),"")</f>
        <v>3.007518796992481E-2</v>
      </c>
      <c r="M55" s="71">
        <f>IF(VLOOKUP(A55,Schlußkurse!A$5:AU$105,45,FALSE)&gt;0,IF(VLOOKUP(A55,Dividende_je_Aktie!A$3:AM$103,17,FALSE)&lt;&gt;"",VLOOKUP(A55,Dividende_je_Aktie!A$3:AM$103,17,FALSE)/VLOOKUP(A55,Schlußkurse!A$5:AU$105,45,FALSE),""),"")</f>
        <v>1.8794914317302375E-2</v>
      </c>
      <c r="N55" s="71">
        <f>IF(VLOOKUP(A55,Schlußkurse!A$5:AU$105,46,FALSE)&gt;0,IF(VLOOKUP(A55,Dividende_je_Aktie!A$3:AM$103,18,FALSE)&lt;&gt;"",VLOOKUP(A55,Dividende_je_Aktie!A$3:AM$103,18,FALSE)/VLOOKUP(A55,Schlußkurse!A$5:AU$105,46,FALSE),""),"")</f>
        <v>1.9166879631995908E-2</v>
      </c>
      <c r="O55" s="71">
        <f>IF(VLOOKUP(A55,Schlußkurse!A$5:AU$105,47,FALSE)&gt;0,IF(VLOOKUP(A55,Dividende_je_Aktie!A$3:AM$103,19,FALSE)&lt;&gt;"",VLOOKUP(A55,Dividende_je_Aktie!A$3:AM$103,19,FALSE)/VLOOKUP(A55,Schlußkurse!A$5:AU$105,47,FALSE),""),"")</f>
        <v>2.1286300745020525E-2</v>
      </c>
      <c r="P55" s="71">
        <f t="shared" si="2"/>
        <v>2.2954016489043268E-2</v>
      </c>
      <c r="Q55" s="5">
        <f ca="1">VLOOKUP(A55,Dividende_je_Aktie!A$3:AM$103,24,FALSE)/VLOOKUP(A55,Schlußkurse!A$5:AU$105,35,FALSE)</f>
        <v>2.974886784685055E-2</v>
      </c>
      <c r="R55" s="5">
        <f t="shared" ca="1" si="3"/>
        <v>0.29602014797936094</v>
      </c>
    </row>
    <row r="56" spans="1:18">
      <c r="A56" t="s">
        <v>320</v>
      </c>
      <c r="B56" s="38" t="s">
        <v>321</v>
      </c>
      <c r="C56" s="71">
        <f>IF(VLOOKUP(A56,Schlußkurse!A$5:AU$105,35,FALSE)&gt;0,IF(VLOOKUP(A56,Dividende_je_Aktie!A$3:AM$103,7,FALSE)&lt;&gt;"",VLOOKUP(A56,Dividende_je_Aktie!A$3:AM$103,7,FALSE)/VLOOKUP(A56,Schlußkurse!A$5:AU$105,35,FALSE),""),"")</f>
        <v>2.6304624522698345E-2</v>
      </c>
      <c r="D56" s="71">
        <f>IF(VLOOKUP(A56,Schlußkurse!A$5:AU$105,36,FALSE)&gt;0,IF(VLOOKUP(A56,Dividende_je_Aktie!A$3:AM$103,8,FALSE)&lt;&gt;"",VLOOKUP(A56,Dividende_je_Aktie!A$3:AM$103,8,FALSE)/VLOOKUP(A56,Schlußkurse!A$5:AU$105,36,FALSE),""),"")</f>
        <v>2.4289350869749683E-2</v>
      </c>
      <c r="E56" s="71">
        <f>IF(VLOOKUP(A56,Schlußkurse!A$5:AU$105,37,FALSE)&gt;0,IF(VLOOKUP(A56,Dividende_je_Aktie!A$3:AM$103,9,FALSE)&lt;&gt;"",VLOOKUP(A56,Dividende_je_Aktie!A$3:AM$103,9,FALSE)/VLOOKUP(A56,Schlußkurse!A$5:AU$105,37,FALSE),""),"")</f>
        <v>2.8050490883590462E-2</v>
      </c>
      <c r="F56" s="71">
        <f>IF(VLOOKUP(A56,Schlußkurse!A$5:AU$105,38,FALSE)&gt;0,IF(VLOOKUP(A56,Dividende_je_Aktie!A$3:AM$103,10,FALSE)&lt;&gt;"",VLOOKUP(A56,Dividende_je_Aktie!A$3:AM$103,10,FALSE)/VLOOKUP(A56,Schlußkurse!A$5:AU$105,38,FALSE),""),"")</f>
        <v>2.4009603841536616E-2</v>
      </c>
      <c r="G56" s="71">
        <f>IF(VLOOKUP(A56,Schlußkurse!A$5:AU$105,39,FALSE)&gt;0,IF(VLOOKUP(A56,Dividende_je_Aktie!A$3:AM$103,11,FALSE)&lt;&gt;"",VLOOKUP(A56,Dividende_je_Aktie!A$3:AM$103,11,FALSE)/VLOOKUP(A56,Schlußkurse!A$5:AU$105,39,FALSE),""),"")</f>
        <v>2.4262393290399885E-2</v>
      </c>
      <c r="H56" s="71">
        <f>IF(VLOOKUP(A56,Schlußkurse!A$5:AU$105,40,FALSE)&gt;0,IF(VLOOKUP(A56,Dividende_je_Aktie!A$3:AM$103,12,FALSE)&lt;&gt;"",VLOOKUP(A56,Dividende_je_Aktie!A$3:AM$103,12,FALSE)/VLOOKUP(A56,Schlußkurse!A$5:AU$105,40,FALSE),""),"")</f>
        <v>2.5290281533322731E-2</v>
      </c>
      <c r="I56" s="71">
        <f>IF(VLOOKUP(A56,Schlußkurse!A$5:AU$105,41,FALSE)&gt;0,IF(VLOOKUP(A56,Dividende_je_Aktie!A$3:AM$103,13,FALSE)&lt;&gt;"",VLOOKUP(A56,Dividende_je_Aktie!A$3:AM$103,13,FALSE)/VLOOKUP(A56,Schlußkurse!A$5:AU$105,41,FALSE),""),"")</f>
        <v>2.8174450019297567E-2</v>
      </c>
      <c r="J56" s="71">
        <f>IF(VLOOKUP(A56,Schlußkurse!A$5:AU$105,42,FALSE)&gt;0,IF(VLOOKUP(A56,Dividende_je_Aktie!A$3:AM$103,14,FALSE)&lt;&gt;"",VLOOKUP(A56,Dividende_je_Aktie!A$3:AM$103,14,FALSE)/VLOOKUP(A56,Schlußkurse!A$5:AU$105,42,FALSE),""),"")</f>
        <v>2.9771749917300697E-2</v>
      </c>
      <c r="K56" s="71">
        <f>IF(VLOOKUP(A56,Schlußkurse!A$5:AU$105,43,FALSE)&gt;0,IF(VLOOKUP(A56,Dividende_je_Aktie!A$3:AM$103,15,FALSE)&lt;&gt;"",VLOOKUP(A56,Dividende_je_Aktie!A$3:AM$103,15,FALSE)/VLOOKUP(A56,Schlußkurse!A$5:AU$105,43,FALSE),""),"")</f>
        <v>3.1607765057242408E-2</v>
      </c>
      <c r="L56" s="71">
        <f>IF(VLOOKUP(A56,Schlußkurse!A$5:AU$105,44,FALSE)&gt;0,IF(VLOOKUP(A56,Dividende_je_Aktie!A$3:AM$103,16,FALSE)&lt;&gt;"",VLOOKUP(A56,Dividende_je_Aktie!A$3:AM$103,16,FALSE)/VLOOKUP(A56,Schlußkurse!A$5:AU$105,44,FALSE),""),"")</f>
        <v>2.7453523562472982E-2</v>
      </c>
      <c r="M56" s="71">
        <f>IF(VLOOKUP(A56,Schlußkurse!A$5:AU$105,45,FALSE)&gt;0,IF(VLOOKUP(A56,Dividende_je_Aktie!A$3:AM$103,17,FALSE)&lt;&gt;"",VLOOKUP(A56,Dividende_je_Aktie!A$3:AM$103,17,FALSE)/VLOOKUP(A56,Schlußkurse!A$5:AU$105,45,FALSE),""),"")</f>
        <v>2.3770152955766843E-2</v>
      </c>
      <c r="N56" s="71">
        <f>IF(VLOOKUP(A56,Schlußkurse!A$5:AU$105,46,FALSE)&gt;0,IF(VLOOKUP(A56,Dividende_je_Aktie!A$3:AM$103,18,FALSE)&lt;&gt;"",VLOOKUP(A56,Dividende_je_Aktie!A$3:AM$103,18,FALSE)/VLOOKUP(A56,Schlußkurse!A$5:AU$105,46,FALSE),""),"")</f>
        <v>2.2831050228310501E-2</v>
      </c>
      <c r="O56" s="71">
        <f>IF(VLOOKUP(A56,Schlußkurse!A$5:AU$105,47,FALSE)&gt;0,IF(VLOOKUP(A56,Dividende_je_Aktie!A$3:AM$103,19,FALSE)&lt;&gt;"",VLOOKUP(A56,Dividende_je_Aktie!A$3:AM$103,19,FALSE)/VLOOKUP(A56,Schlußkurse!A$5:AU$105,47,FALSE),""),"")</f>
        <v>2.6614620298083747E-2</v>
      </c>
      <c r="P56" s="71">
        <f t="shared" si="2"/>
        <v>2.6340773613828652E-2</v>
      </c>
      <c r="Q56" s="5">
        <f ca="1">VLOOKUP(A56,Dividende_je_Aktie!A$3:AM$103,24,FALSE)/VLOOKUP(A56,Schlußkurse!A$5:AU$105,35,FALSE)</f>
        <v>2.5565690849950504E-2</v>
      </c>
      <c r="R56" s="5">
        <f t="shared" ca="1" si="3"/>
        <v>-2.9425208812820736E-2</v>
      </c>
    </row>
    <row r="57" spans="1:18">
      <c r="A57" t="s">
        <v>83</v>
      </c>
      <c r="B57" s="38" t="s">
        <v>84</v>
      </c>
      <c r="C57" s="71">
        <f>IF(VLOOKUP(A57,Schlußkurse!A$5:AU$105,35,FALSE)&gt;0,IF(VLOOKUP(A57,Dividende_je_Aktie!A$3:AM$103,7,FALSE)&lt;&gt;"",VLOOKUP(A57,Dividende_je_Aktie!A$3:AM$103,7,FALSE)/VLOOKUP(A57,Schlußkurse!A$5:AU$105,35,FALSE),""),"")</f>
        <v>3.2479079497907945E-2</v>
      </c>
      <c r="D57" s="71">
        <f>IF(VLOOKUP(A57,Schlußkurse!A$5:AU$105,36,FALSE)&gt;0,IF(VLOOKUP(A57,Dividende_je_Aktie!A$3:AM$103,8,FALSE)&lt;&gt;"",VLOOKUP(A57,Dividende_je_Aktie!A$3:AM$103,8,FALSE)/VLOOKUP(A57,Schlußkurse!A$5:AU$105,36,FALSE),""),"")</f>
        <v>3.0805439330543929E-2</v>
      </c>
      <c r="E57" s="71">
        <f>IF(VLOOKUP(A57,Schlußkurse!A$5:AU$105,37,FALSE)&gt;0,IF(VLOOKUP(A57,Dividende_je_Aktie!A$3:AM$103,9,FALSE)&lt;&gt;"",VLOOKUP(A57,Dividende_je_Aktie!A$3:AM$103,9,FALSE)/VLOOKUP(A57,Schlußkurse!A$5:AU$105,37,FALSE),""),"")</f>
        <v>3.0635524171645841E-2</v>
      </c>
      <c r="F57" s="71">
        <f>IF(VLOOKUP(A57,Schlußkurse!A$5:AU$105,38,FALSE)&gt;0,IF(VLOOKUP(A57,Dividende_je_Aktie!A$3:AM$103,10,FALSE)&lt;&gt;"",VLOOKUP(A57,Dividende_je_Aktie!A$3:AM$103,10,FALSE)/VLOOKUP(A57,Schlußkurse!A$5:AU$105,38,FALSE),""),"")</f>
        <v>2.7706323687031083E-2</v>
      </c>
      <c r="G57" s="71">
        <f>IF(VLOOKUP(A57,Schlußkurse!A$5:AU$105,39,FALSE)&gt;0,IF(VLOOKUP(A57,Dividende_je_Aktie!A$3:AM$103,11,FALSE)&lt;&gt;"",VLOOKUP(A57,Dividende_je_Aktie!A$3:AM$103,11,FALSE)/VLOOKUP(A57,Schlußkurse!A$5:AU$105,39,FALSE),""),"")</f>
        <v>2.5212765957446807E-2</v>
      </c>
      <c r="H57" s="71">
        <f>IF(VLOOKUP(A57,Schlußkurse!A$5:AU$105,40,FALSE)&gt;0,IF(VLOOKUP(A57,Dividende_je_Aktie!A$3:AM$103,12,FALSE)&lt;&gt;"",VLOOKUP(A57,Dividende_je_Aktie!A$3:AM$103,12,FALSE)/VLOOKUP(A57,Schlußkurse!A$5:AU$105,40,FALSE),""),"")</f>
        <v>2.6492082825822164E-2</v>
      </c>
      <c r="I57" s="71">
        <f>IF(VLOOKUP(A57,Schlußkurse!A$5:AU$105,41,FALSE)&gt;0,IF(VLOOKUP(A57,Dividende_je_Aktie!A$3:AM$103,13,FALSE)&lt;&gt;"",VLOOKUP(A57,Dividende_je_Aktie!A$3:AM$103,13,FALSE)/VLOOKUP(A57,Schlußkurse!A$5:AU$105,41,FALSE),""),"")</f>
        <v>3.1736056559308723E-2</v>
      </c>
      <c r="J57" s="71">
        <f>IF(VLOOKUP(A57,Schlußkurse!A$5:AU$105,42,FALSE)&gt;0,IF(VLOOKUP(A57,Dividende_je_Aktie!A$3:AM$103,14,FALSE)&lt;&gt;"",VLOOKUP(A57,Dividende_je_Aktie!A$3:AM$103,14,FALSE)/VLOOKUP(A57,Schlußkurse!A$5:AU$105,42,FALSE),""),"")</f>
        <v>3.5943396226415097E-2</v>
      </c>
      <c r="K57" s="71">
        <f>IF(VLOOKUP(A57,Schlußkurse!A$5:AU$105,43,FALSE)&gt;0,IF(VLOOKUP(A57,Dividende_je_Aktie!A$3:AM$103,15,FALSE)&lt;&gt;"",VLOOKUP(A57,Dividende_je_Aktie!A$3:AM$103,15,FALSE)/VLOOKUP(A57,Schlußkurse!A$5:AU$105,43,FALSE),""),"")</f>
        <v>4.1422834193918533E-2</v>
      </c>
      <c r="L57" s="71">
        <f>IF(VLOOKUP(A57,Schlußkurse!A$5:AU$105,44,FALSE)&gt;0,IF(VLOOKUP(A57,Dividende_je_Aktie!A$3:AM$103,16,FALSE)&lt;&gt;"",VLOOKUP(A57,Dividende_je_Aktie!A$3:AM$103,16,FALSE)/VLOOKUP(A57,Schlußkurse!A$5:AU$105,44,FALSE),""),"")</f>
        <v>3.7175324675324681E-2</v>
      </c>
      <c r="M57" s="71">
        <f>IF(VLOOKUP(A57,Schlußkurse!A$5:AU$105,45,FALSE)&gt;0,IF(VLOOKUP(A57,Dividende_je_Aktie!A$3:AM$103,17,FALSE)&lt;&gt;"",VLOOKUP(A57,Dividende_je_Aktie!A$3:AM$103,17,FALSE)/VLOOKUP(A57,Schlußkurse!A$5:AU$105,45,FALSE),""),"")</f>
        <v>3.1533269045323054E-2</v>
      </c>
      <c r="N57" s="71">
        <f>IF(VLOOKUP(A57,Schlußkurse!A$5:AU$105,46,FALSE)&gt;0,IF(VLOOKUP(A57,Dividende_je_Aktie!A$3:AM$103,18,FALSE)&lt;&gt;"",VLOOKUP(A57,Dividende_je_Aktie!A$3:AM$103,18,FALSE)/VLOOKUP(A57,Schlußkurse!A$5:AU$105,46,FALSE),""),"")</f>
        <v>3.4194612424409014E-2</v>
      </c>
      <c r="O57" s="71">
        <f>IF(VLOOKUP(A57,Schlußkurse!A$5:AU$105,47,FALSE)&gt;0,IF(VLOOKUP(A57,Dividende_je_Aktie!A$3:AM$103,19,FALSE)&lt;&gt;"",VLOOKUP(A57,Dividende_je_Aktie!A$3:AM$103,19,FALSE)/VLOOKUP(A57,Schlußkurse!A$5:AU$105,47,FALSE),""),"")</f>
        <v>3.5905224787363299E-2</v>
      </c>
      <c r="P57" s="71">
        <f t="shared" si="2"/>
        <v>3.2403225644804627E-2</v>
      </c>
      <c r="Q57" s="5">
        <f ca="1">VLOOKUP(A57,Dividende_je_Aktie!A$3:AM$103,24,FALSE)/VLOOKUP(A57,Schlußkurse!A$5:AU$105,35,FALSE)</f>
        <v>3.2149000464900039E-2</v>
      </c>
      <c r="R57" s="5">
        <f t="shared" ca="1" si="3"/>
        <v>-7.8456750785040885E-3</v>
      </c>
    </row>
    <row r="58" spans="1:18">
      <c r="A58" t="s">
        <v>85</v>
      </c>
      <c r="B58" s="38" t="s">
        <v>86</v>
      </c>
      <c r="C58" s="71">
        <f>IF(VLOOKUP(A58,Schlußkurse!A$5:AU$105,35,FALSE)&gt;0,IF(VLOOKUP(A58,Dividende_je_Aktie!A$3:AM$103,7,FALSE)&lt;&gt;"",VLOOKUP(A58,Dividende_je_Aktie!A$3:AM$103,7,FALSE)/VLOOKUP(A58,Schlußkurse!A$5:AU$105,35,FALSE),""),"")</f>
        <v>2.1319691595720495E-2</v>
      </c>
      <c r="D58" s="71">
        <f>IF(VLOOKUP(A58,Schlußkurse!A$5:AU$105,36,FALSE)&gt;0,IF(VLOOKUP(A58,Dividende_je_Aktie!A$3:AM$103,8,FALSE)&lt;&gt;"",VLOOKUP(A58,Dividende_je_Aktie!A$3:AM$103,8,FALSE)/VLOOKUP(A58,Schlußkurse!A$5:AU$105,36,FALSE),""),"")</f>
        <v>1.9461631736472102E-2</v>
      </c>
      <c r="E58" s="71">
        <f>IF(VLOOKUP(A58,Schlußkurse!A$5:AU$105,37,FALSE)&gt;0,IF(VLOOKUP(A58,Dividende_je_Aktie!A$3:AM$103,9,FALSE)&lt;&gt;"",VLOOKUP(A58,Dividende_je_Aktie!A$3:AM$103,9,FALSE)/VLOOKUP(A58,Schlußkurse!A$5:AU$105,37,FALSE),""),"")</f>
        <v>2.1499901633193413E-2</v>
      </c>
      <c r="F58" s="71">
        <f>IF(VLOOKUP(A58,Schlußkurse!A$5:AU$105,38,FALSE)&gt;0,IF(VLOOKUP(A58,Dividende_je_Aktie!A$3:AM$103,10,FALSE)&lt;&gt;"",VLOOKUP(A58,Dividende_je_Aktie!A$3:AM$103,10,FALSE)/VLOOKUP(A58,Schlußkurse!A$5:AU$105,38,FALSE),""),"")</f>
        <v>2.1068768460254274E-2</v>
      </c>
      <c r="G58" s="71">
        <f>IF(VLOOKUP(A58,Schlußkurse!A$5:AU$105,39,FALSE)&gt;0,IF(VLOOKUP(A58,Dividende_je_Aktie!A$3:AM$103,11,FALSE)&lt;&gt;"",VLOOKUP(A58,Dividende_je_Aktie!A$3:AM$103,11,FALSE)/VLOOKUP(A58,Schlußkurse!A$5:AU$105,39,FALSE),""),"")</f>
        <v>1.9184790024942507E-2</v>
      </c>
      <c r="H58" s="71">
        <f>IF(VLOOKUP(A58,Schlußkurse!A$5:AU$105,40,FALSE)&gt;0,IF(VLOOKUP(A58,Dividende_je_Aktie!A$3:AM$103,12,FALSE)&lt;&gt;"",VLOOKUP(A58,Dividende_je_Aktie!A$3:AM$103,12,FALSE)/VLOOKUP(A58,Schlußkurse!A$5:AU$105,40,FALSE),""),"")</f>
        <v>2.2648306555630732E-2</v>
      </c>
      <c r="I58" s="71">
        <f>IF(VLOOKUP(A58,Schlußkurse!A$5:AU$105,41,FALSE)&gt;0,IF(VLOOKUP(A58,Dividende_je_Aktie!A$3:AM$103,13,FALSE)&lt;&gt;"",VLOOKUP(A58,Dividende_je_Aktie!A$3:AM$103,13,FALSE)/VLOOKUP(A58,Schlußkurse!A$5:AU$105,41,FALSE),""),"")</f>
        <v>2.2885979999207471E-2</v>
      </c>
      <c r="J58" s="71">
        <f>IF(VLOOKUP(A58,Schlußkurse!A$5:AU$105,42,FALSE)&gt;0,IF(VLOOKUP(A58,Dividende_je_Aktie!A$3:AM$103,14,FALSE)&lt;&gt;"",VLOOKUP(A58,Dividende_je_Aktie!A$3:AM$103,14,FALSE)/VLOOKUP(A58,Schlußkurse!A$5:AU$105,42,FALSE),""),"")</f>
        <v>2.3183169128310113E-2</v>
      </c>
      <c r="K58" s="71">
        <f>IF(VLOOKUP(A58,Schlußkurse!A$5:AU$105,43,FALSE)&gt;0,IF(VLOOKUP(A58,Dividende_je_Aktie!A$3:AM$103,15,FALSE)&lt;&gt;"",VLOOKUP(A58,Dividende_je_Aktie!A$3:AM$103,15,FALSE)/VLOOKUP(A58,Schlußkurse!A$5:AU$105,43,FALSE),""),"")</f>
        <v>3.9000466459027286E-2</v>
      </c>
      <c r="L58" s="71">
        <f>IF(VLOOKUP(A58,Schlußkurse!A$5:AU$105,44,FALSE)&gt;0,IF(VLOOKUP(A58,Dividende_je_Aktie!A$3:AM$103,16,FALSE)&lt;&gt;"",VLOOKUP(A58,Dividende_je_Aktie!A$3:AM$103,16,FALSE)/VLOOKUP(A58,Schlußkurse!A$5:AU$105,44,FALSE),""),"")</f>
        <v>2.6469282488944968E-2</v>
      </c>
      <c r="M58" s="71">
        <f>IF(VLOOKUP(A58,Schlußkurse!A$5:AU$105,45,FALSE)&gt;0,IF(VLOOKUP(A58,Dividende_je_Aktie!A$3:AM$103,17,FALSE)&lt;&gt;"",VLOOKUP(A58,Dividende_je_Aktie!A$3:AM$103,17,FALSE)/VLOOKUP(A58,Schlußkurse!A$5:AU$105,45,FALSE),""),"")</f>
        <v>2.2787260189722172E-2</v>
      </c>
      <c r="N58" s="71" t="str">
        <f>IF(VLOOKUP(A58,Schlußkurse!A$5:AU$105,46,FALSE)&gt;0,IF(VLOOKUP(A58,Dividende_je_Aktie!A$3:AM$103,18,FALSE)&lt;&gt;"",VLOOKUP(A58,Dividende_je_Aktie!A$3:AM$103,18,FALSE)/VLOOKUP(A58,Schlußkurse!A$5:AU$105,46,FALSE),""),"")</f>
        <v/>
      </c>
      <c r="O58" s="71" t="str">
        <f>IF(VLOOKUP(A58,Schlußkurse!A$5:AU$105,47,FALSE)&gt;0,IF(VLOOKUP(A58,Dividende_je_Aktie!A$3:AM$103,19,FALSE)&lt;&gt;"",VLOOKUP(A58,Dividende_je_Aktie!A$3:AM$103,19,FALSE)/VLOOKUP(A58,Schlußkurse!A$5:AU$105,47,FALSE),""),"")</f>
        <v/>
      </c>
      <c r="P58" s="71">
        <f t="shared" si="2"/>
        <v>2.3591749842856866E-2</v>
      </c>
      <c r="Q58" s="5">
        <f ca="1">VLOOKUP(A58,Dividende_je_Aktie!A$3:AM$103,24,FALSE)/VLOOKUP(A58,Schlußkurse!A$5:AU$105,35,FALSE)</f>
        <v>2.137844665129925E-2</v>
      </c>
      <c r="R58" s="5">
        <f t="shared" ca="1" si="3"/>
        <v>-9.3816830302978271E-2</v>
      </c>
    </row>
    <row r="59" spans="1:18">
      <c r="A59" t="s">
        <v>87</v>
      </c>
      <c r="B59" s="38" t="s">
        <v>88</v>
      </c>
      <c r="C59" s="71">
        <f>IF(VLOOKUP(A59,Schlußkurse!A$5:AU$105,35,FALSE)&gt;0,IF(VLOOKUP(A59,Dividende_je_Aktie!A$3:AM$103,7,FALSE)&lt;&gt;"",VLOOKUP(A59,Dividende_je_Aktie!A$3:AM$103,7,FALSE)/VLOOKUP(A59,Schlußkurse!A$5:AU$105,35,FALSE),""),"")</f>
        <v>2.2425494246090291E-2</v>
      </c>
      <c r="D59" s="71">
        <f>IF(VLOOKUP(A59,Schlußkurse!A$5:AU$105,36,FALSE)&gt;0,IF(VLOOKUP(A59,Dividende_je_Aktie!A$3:AM$103,8,FALSE)&lt;&gt;"",VLOOKUP(A59,Dividende_je_Aktie!A$3:AM$103,8,FALSE)/VLOOKUP(A59,Schlußkurse!A$5:AU$105,36,FALSE),""),"")</f>
        <v>2.0802596636175862E-2</v>
      </c>
      <c r="E59" s="71">
        <f>IF(VLOOKUP(A59,Schlußkurse!A$5:AU$105,37,FALSE)&gt;0,IF(VLOOKUP(A59,Dividende_je_Aktie!A$3:AM$103,9,FALSE)&lt;&gt;"",VLOOKUP(A59,Dividende_je_Aktie!A$3:AM$103,9,FALSE)/VLOOKUP(A59,Schlußkurse!A$5:AU$105,37,FALSE),""),"")</f>
        <v>2.2130234039165735E-2</v>
      </c>
      <c r="F59" s="71">
        <f>IF(VLOOKUP(A59,Schlußkurse!A$5:AU$105,38,FALSE)&gt;0,IF(VLOOKUP(A59,Dividende_je_Aktie!A$3:AM$103,10,FALSE)&lt;&gt;"",VLOOKUP(A59,Dividende_je_Aktie!A$3:AM$103,10,FALSE)/VLOOKUP(A59,Schlußkurse!A$5:AU$105,38,FALSE),""),"")</f>
        <v>2.6679462571976963E-2</v>
      </c>
      <c r="G59" s="71">
        <f>IF(VLOOKUP(A59,Schlußkurse!A$5:AU$105,39,FALSE)&gt;0,IF(VLOOKUP(A59,Dividende_je_Aktie!A$3:AM$103,11,FALSE)&lt;&gt;"",VLOOKUP(A59,Dividende_je_Aktie!A$3:AM$103,11,FALSE)/VLOOKUP(A59,Schlußkurse!A$5:AU$105,39,FALSE),""),"")</f>
        <v>2.9407894581498832E-2</v>
      </c>
      <c r="H59" s="71">
        <f>IF(VLOOKUP(A59,Schlußkurse!A$5:AU$105,40,FALSE)&gt;0,IF(VLOOKUP(A59,Dividende_je_Aktie!A$3:AM$103,12,FALSE)&lt;&gt;"",VLOOKUP(A59,Dividende_je_Aktie!A$3:AM$103,12,FALSE)/VLOOKUP(A59,Schlußkurse!A$5:AU$105,40,FALSE),""),"")</f>
        <v>3.5541503989135977E-2</v>
      </c>
      <c r="I59" s="71">
        <f>IF(VLOOKUP(A59,Schlußkurse!A$5:AU$105,41,FALSE)&gt;0,IF(VLOOKUP(A59,Dividende_je_Aktie!A$3:AM$103,13,FALSE)&lt;&gt;"",VLOOKUP(A59,Dividende_je_Aktie!A$3:AM$103,13,FALSE)/VLOOKUP(A59,Schlußkurse!A$5:AU$105,41,FALSE),""),"")</f>
        <v>4.0442093554533251E-2</v>
      </c>
      <c r="J59" s="71">
        <f>IF(VLOOKUP(A59,Schlußkurse!A$5:AU$105,42,FALSE)&gt;0,IF(VLOOKUP(A59,Dividende_je_Aktie!A$3:AM$103,14,FALSE)&lt;&gt;"",VLOOKUP(A59,Dividende_je_Aktie!A$3:AM$103,14,FALSE)/VLOOKUP(A59,Schlußkurse!A$5:AU$105,42,FALSE),""),"")</f>
        <v>3.3565215462414838E-2</v>
      </c>
      <c r="K59" s="71">
        <f>IF(VLOOKUP(A59,Schlußkurse!A$5:AU$105,43,FALSE)&gt;0,IF(VLOOKUP(A59,Dividende_je_Aktie!A$3:AM$103,15,FALSE)&lt;&gt;"",VLOOKUP(A59,Dividende_je_Aktie!A$3:AM$103,15,FALSE)/VLOOKUP(A59,Schlußkurse!A$5:AU$105,43,FALSE),""),"")</f>
        <v>3.0656941467314798E-2</v>
      </c>
      <c r="L59" s="71">
        <f>IF(VLOOKUP(A59,Schlußkurse!A$5:AU$105,44,FALSE)&gt;0,IF(VLOOKUP(A59,Dividende_je_Aktie!A$3:AM$103,16,FALSE)&lt;&gt;"",VLOOKUP(A59,Dividende_je_Aktie!A$3:AM$103,16,FALSE)/VLOOKUP(A59,Schlußkurse!A$5:AU$105,44,FALSE),""),"")</f>
        <v>2.4743406879784557E-2</v>
      </c>
      <c r="M59" s="71">
        <f>IF(VLOOKUP(A59,Schlußkurse!A$5:AU$105,45,FALSE)&gt;0,IF(VLOOKUP(A59,Dividende_je_Aktie!A$3:AM$103,17,FALSE)&lt;&gt;"",VLOOKUP(A59,Dividende_je_Aktie!A$3:AM$103,17,FALSE)/VLOOKUP(A59,Schlußkurse!A$5:AU$105,45,FALSE),""),"")</f>
        <v>1.7653515856564477E-2</v>
      </c>
      <c r="N59" s="71">
        <f>IF(VLOOKUP(A59,Schlußkurse!A$5:AU$105,46,FALSE)&gt;0,IF(VLOOKUP(A59,Dividende_je_Aktie!A$3:AM$103,18,FALSE)&lt;&gt;"",VLOOKUP(A59,Dividende_je_Aktie!A$3:AM$103,18,FALSE)/VLOOKUP(A59,Schlußkurse!A$5:AU$105,46,FALSE),""),"")</f>
        <v>1.8513955334641945E-2</v>
      </c>
      <c r="O59" s="71">
        <f>IF(VLOOKUP(A59,Schlußkurse!A$5:AU$105,47,FALSE)&gt;0,IF(VLOOKUP(A59,Dividende_je_Aktie!A$3:AM$103,19,FALSE)&lt;&gt;"",VLOOKUP(A59,Dividende_je_Aktie!A$3:AM$103,19,FALSE)/VLOOKUP(A59,Schlußkurse!A$5:AU$105,47,FALSE),""),"")</f>
        <v>1.9290878040389738E-2</v>
      </c>
      <c r="P59" s="71">
        <f t="shared" si="2"/>
        <v>2.6296399435360565E-2</v>
      </c>
      <c r="Q59" s="5">
        <f ca="1">VLOOKUP(A59,Dividende_je_Aktie!A$3:AM$103,24,FALSE)/VLOOKUP(A59,Schlußkurse!A$5:AU$105,35,FALSE)</f>
        <v>2.1289465919150194E-2</v>
      </c>
      <c r="R59" s="5">
        <f t="shared" ca="1" si="3"/>
        <v>-0.1904037671970249</v>
      </c>
    </row>
    <row r="60" spans="1:18">
      <c r="A60" t="s">
        <v>252</v>
      </c>
      <c r="B60" s="38" t="s">
        <v>253</v>
      </c>
      <c r="C60" s="71">
        <f>IF(VLOOKUP(A60,Schlußkurse!A$5:AU$105,35,FALSE)&gt;0,IF(VLOOKUP(A60,Dividende_je_Aktie!A$3:AM$103,7,FALSE)&lt;&gt;"",VLOOKUP(A60,Dividende_je_Aktie!A$3:AM$103,7,FALSE)/VLOOKUP(A60,Schlußkurse!A$5:AU$105,35,FALSE),""),"")</f>
        <v>2.2783815634411418E-2</v>
      </c>
      <c r="D60" s="71">
        <f>IF(VLOOKUP(A60,Schlußkurse!A$5:AU$105,36,FALSE)&gt;0,IF(VLOOKUP(A60,Dividende_je_Aktie!A$3:AM$103,8,FALSE)&lt;&gt;"",VLOOKUP(A60,Dividende_je_Aktie!A$3:AM$103,8,FALSE)/VLOOKUP(A60,Schlußkurse!A$5:AU$105,36,FALSE),""),"")</f>
        <v>1.9641220374492601E-2</v>
      </c>
      <c r="E60" s="71">
        <f>IF(VLOOKUP(A60,Schlußkurse!A$5:AU$105,37,FALSE)&gt;0,IF(VLOOKUP(A60,Dividende_je_Aktie!A$3:AM$103,9,FALSE)&lt;&gt;"",VLOOKUP(A60,Dividende_je_Aktie!A$3:AM$103,9,FALSE)/VLOOKUP(A60,Schlußkurse!A$5:AU$105,37,FALSE),""),"")</f>
        <v>1.6386836803223639E-2</v>
      </c>
      <c r="F60" s="71">
        <f>IF(VLOOKUP(A60,Schlußkurse!A$5:AU$105,38,FALSE)&gt;0,IF(VLOOKUP(A60,Dividende_je_Aktie!A$3:AM$103,10,FALSE)&lt;&gt;"",VLOOKUP(A60,Dividende_je_Aktie!A$3:AM$103,10,FALSE)/VLOOKUP(A60,Schlußkurse!A$5:AU$105,38,FALSE),""),"")</f>
        <v>1.9041142468548114E-2</v>
      </c>
      <c r="G60" s="71">
        <f>IF(VLOOKUP(A60,Schlußkurse!A$5:AU$105,39,FALSE)&gt;0,IF(VLOOKUP(A60,Dividende_je_Aktie!A$3:AM$103,11,FALSE)&lt;&gt;"",VLOOKUP(A60,Dividende_je_Aktie!A$3:AM$103,11,FALSE)/VLOOKUP(A60,Schlußkurse!A$5:AU$105,39,FALSE),""),"")</f>
        <v>2.2269807280513917E-2</v>
      </c>
      <c r="H60" s="71">
        <f>IF(VLOOKUP(A60,Schlußkurse!A$5:AU$105,40,FALSE)&gt;0,IF(VLOOKUP(A60,Dividende_je_Aktie!A$3:AM$103,12,FALSE)&lt;&gt;"",VLOOKUP(A60,Dividende_je_Aktie!A$3:AM$103,12,FALSE)/VLOOKUP(A60,Schlußkurse!A$5:AU$105,40,FALSE),""),"")</f>
        <v>2.5392670157068059E-2</v>
      </c>
      <c r="I60" s="71">
        <f>IF(VLOOKUP(A60,Schlußkurse!A$5:AU$105,41,FALSE)&gt;0,IF(VLOOKUP(A60,Dividende_je_Aktie!A$3:AM$103,13,FALSE)&lt;&gt;"",VLOOKUP(A60,Dividende_je_Aktie!A$3:AM$103,13,FALSE)/VLOOKUP(A60,Schlußkurse!A$5:AU$105,41,FALSE),""),"")</f>
        <v>2.1556886227544911E-2</v>
      </c>
      <c r="J60" s="71">
        <f>IF(VLOOKUP(A60,Schlußkurse!A$5:AU$105,42,FALSE)&gt;0,IF(VLOOKUP(A60,Dividende_je_Aktie!A$3:AM$103,14,FALSE)&lt;&gt;"",VLOOKUP(A60,Dividende_je_Aktie!A$3:AM$103,14,FALSE)/VLOOKUP(A60,Schlußkurse!A$5:AU$105,42,FALSE),""),"")</f>
        <v>1.8768596932936598E-2</v>
      </c>
      <c r="K60" s="71">
        <f>IF(VLOOKUP(A60,Schlußkurse!A$5:AU$105,43,FALSE)&gt;0,IF(VLOOKUP(A60,Dividende_je_Aktie!A$3:AM$103,15,FALSE)&lt;&gt;"",VLOOKUP(A60,Dividende_je_Aktie!A$3:AM$103,15,FALSE)/VLOOKUP(A60,Schlußkurse!A$5:AU$105,43,FALSE),""),"")</f>
        <v>2.34375E-2</v>
      </c>
      <c r="L60" s="71">
        <f>IF(VLOOKUP(A60,Schlußkurse!A$5:AU$105,44,FALSE)&gt;0,IF(VLOOKUP(A60,Dividende_je_Aktie!A$3:AM$103,16,FALSE)&lt;&gt;"",VLOOKUP(A60,Dividende_je_Aktie!A$3:AM$103,16,FALSE)/VLOOKUP(A60,Schlußkurse!A$5:AU$105,44,FALSE),""),"")</f>
        <v>1.0271158586688579E-2</v>
      </c>
      <c r="M60" s="71">
        <f>IF(VLOOKUP(A60,Schlußkurse!A$5:AU$105,45,FALSE)&gt;0,IF(VLOOKUP(A60,Dividende_je_Aktie!A$3:AM$103,17,FALSE)&lt;&gt;"",VLOOKUP(A60,Dividende_je_Aktie!A$3:AM$103,17,FALSE)/VLOOKUP(A60,Schlußkurse!A$5:AU$105,45,FALSE),""),"")</f>
        <v>8.3065886350764586E-3</v>
      </c>
      <c r="N60" s="71">
        <f>IF(VLOOKUP(A60,Schlußkurse!A$5:AU$105,46,FALSE)&gt;0,IF(VLOOKUP(A60,Dividende_je_Aktie!A$3:AM$103,18,FALSE)&lt;&gt;"",VLOOKUP(A60,Dividende_je_Aktie!A$3:AM$103,18,FALSE)/VLOOKUP(A60,Schlußkurse!A$5:AU$105,46,FALSE),""),"")</f>
        <v>7.7813248204309663E-3</v>
      </c>
      <c r="O60" s="71">
        <f>IF(VLOOKUP(A60,Schlußkurse!A$5:AU$105,47,FALSE)&gt;0,IF(VLOOKUP(A60,Dividende_je_Aktie!A$3:AM$103,19,FALSE)&lt;&gt;"",VLOOKUP(A60,Dividende_je_Aktie!A$3:AM$103,19,FALSE)/VLOOKUP(A60,Schlußkurse!A$5:AU$105,47,FALSE),""),"")</f>
        <v>8.4158415841584164E-3</v>
      </c>
      <c r="P60" s="71">
        <f t="shared" si="2"/>
        <v>1.723487611577644E-2</v>
      </c>
      <c r="Q60" s="5">
        <f ca="1">VLOOKUP(A60,Dividende_je_Aktie!A$3:AM$103,24,FALSE)/VLOOKUP(A60,Schlußkurse!A$5:AU$105,35,FALSE)</f>
        <v>2.2687791890358345E-2</v>
      </c>
      <c r="R60" s="5">
        <f t="shared" ca="1" si="3"/>
        <v>0.31638845199417598</v>
      </c>
    </row>
    <row r="61" spans="1:18">
      <c r="A61" t="s">
        <v>89</v>
      </c>
      <c r="B61" s="38" t="s">
        <v>90</v>
      </c>
      <c r="C61" s="71">
        <f>IF(VLOOKUP(A61,Schlußkurse!A$5:AU$105,35,FALSE)&gt;0,IF(VLOOKUP(A61,Dividende_je_Aktie!A$3:AM$103,7,FALSE)&lt;&gt;"",VLOOKUP(A61,Dividende_je_Aktie!A$3:AM$103,7,FALSE)/VLOOKUP(A61,Schlußkurse!A$5:AU$105,35,FALSE),""),"")</f>
        <v>4.0752351097178688E-2</v>
      </c>
      <c r="D61" s="71">
        <f>IF(VLOOKUP(A61,Schlußkurse!A$5:AU$105,36,FALSE)&gt;0,IF(VLOOKUP(A61,Dividende_je_Aktie!A$3:AM$103,8,FALSE)&lt;&gt;"",VLOOKUP(A61,Dividende_je_Aktie!A$3:AM$103,8,FALSE)/VLOOKUP(A61,Schlußkurse!A$5:AU$105,36,FALSE),""),"")</f>
        <v>3.7304075235109715E-2</v>
      </c>
      <c r="E61" s="71">
        <f>IF(VLOOKUP(A61,Schlußkurse!A$5:AU$105,37,FALSE)&gt;0,IF(VLOOKUP(A61,Dividende_je_Aktie!A$3:AM$103,9,FALSE)&lt;&gt;"",VLOOKUP(A61,Dividende_je_Aktie!A$3:AM$103,9,FALSE)/VLOOKUP(A61,Schlußkurse!A$5:AU$105,37,FALSE),""),"")</f>
        <v>3.7278818072496132E-2</v>
      </c>
      <c r="F61" s="71">
        <f>IF(VLOOKUP(A61,Schlußkurse!A$5:AU$105,38,FALSE)&gt;0,IF(VLOOKUP(A61,Dividende_je_Aktie!A$3:AM$103,10,FALSE)&lt;&gt;"",VLOOKUP(A61,Dividende_je_Aktie!A$3:AM$103,10,FALSE)/VLOOKUP(A61,Schlußkurse!A$5:AU$105,38,FALSE),""),"")</f>
        <v>4.0592652729855891E-2</v>
      </c>
      <c r="G61" s="71">
        <f>IF(VLOOKUP(A61,Schlußkurse!A$5:AU$105,39,FALSE)&gt;0,IF(VLOOKUP(A61,Dividende_je_Aktie!A$3:AM$103,11,FALSE)&lt;&gt;"",VLOOKUP(A61,Dividende_je_Aktie!A$3:AM$103,11,FALSE)/VLOOKUP(A61,Schlußkurse!A$5:AU$105,39,FALSE),""),"")</f>
        <v>4.7929148215681165E-2</v>
      </c>
      <c r="H61" s="71">
        <f>IF(VLOOKUP(A61,Schlußkurse!A$5:AU$105,40,FALSE)&gt;0,IF(VLOOKUP(A61,Dividende_je_Aktie!A$3:AM$103,12,FALSE)&lt;&gt;"",VLOOKUP(A61,Dividende_je_Aktie!A$3:AM$103,12,FALSE)/VLOOKUP(A61,Schlußkurse!A$5:AU$105,40,FALSE),""),"")</f>
        <v>5.407124681933842E-2</v>
      </c>
      <c r="I61" s="71">
        <f>IF(VLOOKUP(A61,Schlußkurse!A$5:AU$105,41,FALSE)&gt;0,IF(VLOOKUP(A61,Dividende_je_Aktie!A$3:AM$103,13,FALSE)&lt;&gt;"",VLOOKUP(A61,Dividende_je_Aktie!A$3:AM$103,13,FALSE)/VLOOKUP(A61,Schlußkurse!A$5:AU$105,41,FALSE),""),"")</f>
        <v>5.3288364249578418E-2</v>
      </c>
      <c r="J61" s="71">
        <f>IF(VLOOKUP(A61,Schlußkurse!A$5:AU$105,42,FALSE)&gt;0,IF(VLOOKUP(A61,Dividende_je_Aktie!A$3:AM$103,14,FALSE)&lt;&gt;"",VLOOKUP(A61,Dividende_je_Aktie!A$3:AM$103,14,FALSE)/VLOOKUP(A61,Schlußkurse!A$5:AU$105,42,FALSE),""),"")</f>
        <v>5.9301380991064169E-2</v>
      </c>
      <c r="K61" s="71">
        <f>IF(VLOOKUP(A61,Schlußkurse!A$5:AU$105,43,FALSE)&gt;0,IF(VLOOKUP(A61,Dividende_je_Aktie!A$3:AM$103,15,FALSE)&lt;&gt;"",VLOOKUP(A61,Dividende_je_Aktie!A$3:AM$103,15,FALSE)/VLOOKUP(A61,Schlußkurse!A$5:AU$105,43,FALSE),""),"")</f>
        <v>6.7244014263881824E-2</v>
      </c>
      <c r="L61" s="71">
        <f>IF(VLOOKUP(A61,Schlußkurse!A$5:AU$105,44,FALSE)&gt;0,IF(VLOOKUP(A61,Dividende_je_Aktie!A$3:AM$103,16,FALSE)&lt;&gt;"",VLOOKUP(A61,Dividende_je_Aktie!A$3:AM$103,16,FALSE)/VLOOKUP(A61,Schlußkurse!A$5:AU$105,44,FALSE),""),"")</f>
        <v>0.11154011154011155</v>
      </c>
      <c r="M61" s="71">
        <f>IF(VLOOKUP(A61,Schlußkurse!A$5:AU$105,45,FALSE)&gt;0,IF(VLOOKUP(A61,Dividende_je_Aktie!A$3:AM$103,17,FALSE)&lt;&gt;"",VLOOKUP(A61,Dividende_je_Aktie!A$3:AM$103,17,FALSE)/VLOOKUP(A61,Schlußkurse!A$5:AU$105,45,FALSE),""),"")</f>
        <v>3.9289289289289292E-2</v>
      </c>
      <c r="N61" s="71">
        <f>IF(VLOOKUP(A61,Schlußkurse!A$5:AU$105,46,FALSE)&gt;0,IF(VLOOKUP(A61,Dividende_je_Aktie!A$3:AM$103,18,FALSE)&lt;&gt;"",VLOOKUP(A61,Dividende_je_Aktie!A$3:AM$103,18,FALSE)/VLOOKUP(A61,Schlußkurse!A$5:AU$105,46,FALSE),""),"")</f>
        <v>3.7112760567136312E-2</v>
      </c>
      <c r="O61" s="71">
        <f>IF(VLOOKUP(A61,Schlußkurse!A$5:AU$105,47,FALSE)&gt;0,IF(VLOOKUP(A61,Dividende_je_Aktie!A$3:AM$103,19,FALSE)&lt;&gt;"",VLOOKUP(A61,Dividende_je_Aktie!A$3:AM$103,19,FALSE)/VLOOKUP(A61,Schlußkurse!A$5:AU$105,47,FALSE),""),"")</f>
        <v>3.9266725742135578E-2</v>
      </c>
      <c r="P61" s="71">
        <f t="shared" si="2"/>
        <v>5.1151610677912102E-2</v>
      </c>
      <c r="Q61" s="5">
        <f ca="1">VLOOKUP(A61,Dividende_je_Aktie!A$3:AM$103,24,FALSE)/VLOOKUP(A61,Schlußkurse!A$5:AU$105,35,FALSE)</f>
        <v>3.8338557993730406E-2</v>
      </c>
      <c r="R61" s="5">
        <f t="shared" ca="1" si="3"/>
        <v>-0.25049167590952381</v>
      </c>
    </row>
    <row r="62" spans="1:18">
      <c r="A62" t="s">
        <v>92</v>
      </c>
      <c r="B62" s="38" t="s">
        <v>93</v>
      </c>
      <c r="C62" s="71">
        <f>IF(VLOOKUP(A62,Schlußkurse!A$5:AU$105,35,FALSE)&gt;0,IF(VLOOKUP(A62,Dividende_je_Aktie!A$3:AM$103,7,FALSE)&lt;&gt;"",VLOOKUP(A62,Dividende_je_Aktie!A$3:AM$103,7,FALSE)/VLOOKUP(A62,Schlußkurse!A$5:AU$105,35,FALSE),""),"")</f>
        <v>2.9541864139020539E-2</v>
      </c>
      <c r="D62" s="71">
        <f>IF(VLOOKUP(A62,Schlußkurse!A$5:AU$105,36,FALSE)&gt;0,IF(VLOOKUP(A62,Dividende_je_Aktie!A$3:AM$103,8,FALSE)&lt;&gt;"",VLOOKUP(A62,Dividende_je_Aktie!A$3:AM$103,8,FALSE)/VLOOKUP(A62,Schlußkurse!A$5:AU$105,36,FALSE),""),"")</f>
        <v>2.7804107424960506E-2</v>
      </c>
      <c r="E62" s="71">
        <f>IF(VLOOKUP(A62,Schlußkurse!A$5:AU$105,37,FALSE)&gt;0,IF(VLOOKUP(A62,Dividende_je_Aktie!A$3:AM$103,9,FALSE)&lt;&gt;"",VLOOKUP(A62,Dividende_je_Aktie!A$3:AM$103,9,FALSE)/VLOOKUP(A62,Schlußkurse!A$5:AU$105,37,FALSE),""),"")</f>
        <v>2.9741763134461262E-2</v>
      </c>
      <c r="F62" s="71">
        <f>IF(VLOOKUP(A62,Schlußkurse!A$5:AU$105,38,FALSE)&gt;0,IF(VLOOKUP(A62,Dividende_je_Aktie!A$3:AM$103,10,FALSE)&lt;&gt;"",VLOOKUP(A62,Dividende_je_Aktie!A$3:AM$103,10,FALSE)/VLOOKUP(A62,Schlußkurse!A$5:AU$105,38,FALSE),""),"")</f>
        <v>2.8217731658474424E-2</v>
      </c>
      <c r="G62" s="71">
        <f>IF(VLOOKUP(A62,Schlußkurse!A$5:AU$105,39,FALSE)&gt;0,IF(VLOOKUP(A62,Dividende_je_Aktie!A$3:AM$103,11,FALSE)&lt;&gt;"",VLOOKUP(A62,Dividende_je_Aktie!A$3:AM$103,11,FALSE)/VLOOKUP(A62,Schlußkurse!A$5:AU$105,39,FALSE),""),"")</f>
        <v>2.8037383177570097E-2</v>
      </c>
      <c r="H62" s="71">
        <f>IF(VLOOKUP(A62,Schlußkurse!A$5:AU$105,40,FALSE)&gt;0,IF(VLOOKUP(A62,Dividende_je_Aktie!A$3:AM$103,12,FALSE)&lt;&gt;"",VLOOKUP(A62,Dividende_je_Aktie!A$3:AM$103,12,FALSE)/VLOOKUP(A62,Schlußkurse!A$5:AU$105,40,FALSE),""),"")</f>
        <v>3.1833007175472924E-2</v>
      </c>
      <c r="I62" s="71">
        <f>IF(VLOOKUP(A62,Schlußkurse!A$5:AU$105,41,FALSE)&gt;0,IF(VLOOKUP(A62,Dividende_je_Aktie!A$3:AM$103,13,FALSE)&lt;&gt;"",VLOOKUP(A62,Dividende_je_Aktie!A$3:AM$103,13,FALSE)/VLOOKUP(A62,Schlußkurse!A$5:AU$105,41,FALSE),""),"")</f>
        <v>2.8161931103847123E-2</v>
      </c>
      <c r="J62" s="71">
        <f>IF(VLOOKUP(A62,Schlußkurse!A$5:AU$105,42,FALSE)&gt;0,IF(VLOOKUP(A62,Dividende_je_Aktie!A$3:AM$103,14,FALSE)&lt;&gt;"",VLOOKUP(A62,Dividende_je_Aktie!A$3:AM$103,14,FALSE)/VLOOKUP(A62,Schlußkurse!A$5:AU$105,42,FALSE),""),"")</f>
        <v>2.6954934718517475E-2</v>
      </c>
      <c r="K62" s="71">
        <f>IF(VLOOKUP(A62,Schlußkurse!A$5:AU$105,43,FALSE)&gt;0,IF(VLOOKUP(A62,Dividende_je_Aktie!A$3:AM$103,15,FALSE)&lt;&gt;"",VLOOKUP(A62,Dividende_je_Aktie!A$3:AM$103,15,FALSE)/VLOOKUP(A62,Schlußkurse!A$5:AU$105,43,FALSE),""),"")</f>
        <v>3.3606877686596329E-2</v>
      </c>
      <c r="L62" s="71">
        <f>IF(VLOOKUP(A62,Schlußkurse!A$5:AU$105,44,FALSE)&gt;0,IF(VLOOKUP(A62,Dividende_je_Aktie!A$3:AM$103,16,FALSE)&lt;&gt;"",VLOOKUP(A62,Dividende_je_Aktie!A$3:AM$103,16,FALSE)/VLOOKUP(A62,Schlußkurse!A$5:AU$105,44,FALSE),""),"")</f>
        <v>2.5000000000000001E-2</v>
      </c>
      <c r="M62" s="71">
        <f>IF(VLOOKUP(A62,Schlußkurse!A$5:AU$105,45,FALSE)&gt;0,IF(VLOOKUP(A62,Dividende_je_Aktie!A$3:AM$103,17,FALSE)&lt;&gt;"",VLOOKUP(A62,Dividende_je_Aktie!A$3:AM$103,17,FALSE)/VLOOKUP(A62,Schlußkurse!A$5:AU$105,45,FALSE),""),"")</f>
        <v>2.3529411764705882E-2</v>
      </c>
      <c r="N62" s="71">
        <f>IF(VLOOKUP(A62,Schlußkurse!A$5:AU$105,46,FALSE)&gt;0,IF(VLOOKUP(A62,Dividende_je_Aktie!A$3:AM$103,18,FALSE)&lt;&gt;"",VLOOKUP(A62,Dividende_je_Aktie!A$3:AM$103,18,FALSE)/VLOOKUP(A62,Schlußkurse!A$5:AU$105,46,FALSE),""),"")</f>
        <v>2.5823858161495471E-2</v>
      </c>
      <c r="O62" s="71">
        <f>IF(VLOOKUP(A62,Schlußkurse!A$5:AU$105,47,FALSE)&gt;0,IF(VLOOKUP(A62,Dividende_je_Aktie!A$3:AM$103,19,FALSE)&lt;&gt;"",VLOOKUP(A62,Dividende_je_Aktie!A$3:AM$103,19,FALSE)/VLOOKUP(A62,Schlußkurse!A$5:AU$105,47,FALSE),""),"")</f>
        <v>2.5050505050505049E-2</v>
      </c>
      <c r="P62" s="71">
        <f t="shared" si="2"/>
        <v>2.79464134765867E-2</v>
      </c>
      <c r="Q62" s="5">
        <f ca="1">VLOOKUP(A62,Dividende_je_Aktie!A$3:AM$103,24,FALSE)/VLOOKUP(A62,Schlußkurse!A$5:AU$105,35,FALSE)</f>
        <v>2.9339125855713539E-2</v>
      </c>
      <c r="R62" s="5">
        <f t="shared" ca="1" si="3"/>
        <v>4.9835102464709458E-2</v>
      </c>
    </row>
    <row r="63" spans="1:18">
      <c r="A63" t="s">
        <v>323</v>
      </c>
      <c r="B63" s="38" t="s">
        <v>324</v>
      </c>
      <c r="C63" s="71">
        <f>IF(VLOOKUP(A63,Schlußkurse!A$5:AU$105,35,FALSE)&gt;0,IF(VLOOKUP(A63,Dividende_je_Aktie!A$3:AM$103,7,FALSE)&lt;&gt;"",VLOOKUP(A63,Dividende_je_Aktie!A$3:AM$103,7,FALSE)/VLOOKUP(A63,Schlußkurse!A$5:AU$105,35,FALSE),""),"")</f>
        <v>2.8210434593181569E-2</v>
      </c>
      <c r="D63" s="71">
        <f>IF(VLOOKUP(A63,Schlußkurse!A$5:AU$105,36,FALSE)&gt;0,IF(VLOOKUP(A63,Dividende_je_Aktie!A$3:AM$103,8,FALSE)&lt;&gt;"",VLOOKUP(A63,Dividende_je_Aktie!A$3:AM$103,8,FALSE)/VLOOKUP(A63,Schlußkurse!A$5:AU$105,36,FALSE),""),"")</f>
        <v>2.6140943252369021E-2</v>
      </c>
      <c r="E63" s="71">
        <f>IF(VLOOKUP(A63,Schlußkurse!A$5:AU$105,37,FALSE)&gt;0,IF(VLOOKUP(A63,Dividende_je_Aktie!A$3:AM$103,9,FALSE)&lt;&gt;"",VLOOKUP(A63,Dividende_je_Aktie!A$3:AM$103,9,FALSE)/VLOOKUP(A63,Schlußkurse!A$5:AU$105,37,FALSE),""),"")</f>
        <v>2.509241626526269E-2</v>
      </c>
      <c r="F63" s="71">
        <f>IF(VLOOKUP(A63,Schlußkurse!A$5:AU$105,38,FALSE)&gt;0,IF(VLOOKUP(A63,Dividende_je_Aktie!A$3:AM$103,10,FALSE)&lt;&gt;"",VLOOKUP(A63,Dividende_je_Aktie!A$3:AM$103,10,FALSE)/VLOOKUP(A63,Schlußkurse!A$5:AU$105,38,FALSE),""),"")</f>
        <v>1.9628596170499373E-2</v>
      </c>
      <c r="G63" s="71">
        <f>IF(VLOOKUP(A63,Schlußkurse!A$5:AU$105,39,FALSE)&gt;0,IF(VLOOKUP(A63,Dividende_je_Aktie!A$3:AM$103,11,FALSE)&lt;&gt;"",VLOOKUP(A63,Dividende_je_Aktie!A$3:AM$103,11,FALSE)/VLOOKUP(A63,Schlußkurse!A$5:AU$105,39,FALSE),""),"")</f>
        <v>1.8615653604854468E-2</v>
      </c>
      <c r="H63" s="71">
        <f>IF(VLOOKUP(A63,Schlußkurse!A$5:AU$105,40,FALSE)&gt;0,IF(VLOOKUP(A63,Dividende_je_Aktie!A$3:AM$103,12,FALSE)&lt;&gt;"",VLOOKUP(A63,Dividende_je_Aktie!A$3:AM$103,12,FALSE)/VLOOKUP(A63,Schlußkurse!A$5:AU$105,40,FALSE),""),"")</f>
        <v>2.1600664635834949E-2</v>
      </c>
      <c r="I63" s="71">
        <f>IF(VLOOKUP(A63,Schlußkurse!A$5:AU$105,41,FALSE)&gt;0,IF(VLOOKUP(A63,Dividende_je_Aktie!A$3:AM$103,13,FALSE)&lt;&gt;"",VLOOKUP(A63,Dividende_je_Aktie!A$3:AM$103,13,FALSE)/VLOOKUP(A63,Schlußkurse!A$5:AU$105,41,FALSE),""),"")</f>
        <v>2.2337325995467786E-2</v>
      </c>
      <c r="J63" s="71">
        <f>IF(VLOOKUP(A63,Schlußkurse!A$5:AU$105,42,FALSE)&gt;0,IF(VLOOKUP(A63,Dividende_je_Aktie!A$3:AM$103,14,FALSE)&lt;&gt;"",VLOOKUP(A63,Dividende_je_Aktie!A$3:AM$103,14,FALSE)/VLOOKUP(A63,Schlußkurse!A$5:AU$105,42,FALSE),""),"")</f>
        <v>2.7147401908801699E-2</v>
      </c>
      <c r="K63" s="71">
        <f>IF(VLOOKUP(A63,Schlußkurse!A$5:AU$105,43,FALSE)&gt;0,IF(VLOOKUP(A63,Dividende_je_Aktie!A$3:AM$103,15,FALSE)&lt;&gt;"",VLOOKUP(A63,Dividende_je_Aktie!A$3:AM$103,15,FALSE)/VLOOKUP(A63,Schlußkurse!A$5:AU$105,43,FALSE),""),"")</f>
        <v>3.3249511036602404E-2</v>
      </c>
      <c r="L63" s="71">
        <f>IF(VLOOKUP(A63,Schlußkurse!A$5:AU$105,44,FALSE)&gt;0,IF(VLOOKUP(A63,Dividende_je_Aktie!A$3:AM$103,16,FALSE)&lt;&gt;"",VLOOKUP(A63,Dividende_je_Aktie!A$3:AM$103,16,FALSE)/VLOOKUP(A63,Schlußkurse!A$5:AU$105,44,FALSE),""),"")</f>
        <v>3.4254461715601606E-2</v>
      </c>
      <c r="M63" s="71">
        <f>IF(VLOOKUP(A63,Schlußkurse!A$5:AU$105,45,FALSE)&gt;0,IF(VLOOKUP(A63,Dividende_je_Aktie!A$3:AM$103,17,FALSE)&lt;&gt;"",VLOOKUP(A63,Dividende_je_Aktie!A$3:AM$103,17,FALSE)/VLOOKUP(A63,Schlußkurse!A$5:AU$105,45,FALSE),""),"")</f>
        <v>2.8934010152284261E-2</v>
      </c>
      <c r="N63" s="71">
        <f>IF(VLOOKUP(A63,Schlußkurse!A$5:AU$105,46,FALSE)&gt;0,IF(VLOOKUP(A63,Dividende_je_Aktie!A$3:AM$103,18,FALSE)&lt;&gt;"",VLOOKUP(A63,Dividende_je_Aktie!A$3:AM$103,18,FALSE)/VLOOKUP(A63,Schlußkurse!A$5:AU$105,46,FALSE),""),"")</f>
        <v>2.0628880432605648E-2</v>
      </c>
      <c r="O63" s="71">
        <f>IF(VLOOKUP(A63,Schlußkurse!A$5:AU$105,47,FALSE)&gt;0,IF(VLOOKUP(A63,Dividende_je_Aktie!A$3:AM$103,19,FALSE)&lt;&gt;"",VLOOKUP(A63,Dividende_je_Aktie!A$3:AM$103,19,FALSE)/VLOOKUP(A63,Schlußkurse!A$5:AU$105,47,FALSE),""),"")</f>
        <v>1.6568679850347406E-2</v>
      </c>
      <c r="P63" s="71">
        <f t="shared" si="2"/>
        <v>2.4800690739516372E-2</v>
      </c>
      <c r="Q63" s="5">
        <f ca="1">VLOOKUP(A63,Dividende_je_Aktie!A$3:AM$103,24,FALSE)/VLOOKUP(A63,Schlußkurse!A$5:AU$105,35,FALSE)</f>
        <v>2.6761790654612785E-2</v>
      </c>
      <c r="R63" s="5">
        <f t="shared" ca="1" si="3"/>
        <v>7.9074407067690311E-2</v>
      </c>
    </row>
    <row r="64" spans="1:18">
      <c r="A64" t="s">
        <v>254</v>
      </c>
      <c r="B64" s="38" t="s">
        <v>255</v>
      </c>
      <c r="C64" s="71">
        <f>IF(VLOOKUP(A64,Schlußkurse!A$5:AU$105,35,FALSE)&gt;0,IF(VLOOKUP(A64,Dividende_je_Aktie!A$3:AM$103,7,FALSE)&lt;&gt;"",VLOOKUP(A64,Dividende_je_Aktie!A$3:AM$103,7,FALSE)/VLOOKUP(A64,Schlußkurse!A$5:AU$105,35,FALSE),""),"")</f>
        <v>2.7702265372168286E-2</v>
      </c>
      <c r="D64" s="71">
        <f>IF(VLOOKUP(A64,Schlußkurse!A$5:AU$105,36,FALSE)&gt;0,IF(VLOOKUP(A64,Dividende_je_Aktie!A$3:AM$103,8,FALSE)&lt;&gt;"",VLOOKUP(A64,Dividende_je_Aktie!A$3:AM$103,8,FALSE)/VLOOKUP(A64,Schlußkurse!A$5:AU$105,36,FALSE),""),"")</f>
        <v>2.6278317152103558E-2</v>
      </c>
      <c r="E64" s="71">
        <f>IF(VLOOKUP(A64,Schlußkurse!A$5:AU$105,37,FALSE)&gt;0,IF(VLOOKUP(A64,Dividende_je_Aktie!A$3:AM$103,9,FALSE)&lt;&gt;"",VLOOKUP(A64,Dividende_je_Aktie!A$3:AM$103,9,FALSE)/VLOOKUP(A64,Schlußkurse!A$5:AU$105,37,FALSE),""),"")</f>
        <v>2.7397260273972605E-2</v>
      </c>
      <c r="F64" s="71">
        <f>IF(VLOOKUP(A64,Schlußkurse!A$5:AU$105,38,FALSE)&gt;0,IF(VLOOKUP(A64,Dividende_je_Aktie!A$3:AM$103,10,FALSE)&lt;&gt;"",VLOOKUP(A64,Dividende_je_Aktie!A$3:AM$103,10,FALSE)/VLOOKUP(A64,Schlußkurse!A$5:AU$105,38,FALSE),""),"")</f>
        <v>2.9034229828850854E-2</v>
      </c>
      <c r="G64" s="71">
        <f>IF(VLOOKUP(A64,Schlußkurse!A$5:AU$105,39,FALSE)&gt;0,IF(VLOOKUP(A64,Dividende_je_Aktie!A$3:AM$103,11,FALSE)&lt;&gt;"",VLOOKUP(A64,Dividende_je_Aktie!A$3:AM$103,11,FALSE)/VLOOKUP(A64,Schlußkurse!A$5:AU$105,39,FALSE),""),"")</f>
        <v>2.9474373669559524E-2</v>
      </c>
      <c r="H64" s="71">
        <f>IF(VLOOKUP(A64,Schlußkurse!A$5:AU$105,40,FALSE)&gt;0,IF(VLOOKUP(A64,Dividende_je_Aktie!A$3:AM$103,12,FALSE)&lt;&gt;"",VLOOKUP(A64,Dividende_je_Aktie!A$3:AM$103,12,FALSE)/VLOOKUP(A64,Schlußkurse!A$5:AU$105,40,FALSE),""),"")</f>
        <v>3.1154879140555057E-2</v>
      </c>
      <c r="I64" s="71">
        <f>IF(VLOOKUP(A64,Schlußkurse!A$5:AU$105,41,FALSE)&gt;0,IF(VLOOKUP(A64,Dividende_je_Aktie!A$3:AM$103,13,FALSE)&lt;&gt;"",VLOOKUP(A64,Dividende_je_Aktie!A$3:AM$103,13,FALSE)/VLOOKUP(A64,Schlußkurse!A$5:AU$105,41,FALSE),""),"")</f>
        <v>3.3023531738184696E-2</v>
      </c>
      <c r="J64" s="71">
        <f>IF(VLOOKUP(A64,Schlußkurse!A$5:AU$105,42,FALSE)&gt;0,IF(VLOOKUP(A64,Dividende_je_Aktie!A$3:AM$103,14,FALSE)&lt;&gt;"",VLOOKUP(A64,Dividende_je_Aktie!A$3:AM$103,14,FALSE)/VLOOKUP(A64,Schlußkurse!A$5:AU$105,42,FALSE),""),"")</f>
        <v>3.054032889584965E-2</v>
      </c>
      <c r="K64" s="71">
        <f>IF(VLOOKUP(A64,Schlußkurse!A$5:AU$105,43,FALSE)&gt;0,IF(VLOOKUP(A64,Dividende_je_Aktie!A$3:AM$103,15,FALSE)&lt;&gt;"",VLOOKUP(A64,Dividende_je_Aktie!A$3:AM$103,15,FALSE)/VLOOKUP(A64,Schlußkurse!A$5:AU$105,43,FALSE),""),"")</f>
        <v>2.6879699248120299E-2</v>
      </c>
      <c r="L64" s="71">
        <f>IF(VLOOKUP(A64,Schlußkurse!A$5:AU$105,44,FALSE)&gt;0,IF(VLOOKUP(A64,Dividende_je_Aktie!A$3:AM$103,16,FALSE)&lt;&gt;"",VLOOKUP(A64,Dividende_je_Aktie!A$3:AM$103,16,FALSE)/VLOOKUP(A64,Schlußkurse!A$5:AU$105,44,FALSE),""),"")</f>
        <v>2.9646522234891677E-2</v>
      </c>
      <c r="M64" s="71">
        <f>IF(VLOOKUP(A64,Schlußkurse!A$5:AU$105,45,FALSE)&gt;0,IF(VLOOKUP(A64,Dividende_je_Aktie!A$3:AM$103,17,FALSE)&lt;&gt;"",VLOOKUP(A64,Dividende_je_Aktie!A$3:AM$103,17,FALSE)/VLOOKUP(A64,Schlußkurse!A$5:AU$105,45,FALSE),""),"")</f>
        <v>2.2887659736791913E-2</v>
      </c>
      <c r="N64" s="71">
        <f>IF(VLOOKUP(A64,Schlußkurse!A$5:AU$105,46,FALSE)&gt;0,IF(VLOOKUP(A64,Dividende_je_Aktie!A$3:AM$103,18,FALSE)&lt;&gt;"",VLOOKUP(A64,Dividende_je_Aktie!A$3:AM$103,18,FALSE)/VLOOKUP(A64,Schlußkurse!A$5:AU$105,46,FALSE),""),"")</f>
        <v>2.27363382528919E-2</v>
      </c>
      <c r="O64" s="71">
        <f>IF(VLOOKUP(A64,Schlußkurse!A$5:AU$105,47,FALSE)&gt;0,IF(VLOOKUP(A64,Dividende_je_Aktie!A$3:AM$103,19,FALSE)&lt;&gt;"",VLOOKUP(A64,Dividende_je_Aktie!A$3:AM$103,19,FALSE)/VLOOKUP(A64,Schlußkurse!A$5:AU$105,47,FALSE),""),"")</f>
        <v>2.4217500571167467E-2</v>
      </c>
      <c r="P64" s="71">
        <f t="shared" si="2"/>
        <v>2.7767146624239035E-2</v>
      </c>
      <c r="Q64" s="5">
        <f ca="1">VLOOKUP(A64,Dividende_je_Aktie!A$3:AM$103,24,FALSE)/VLOOKUP(A64,Schlußkurse!A$5:AU$105,35,FALSE)</f>
        <v>2.6705501618122972E-2</v>
      </c>
      <c r="R64" s="5">
        <f t="shared" ca="1" si="3"/>
        <v>-3.8233853138849749E-2</v>
      </c>
    </row>
    <row r="65" spans="1:18">
      <c r="A65" t="s">
        <v>94</v>
      </c>
      <c r="B65" s="38" t="s">
        <v>95</v>
      </c>
      <c r="C65" s="71">
        <f>IF(VLOOKUP(A65,Schlußkurse!A$5:AU$105,35,FALSE)&gt;0,IF(VLOOKUP(A65,Dividende_je_Aktie!A$3:AM$103,7,FALSE)&lt;&gt;"",VLOOKUP(A65,Dividende_je_Aktie!A$3:AM$103,7,FALSE)/VLOOKUP(A65,Schlußkurse!A$5:AU$105,35,FALSE),""),"")</f>
        <v>2.8292966761218997E-2</v>
      </c>
      <c r="D65" s="71">
        <f>IF(VLOOKUP(A65,Schlußkurse!A$5:AU$105,36,FALSE)&gt;0,IF(VLOOKUP(A65,Dividende_je_Aktie!A$3:AM$103,8,FALSE)&lt;&gt;"",VLOOKUP(A65,Dividende_je_Aktie!A$3:AM$103,8,FALSE)/VLOOKUP(A65,Schlußkurse!A$5:AU$105,36,FALSE),""),"")</f>
        <v>2.6547385264382863E-2</v>
      </c>
      <c r="E65" s="71">
        <f>IF(VLOOKUP(A65,Schlußkurse!A$5:AU$105,37,FALSE)&gt;0,IF(VLOOKUP(A65,Dividende_je_Aktie!A$3:AM$103,9,FALSE)&lt;&gt;"",VLOOKUP(A65,Dividende_je_Aktie!A$3:AM$103,9,FALSE)/VLOOKUP(A65,Schlußkurse!A$5:AU$105,37,FALSE),""),"")</f>
        <v>2.7651217596229381E-2</v>
      </c>
      <c r="F65" s="71">
        <f>IF(VLOOKUP(A65,Schlußkurse!A$5:AU$105,38,FALSE)&gt;0,IF(VLOOKUP(A65,Dividende_je_Aktie!A$3:AM$103,10,FALSE)&lt;&gt;"",VLOOKUP(A65,Dividende_je_Aktie!A$3:AM$103,10,FALSE)/VLOOKUP(A65,Schlußkurse!A$5:AU$105,38,FALSE),""),"")</f>
        <v>2.9080837805089143E-2</v>
      </c>
      <c r="G65" s="71">
        <f>IF(VLOOKUP(A65,Schlußkurse!A$5:AU$105,39,FALSE)&gt;0,IF(VLOOKUP(A65,Dividende_je_Aktie!A$3:AM$103,11,FALSE)&lt;&gt;"",VLOOKUP(A65,Dividende_je_Aktie!A$3:AM$103,11,FALSE)/VLOOKUP(A65,Schlußkurse!A$5:AU$105,39,FALSE),""),"")</f>
        <v>3.1016657093624358E-2</v>
      </c>
      <c r="H65" s="71">
        <f>IF(VLOOKUP(A65,Schlußkurse!A$5:AU$105,40,FALSE)&gt;0,IF(VLOOKUP(A65,Dividende_je_Aktie!A$3:AM$103,12,FALSE)&lt;&gt;"",VLOOKUP(A65,Dividende_je_Aktie!A$3:AM$103,12,FALSE)/VLOOKUP(A65,Schlußkurse!A$5:AU$105,40,FALSE),""),"")</f>
        <v>3.5058628449603217E-2</v>
      </c>
      <c r="I65" s="71">
        <f>IF(VLOOKUP(A65,Schlußkurse!A$5:AU$105,41,FALSE)&gt;0,IF(VLOOKUP(A65,Dividende_je_Aktie!A$3:AM$103,13,FALSE)&lt;&gt;"",VLOOKUP(A65,Dividende_je_Aktie!A$3:AM$103,13,FALSE)/VLOOKUP(A65,Schlußkurse!A$5:AU$105,41,FALSE),""),"")</f>
        <v>3.8064165307232188E-2</v>
      </c>
      <c r="J65" s="71">
        <f>IF(VLOOKUP(A65,Schlußkurse!A$5:AU$105,42,FALSE)&gt;0,IF(VLOOKUP(A65,Dividende_je_Aktie!A$3:AM$103,14,FALSE)&lt;&gt;"",VLOOKUP(A65,Dividende_je_Aktie!A$3:AM$103,14,FALSE)/VLOOKUP(A65,Schlußkurse!A$5:AU$105,42,FALSE),""),"")</f>
        <v>4.1878172588832488E-2</v>
      </c>
      <c r="K65" s="71">
        <f>IF(VLOOKUP(A65,Schlußkurse!A$5:AU$105,43,FALSE)&gt;0,IF(VLOOKUP(A65,Dividende_je_Aktie!A$3:AM$103,15,FALSE)&lt;&gt;"",VLOOKUP(A65,Dividende_je_Aktie!A$3:AM$103,15,FALSE)/VLOOKUP(A65,Schlußkurse!A$5:AU$105,43,FALSE),""),"")</f>
        <v>3.7670695338251452E-2</v>
      </c>
      <c r="L65" s="71">
        <f>IF(VLOOKUP(A65,Schlußkurse!A$5:AU$105,44,FALSE)&gt;0,IF(VLOOKUP(A65,Dividende_je_Aktie!A$3:AM$103,16,FALSE)&lt;&gt;"",VLOOKUP(A65,Dividende_je_Aktie!A$3:AM$103,16,FALSE)/VLOOKUP(A65,Schlußkurse!A$5:AU$105,44,FALSE),""),"")</f>
        <v>4.3989381873340914E-2</v>
      </c>
      <c r="M65" s="71">
        <f>IF(VLOOKUP(A65,Schlußkurse!A$5:AU$105,45,FALSE)&gt;0,IF(VLOOKUP(A65,Dividende_je_Aktie!A$3:AM$103,17,FALSE)&lt;&gt;"",VLOOKUP(A65,Dividende_je_Aktie!A$3:AM$103,17,FALSE)/VLOOKUP(A65,Schlußkurse!A$5:AU$105,45,FALSE),""),"")</f>
        <v>3.0573983270839343E-2</v>
      </c>
      <c r="N65" s="71">
        <f>IF(VLOOKUP(A65,Schlußkurse!A$5:AU$105,46,FALSE)&gt;0,IF(VLOOKUP(A65,Dividende_je_Aktie!A$3:AM$103,18,FALSE)&lt;&gt;"",VLOOKUP(A65,Dividende_je_Aktie!A$3:AM$103,18,FALSE)/VLOOKUP(A65,Schlußkurse!A$5:AU$105,46,FALSE),""),"")</f>
        <v>2.8844738778513613E-2</v>
      </c>
      <c r="O65" s="71">
        <f>IF(VLOOKUP(A65,Schlußkurse!A$5:AU$105,47,FALSE)&gt;0,IF(VLOOKUP(A65,Dividende_je_Aktie!A$3:AM$103,19,FALSE)&lt;&gt;"",VLOOKUP(A65,Dividende_je_Aktie!A$3:AM$103,19,FALSE)/VLOOKUP(A65,Schlußkurse!A$5:AU$105,47,FALSE),""),"")</f>
        <v>2.967848309975268E-2</v>
      </c>
      <c r="P65" s="71">
        <f t="shared" si="2"/>
        <v>3.294979332514697E-2</v>
      </c>
      <c r="Q65" s="5">
        <f ca="1">VLOOKUP(A65,Dividende_je_Aktie!A$3:AM$103,24,FALSE)/VLOOKUP(A65,Schlußkurse!A$5:AU$105,35,FALSE)</f>
        <v>2.7071059713433699E-2</v>
      </c>
      <c r="R65" s="5">
        <f t="shared" ca="1" si="3"/>
        <v>-0.17841488575367415</v>
      </c>
    </row>
    <row r="66" spans="1:18">
      <c r="A66" t="s">
        <v>256</v>
      </c>
      <c r="B66" s="38" t="s">
        <v>257</v>
      </c>
      <c r="C66" s="71">
        <f>IF(VLOOKUP(A66,Schlußkurse!A$5:AU$105,35,FALSE)&gt;0,IF(VLOOKUP(A66,Dividende_je_Aktie!A$3:AM$103,7,FALSE)&lt;&gt;"",VLOOKUP(A66,Dividende_je_Aktie!A$3:AM$103,7,FALSE)/VLOOKUP(A66,Schlußkurse!A$5:AU$105,35,FALSE),""),"")</f>
        <v>8.4230728222625013E-3</v>
      </c>
      <c r="D66" s="71">
        <f>IF(VLOOKUP(A66,Schlußkurse!A$5:AU$105,36,FALSE)&gt;0,IF(VLOOKUP(A66,Dividende_je_Aktie!A$3:AM$103,8,FALSE)&lt;&gt;"",VLOOKUP(A66,Dividende_je_Aktie!A$3:AM$103,8,FALSE)/VLOOKUP(A66,Schlußkurse!A$5:AU$105,36,FALSE),""),"")</f>
        <v>7.5701034225397158E-3</v>
      </c>
      <c r="E66" s="71">
        <f>IF(VLOOKUP(A66,Schlußkurse!A$5:AU$105,37,FALSE)&gt;0,IF(VLOOKUP(A66,Dividende_je_Aktie!A$3:AM$103,9,FALSE)&lt;&gt;"",VLOOKUP(A66,Dividende_je_Aktie!A$3:AM$103,9,FALSE)/VLOOKUP(A66,Schlußkurse!A$5:AU$105,37,FALSE),""),"")</f>
        <v>6.5735414954806908E-3</v>
      </c>
      <c r="F66" s="71">
        <f>IF(VLOOKUP(A66,Schlußkurse!A$5:AU$105,38,FALSE)&gt;0,IF(VLOOKUP(A66,Dividende_je_Aktie!A$3:AM$103,10,FALSE)&lt;&gt;"",VLOOKUP(A66,Dividende_je_Aktie!A$3:AM$103,10,FALSE)/VLOOKUP(A66,Schlußkurse!A$5:AU$105,38,FALSE),""),"")</f>
        <v>5.1067780872794798E-3</v>
      </c>
      <c r="G66" s="71">
        <f>IF(VLOOKUP(A66,Schlußkurse!A$5:AU$105,39,FALSE)&gt;0,IF(VLOOKUP(A66,Dividende_je_Aktie!A$3:AM$103,11,FALSE)&lt;&gt;"",VLOOKUP(A66,Dividende_je_Aktie!A$3:AM$103,11,FALSE)/VLOOKUP(A66,Schlußkurse!A$5:AU$105,39,FALSE),""),"")</f>
        <v>2.5135853302372343E-3</v>
      </c>
      <c r="H66" s="71">
        <f>IF(VLOOKUP(A66,Schlußkurse!A$5:AU$105,40,FALSE)&gt;0,IF(VLOOKUP(A66,Dividende_je_Aktie!A$3:AM$103,12,FALSE)&lt;&gt;"",VLOOKUP(A66,Dividende_je_Aktie!A$3:AM$103,12,FALSE)/VLOOKUP(A66,Schlußkurse!A$5:AU$105,40,FALSE),""),"")</f>
        <v>2.4425989252564728E-3</v>
      </c>
      <c r="I66" s="71">
        <f>IF(VLOOKUP(A66,Schlußkurse!A$5:AU$105,41,FALSE)&gt;0,IF(VLOOKUP(A66,Dividende_je_Aktie!A$3:AM$103,13,FALSE)&lt;&gt;"",VLOOKUP(A66,Dividende_je_Aktie!A$3:AM$103,13,FALSE)/VLOOKUP(A66,Schlußkurse!A$5:AU$105,41,FALSE),""),"")</f>
        <v>1.6093557212595892E-3</v>
      </c>
      <c r="J66" s="71">
        <f>IF(VLOOKUP(A66,Schlußkurse!A$5:AU$105,42,FALSE)&gt;0,IF(VLOOKUP(A66,Dividende_je_Aktie!A$3:AM$103,14,FALSE)&lt;&gt;"",VLOOKUP(A66,Dividende_je_Aktie!A$3:AM$103,14,FALSE)/VLOOKUP(A66,Schlußkurse!A$5:AU$105,42,FALSE),""),"")</f>
        <v>2.6772567042969968E-3</v>
      </c>
      <c r="K66" s="71">
        <f>IF(VLOOKUP(A66,Schlußkurse!A$5:AU$105,43,FALSE)&gt;0,IF(VLOOKUP(A66,Dividende_je_Aktie!A$3:AM$103,15,FALSE)&lt;&gt;"",VLOOKUP(A66,Dividende_je_Aktie!A$3:AM$103,15,FALSE)/VLOOKUP(A66,Schlußkurse!A$5:AU$105,43,FALSE),""),"")</f>
        <v>2.3439331197749823E-3</v>
      </c>
      <c r="L66" s="71">
        <f>IF(VLOOKUP(A66,Schlußkurse!A$5:AU$105,44,FALSE)&gt;0,IF(VLOOKUP(A66,Dividende_je_Aktie!A$3:AM$103,16,FALSE)&lt;&gt;"",VLOOKUP(A66,Dividende_je_Aktie!A$3:AM$103,16,FALSE)/VLOOKUP(A66,Schlußkurse!A$5:AU$105,44,FALSE),""),"")</f>
        <v>4.1978590918631499E-3</v>
      </c>
      <c r="M66" s="71" t="str">
        <f>IF(VLOOKUP(A66,Schlußkurse!A$5:AU$105,45,FALSE)&gt;0,IF(VLOOKUP(A66,Dividende_je_Aktie!A$3:AM$103,17,FALSE)&lt;&gt;"",VLOOKUP(A66,Dividende_je_Aktie!A$3:AM$103,17,FALSE)/VLOOKUP(A66,Schlußkurse!A$5:AU$105,45,FALSE),""),"")</f>
        <v/>
      </c>
      <c r="N66" s="71" t="str">
        <f>IF(VLOOKUP(A66,Schlußkurse!A$5:AU$105,46,FALSE)&gt;0,IF(VLOOKUP(A66,Dividende_je_Aktie!A$3:AM$103,18,FALSE)&lt;&gt;"",VLOOKUP(A66,Dividende_je_Aktie!A$3:AM$103,18,FALSE)/VLOOKUP(A66,Schlußkurse!A$5:AU$105,46,FALSE),""),"")</f>
        <v/>
      </c>
      <c r="O66" s="71" t="str">
        <f>IF(VLOOKUP(A66,Schlußkurse!A$5:AU$105,47,FALSE)&gt;0,IF(VLOOKUP(A66,Dividende_je_Aktie!A$3:AM$103,19,FALSE)&lt;&gt;"",VLOOKUP(A66,Dividende_je_Aktie!A$3:AM$103,19,FALSE)/VLOOKUP(A66,Schlußkurse!A$5:AU$105,47,FALSE),""),"")</f>
        <v/>
      </c>
      <c r="P66" s="71">
        <f t="shared" si="2"/>
        <v>4.345808472025081E-3</v>
      </c>
      <c r="Q66" s="5">
        <f ca="1">VLOOKUP(A66,Dividende_je_Aktie!A$3:AM$103,24,FALSE)/VLOOKUP(A66,Schlußkurse!A$5:AU$105,35,FALSE)</f>
        <v>7.8259942424565507E-3</v>
      </c>
      <c r="R66" s="5">
        <f t="shared" ca="1" si="3"/>
        <v>0.80081434624516623</v>
      </c>
    </row>
    <row r="67" spans="1:18">
      <c r="A67" t="s">
        <v>258</v>
      </c>
      <c r="B67" s="38" t="s">
        <v>259</v>
      </c>
      <c r="C67" s="71">
        <f>IF(VLOOKUP(A67,Schlußkurse!A$5:AU$105,35,FALSE)&gt;0,IF(VLOOKUP(A67,Dividende_je_Aktie!A$3:AM$103,7,FALSE)&lt;&gt;"",VLOOKUP(A67,Dividende_je_Aktie!A$3:AM$103,7,FALSE)/VLOOKUP(A67,Schlußkurse!A$5:AU$105,35,FALSE),""),"")</f>
        <v>1.6932804629728862E-2</v>
      </c>
      <c r="D67" s="71">
        <f>IF(VLOOKUP(A67,Schlußkurse!A$5:AU$105,36,FALSE)&gt;0,IF(VLOOKUP(A67,Dividende_je_Aktie!A$3:AM$103,8,FALSE)&lt;&gt;"",VLOOKUP(A67,Dividende_je_Aktie!A$3:AM$103,8,FALSE)/VLOOKUP(A67,Schlußkurse!A$5:AU$105,36,FALSE),""),"")</f>
        <v>1.5861108134176401E-2</v>
      </c>
      <c r="E67" s="71">
        <f>IF(VLOOKUP(A67,Schlußkurse!A$5:AU$105,37,FALSE)&gt;0,IF(VLOOKUP(A67,Dividende_je_Aktie!A$3:AM$103,9,FALSE)&lt;&gt;"",VLOOKUP(A67,Dividende_je_Aktie!A$3:AM$103,9,FALSE)/VLOOKUP(A67,Schlußkurse!A$5:AU$105,37,FALSE),""),"")</f>
        <v>1.355391668327686E-2</v>
      </c>
      <c r="F67" s="71">
        <f>IF(VLOOKUP(A67,Schlußkurse!A$5:AU$105,38,FALSE)&gt;0,IF(VLOOKUP(A67,Dividende_je_Aktie!A$3:AM$103,10,FALSE)&lt;&gt;"",VLOOKUP(A67,Dividende_je_Aktie!A$3:AM$103,10,FALSE)/VLOOKUP(A67,Schlußkurse!A$5:AU$105,38,FALSE),""),"")</f>
        <v>1.2316042166788435E-2</v>
      </c>
      <c r="G67" s="71">
        <f>IF(VLOOKUP(A67,Schlußkurse!A$5:AU$105,39,FALSE)&gt;0,IF(VLOOKUP(A67,Dividende_je_Aktie!A$3:AM$103,11,FALSE)&lt;&gt;"",VLOOKUP(A67,Dividende_je_Aktie!A$3:AM$103,11,FALSE)/VLOOKUP(A67,Schlußkurse!A$5:AU$105,39,FALSE),""),"")</f>
        <v>1.2488849241748439E-2</v>
      </c>
      <c r="H67" s="71">
        <f>IF(VLOOKUP(A67,Schlußkurse!A$5:AU$105,40,FALSE)&gt;0,IF(VLOOKUP(A67,Dividende_je_Aktie!A$3:AM$103,12,FALSE)&lt;&gt;"",VLOOKUP(A67,Dividende_je_Aktie!A$3:AM$103,12,FALSE)/VLOOKUP(A67,Schlußkurse!A$5:AU$105,40,FALSE),""),"")</f>
        <v>1.2718600953895072E-2</v>
      </c>
      <c r="I67" s="71">
        <f>IF(VLOOKUP(A67,Schlußkurse!A$5:AU$105,41,FALSE)&gt;0,IF(VLOOKUP(A67,Dividende_je_Aktie!A$3:AM$103,13,FALSE)&lt;&gt;"",VLOOKUP(A67,Dividende_je_Aktie!A$3:AM$103,13,FALSE)/VLOOKUP(A67,Schlußkurse!A$5:AU$105,41,FALSE),""),"")</f>
        <v>1.6033254156769598E-2</v>
      </c>
      <c r="J67" s="71">
        <f>IF(VLOOKUP(A67,Schlußkurse!A$5:AU$105,42,FALSE)&gt;0,IF(VLOOKUP(A67,Dividende_je_Aktie!A$3:AM$103,14,FALSE)&lt;&gt;"",VLOOKUP(A67,Dividende_je_Aktie!A$3:AM$103,14,FALSE)/VLOOKUP(A67,Schlußkurse!A$5:AU$105,42,FALSE),""),"")</f>
        <v>1.5825169555388093E-2</v>
      </c>
      <c r="K67" s="71">
        <f>IF(VLOOKUP(A67,Schlußkurse!A$5:AU$105,43,FALSE)&gt;0,IF(VLOOKUP(A67,Dividende_je_Aktie!A$3:AM$103,15,FALSE)&lt;&gt;"",VLOOKUP(A67,Dividende_je_Aktie!A$3:AM$103,15,FALSE)/VLOOKUP(A67,Schlußkurse!A$5:AU$105,43,FALSE),""),"")</f>
        <v>1.4925373134328358E-2</v>
      </c>
      <c r="L67" s="71">
        <f>IF(VLOOKUP(A67,Schlußkurse!A$5:AU$105,44,FALSE)&gt;0,IF(VLOOKUP(A67,Dividende_je_Aktie!A$3:AM$103,16,FALSE)&lt;&gt;"",VLOOKUP(A67,Dividende_je_Aktie!A$3:AM$103,16,FALSE)/VLOOKUP(A67,Schlußkurse!A$5:AU$105,44,FALSE),""),"")</f>
        <v>1.9910403185664512E-2</v>
      </c>
      <c r="M67" s="71">
        <f>IF(VLOOKUP(A67,Schlußkurse!A$5:AU$105,45,FALSE)&gt;0,IF(VLOOKUP(A67,Dividende_je_Aktie!A$3:AM$103,17,FALSE)&lt;&gt;"",VLOOKUP(A67,Dividende_je_Aktie!A$3:AM$103,17,FALSE)/VLOOKUP(A67,Schlußkurse!A$5:AU$105,45,FALSE),""),"")</f>
        <v>9.5238095238095229E-3</v>
      </c>
      <c r="N67" s="71">
        <f>IF(VLOOKUP(A67,Schlußkurse!A$5:AU$105,46,FALSE)&gt;0,IF(VLOOKUP(A67,Dividende_je_Aktie!A$3:AM$103,18,FALSE)&lt;&gt;"",VLOOKUP(A67,Dividende_je_Aktie!A$3:AM$103,18,FALSE)/VLOOKUP(A67,Schlußkurse!A$5:AU$105,46,FALSE),""),"")</f>
        <v>4.1992470315667533E-3</v>
      </c>
      <c r="O67" s="71">
        <f>IF(VLOOKUP(A67,Schlußkurse!A$5:AU$105,47,FALSE)&gt;0,IF(VLOOKUP(A67,Dividende_je_Aktie!A$3:AM$103,19,FALSE)&lt;&gt;"",VLOOKUP(A67,Dividende_je_Aktie!A$3:AM$103,19,FALSE)/VLOOKUP(A67,Schlußkurse!A$5:AU$105,47,FALSE),""),"")</f>
        <v>3.8797284190106693E-3</v>
      </c>
      <c r="P67" s="71">
        <f t="shared" si="2"/>
        <v>1.2936023601242427E-2</v>
      </c>
      <c r="Q67" s="5">
        <f ca="1">VLOOKUP(A67,Dividende_je_Aktie!A$3:AM$103,24,FALSE)/VLOOKUP(A67,Schlußkurse!A$5:AU$105,35,FALSE)</f>
        <v>1.6182617082842139E-2</v>
      </c>
      <c r="R67" s="5">
        <f t="shared" ca="1" si="3"/>
        <v>0.25097306418704246</v>
      </c>
    </row>
    <row r="68" spans="1:18">
      <c r="A68" t="s">
        <v>269</v>
      </c>
      <c r="B68" s="38" t="s">
        <v>271</v>
      </c>
      <c r="C68" s="71">
        <f>IF(VLOOKUP(A68,Schlußkurse!A$5:AU$105,35,FALSE)&gt;0,IF(VLOOKUP(A68,Dividende_je_Aktie!A$3:AM$103,7,FALSE)&lt;&gt;"",VLOOKUP(A68,Dividende_je_Aktie!A$3:AM$103,7,FALSE)/VLOOKUP(A68,Schlußkurse!A$5:AU$105,35,FALSE),""),"")</f>
        <v>1.3685550604710375E-2</v>
      </c>
      <c r="D68" s="71">
        <f>IF(VLOOKUP(A68,Schlußkurse!A$5:AU$105,36,FALSE)&gt;0,IF(VLOOKUP(A68,Dividende_je_Aktie!A$3:AM$103,8,FALSE)&lt;&gt;"",VLOOKUP(A68,Dividende_je_Aktie!A$3:AM$103,8,FALSE)/VLOOKUP(A68,Schlußkurse!A$5:AU$105,36,FALSE),""),"")</f>
        <v>1.2332908975175047E-2</v>
      </c>
      <c r="E68" s="71">
        <f>IF(VLOOKUP(A68,Schlußkurse!A$5:AU$105,37,FALSE)&gt;0,IF(VLOOKUP(A68,Dividende_je_Aktie!A$3:AM$103,9,FALSE)&lt;&gt;"",VLOOKUP(A68,Dividende_je_Aktie!A$3:AM$103,9,FALSE)/VLOOKUP(A68,Schlußkurse!A$5:AU$105,37,FALSE),""),"")</f>
        <v>1.5980958857531452E-2</v>
      </c>
      <c r="F68" s="71">
        <f>IF(VLOOKUP(A68,Schlußkurse!A$5:AU$105,38,FALSE)&gt;0,IF(VLOOKUP(A68,Dividende_je_Aktie!A$3:AM$103,10,FALSE)&lt;&gt;"",VLOOKUP(A68,Dividende_je_Aktie!A$3:AM$103,10,FALSE)/VLOOKUP(A68,Schlußkurse!A$5:AU$105,38,FALSE),""),"")</f>
        <v>1.3947967157978037E-2</v>
      </c>
      <c r="G68" s="71">
        <f>IF(VLOOKUP(A68,Schlußkurse!A$5:AU$105,39,FALSE)&gt;0,IF(VLOOKUP(A68,Dividende_je_Aktie!A$3:AM$103,11,FALSE)&lt;&gt;"",VLOOKUP(A68,Dividende_je_Aktie!A$3:AM$103,11,FALSE)/VLOOKUP(A68,Schlußkurse!A$5:AU$105,39,FALSE),""),"")</f>
        <v>1.3944223107569723E-2</v>
      </c>
      <c r="H68" s="71">
        <f>IF(VLOOKUP(A68,Schlußkurse!A$5:AU$105,40,FALSE)&gt;0,IF(VLOOKUP(A68,Dividende_je_Aktie!A$3:AM$103,12,FALSE)&lt;&gt;"",VLOOKUP(A68,Dividende_je_Aktie!A$3:AM$103,12,FALSE)/VLOOKUP(A68,Schlußkurse!A$5:AU$105,40,FALSE),""),"")</f>
        <v>1.4749262536873156E-2</v>
      </c>
      <c r="I68" s="71">
        <f>IF(VLOOKUP(A68,Schlußkurse!A$5:AU$105,41,FALSE)&gt;0,IF(VLOOKUP(A68,Dividende_je_Aktie!A$3:AM$103,13,FALSE)&lt;&gt;"",VLOOKUP(A68,Dividende_je_Aktie!A$3:AM$103,13,FALSE)/VLOOKUP(A68,Schlußkurse!A$5:AU$105,41,FALSE),""),"")</f>
        <v>1.2036306235201263E-2</v>
      </c>
      <c r="J68" s="71">
        <f>IF(VLOOKUP(A68,Schlußkurse!A$5:AU$105,42,FALSE)&gt;0,IF(VLOOKUP(A68,Dividende_je_Aktie!A$3:AM$103,14,FALSE)&lt;&gt;"",VLOOKUP(A68,Dividende_je_Aktie!A$3:AM$103,14,FALSE)/VLOOKUP(A68,Schlußkurse!A$5:AU$105,42,FALSE),""),"")</f>
        <v>1.1215729714760455E-2</v>
      </c>
      <c r="K68" s="71">
        <f>IF(VLOOKUP(A68,Schlußkurse!A$5:AU$105,43,FALSE)&gt;0,IF(VLOOKUP(A68,Dividende_je_Aktie!A$3:AM$103,15,FALSE)&lt;&gt;"",VLOOKUP(A68,Dividende_je_Aktie!A$3:AM$103,15,FALSE)/VLOOKUP(A68,Schlußkurse!A$5:AU$105,43,FALSE),""),"")</f>
        <v>9.8425196850393699E-4</v>
      </c>
      <c r="L68" s="71">
        <f>IF(VLOOKUP(A68,Schlußkurse!A$5:AU$105,44,FALSE)&gt;0,IF(VLOOKUP(A68,Dividende_je_Aktie!A$3:AM$103,16,FALSE)&lt;&gt;"",VLOOKUP(A68,Dividende_je_Aktie!A$3:AM$103,16,FALSE)/VLOOKUP(A68,Schlußkurse!A$5:AU$105,44,FALSE),""),"")</f>
        <v>1.1278195488721803E-3</v>
      </c>
      <c r="M68" s="71">
        <f>IF(VLOOKUP(A68,Schlußkurse!A$5:AU$105,45,FALSE)&gt;0,IF(VLOOKUP(A68,Dividende_je_Aktie!A$3:AM$103,17,FALSE)&lt;&gt;"",VLOOKUP(A68,Dividende_je_Aktie!A$3:AM$103,17,FALSE)/VLOOKUP(A68,Schlußkurse!A$5:AU$105,45,FALSE),""),"")</f>
        <v>5.154639175257731E-4</v>
      </c>
      <c r="N68" s="71">
        <f>IF(VLOOKUP(A68,Schlußkurse!A$5:AU$105,46,FALSE)&gt;0,IF(VLOOKUP(A68,Dividende_je_Aktie!A$3:AM$103,18,FALSE)&lt;&gt;"",VLOOKUP(A68,Dividende_je_Aktie!A$3:AM$103,18,FALSE)/VLOOKUP(A68,Schlußkurse!A$5:AU$105,46,FALSE),""),"")</f>
        <v>5.5762081784386619E-4</v>
      </c>
      <c r="O68" s="71">
        <f>IF(VLOOKUP(A68,Schlußkurse!A$5:AU$105,47,FALSE)&gt;0,IF(VLOOKUP(A68,Dividende_je_Aktie!A$3:AM$103,19,FALSE)&lt;&gt;"",VLOOKUP(A68,Dividende_je_Aktie!A$3:AM$103,19,FALSE)/VLOOKUP(A68,Schlußkurse!A$5:AU$105,47,FALSE),""),"")</f>
        <v>3.2195750160978755E-4</v>
      </c>
      <c r="P68" s="71">
        <f t="shared" ref="P68:P99" si="4">AVERAGE(C68:O68)</f>
        <v>8.5692323803196208E-3</v>
      </c>
      <c r="Q68" s="5">
        <f ca="1">VLOOKUP(A68,Dividende_je_Aktie!A$3:AM$103,24,FALSE)/VLOOKUP(A68,Schlußkurse!A$5:AU$105,35,FALSE)</f>
        <v>1.2738701464035645E-2</v>
      </c>
      <c r="R68" s="5">
        <f t="shared" ref="R68:R99" ca="1" si="5">IF(P68=0,0,(Q68/P68)-1)</f>
        <v>0.4865627279862037</v>
      </c>
    </row>
    <row r="69" spans="1:18">
      <c r="B69" s="38"/>
      <c r="C69" s="71" t="e">
        <f>IF(VLOOKUP(A69,Schlußkurse!A$5:AU$105,35,FALSE)&gt;0,IF(VLOOKUP(A69,Dividende_je_Aktie!A$3:AM$103,7,FALSE)&lt;&gt;"",VLOOKUP(A69,Dividende_je_Aktie!A$3:AM$103,7,FALSE)/VLOOKUP(A69,Schlußkurse!A$5:AU$105,35,FALSE),""),"")</f>
        <v>#N/A</v>
      </c>
      <c r="D69" s="71" t="e">
        <f>IF(VLOOKUP(A69,Schlußkurse!A$5:AU$105,36,FALSE)&gt;0,IF(VLOOKUP(A69,Dividende_je_Aktie!A$3:AM$103,8,FALSE)&lt;&gt;"",VLOOKUP(A69,Dividende_je_Aktie!A$3:AM$103,8,FALSE)/VLOOKUP(A69,Schlußkurse!A$5:AU$105,36,FALSE),""),"")</f>
        <v>#N/A</v>
      </c>
      <c r="E69" s="71" t="e">
        <f>IF(VLOOKUP(A69,Schlußkurse!A$5:AU$105,37,FALSE)&gt;0,IF(VLOOKUP(A69,Dividende_je_Aktie!A$3:AM$103,9,FALSE)&lt;&gt;"",VLOOKUP(A69,Dividende_je_Aktie!A$3:AM$103,9,FALSE)/VLOOKUP(A69,Schlußkurse!A$5:AU$105,37,FALSE),""),"")</f>
        <v>#N/A</v>
      </c>
      <c r="F69" s="71" t="e">
        <f>IF(VLOOKUP(A69,Schlußkurse!A$5:AU$105,38,FALSE)&gt;0,IF(VLOOKUP(A69,Dividende_je_Aktie!A$3:AM$103,10,FALSE)&lt;&gt;"",VLOOKUP(A69,Dividende_je_Aktie!A$3:AM$103,10,FALSE)/VLOOKUP(A69,Schlußkurse!A$5:AU$105,38,FALSE),""),"")</f>
        <v>#N/A</v>
      </c>
      <c r="G69" s="71" t="e">
        <f>IF(VLOOKUP(A69,Schlußkurse!A$5:AU$105,39,FALSE)&gt;0,IF(VLOOKUP(A69,Dividende_je_Aktie!A$3:AM$103,11,FALSE)&lt;&gt;"",VLOOKUP(A69,Dividende_je_Aktie!A$3:AM$103,11,FALSE)/VLOOKUP(A69,Schlußkurse!A$5:AU$105,39,FALSE),""),"")</f>
        <v>#N/A</v>
      </c>
      <c r="H69" s="71" t="e">
        <f>IF(VLOOKUP(A69,Schlußkurse!A$5:AU$105,40,FALSE)&gt;0,IF(VLOOKUP(A69,Dividende_je_Aktie!A$3:AM$103,12,FALSE)&lt;&gt;"",VLOOKUP(A69,Dividende_je_Aktie!A$3:AM$103,12,FALSE)/VLOOKUP(A69,Schlußkurse!A$5:AU$105,40,FALSE),""),"")</f>
        <v>#N/A</v>
      </c>
      <c r="I69" s="71" t="e">
        <f>IF(VLOOKUP(A69,Schlußkurse!A$5:AU$105,41,FALSE)&gt;0,IF(VLOOKUP(A69,Dividende_je_Aktie!A$3:AM$103,13,FALSE)&lt;&gt;"",VLOOKUP(A69,Dividende_je_Aktie!A$3:AM$103,13,FALSE)/VLOOKUP(A69,Schlußkurse!A$5:AU$105,41,FALSE),""),"")</f>
        <v>#N/A</v>
      </c>
      <c r="J69" s="71" t="e">
        <f>IF(VLOOKUP(A69,Schlußkurse!A$5:AU$105,42,FALSE)&gt;0,IF(VLOOKUP(A69,Dividende_je_Aktie!A$3:AM$103,14,FALSE)&lt;&gt;"",VLOOKUP(A69,Dividende_je_Aktie!A$3:AM$103,14,FALSE)/VLOOKUP(A69,Schlußkurse!A$5:AU$105,42,FALSE),""),"")</f>
        <v>#N/A</v>
      </c>
      <c r="K69" s="71" t="e">
        <f>IF(VLOOKUP(A69,Schlußkurse!A$5:AU$105,43,FALSE)&gt;0,IF(VLOOKUP(A69,Dividende_je_Aktie!A$3:AM$103,15,FALSE)&lt;&gt;"",VLOOKUP(A69,Dividende_je_Aktie!A$3:AM$103,15,FALSE)/VLOOKUP(A69,Schlußkurse!A$5:AU$105,43,FALSE),""),"")</f>
        <v>#N/A</v>
      </c>
      <c r="L69" s="71" t="e">
        <f>IF(VLOOKUP(A69,Schlußkurse!A$5:AU$105,44,FALSE)&gt;0,IF(VLOOKUP(A69,Dividende_je_Aktie!A$3:AM$103,16,FALSE)&lt;&gt;"",VLOOKUP(A69,Dividende_je_Aktie!A$3:AM$103,16,FALSE)/VLOOKUP(A69,Schlußkurse!A$5:AU$105,44,FALSE),""),"")</f>
        <v>#N/A</v>
      </c>
      <c r="M69" s="71" t="e">
        <f>IF(VLOOKUP(A69,Schlußkurse!A$5:AU$105,45,FALSE)&gt;0,IF(VLOOKUP(A69,Dividende_je_Aktie!A$3:AM$103,17,FALSE)&lt;&gt;"",VLOOKUP(A69,Dividende_je_Aktie!A$3:AM$103,17,FALSE)/VLOOKUP(A69,Schlußkurse!A$5:AU$105,45,FALSE),""),"")</f>
        <v>#N/A</v>
      </c>
      <c r="N69" s="71" t="e">
        <f>IF(VLOOKUP(A69,Schlußkurse!A$5:AU$105,46,FALSE)&gt;0,IF(VLOOKUP(A69,Dividende_je_Aktie!A$3:AM$103,18,FALSE)&lt;&gt;"",VLOOKUP(A69,Dividende_je_Aktie!A$3:AM$103,18,FALSE)/VLOOKUP(A69,Schlußkurse!A$5:AU$105,46,FALSE),""),"")</f>
        <v>#N/A</v>
      </c>
      <c r="O69" s="71" t="e">
        <f>IF(VLOOKUP(A69,Schlußkurse!A$5:AU$105,47,FALSE)&gt;0,IF(VLOOKUP(A69,Dividende_je_Aktie!A$3:AM$103,19,FALSE)&lt;&gt;"",VLOOKUP(A69,Dividende_je_Aktie!A$3:AM$103,19,FALSE)/VLOOKUP(A69,Schlußkurse!A$5:AU$105,47,FALSE),""),"")</f>
        <v>#N/A</v>
      </c>
      <c r="P69" s="71" t="e">
        <f t="shared" si="4"/>
        <v>#N/A</v>
      </c>
      <c r="Q69" s="5" t="e">
        <f>VLOOKUP(A69,Dividende_je_Aktie!A$3:AM$103,24,FALSE)/VLOOKUP(A69,Schlußkurse!A$5:AU$105,35,FALSE)</f>
        <v>#N/A</v>
      </c>
      <c r="R69" s="5" t="e">
        <f t="shared" si="5"/>
        <v>#N/A</v>
      </c>
    </row>
    <row r="70" spans="1:18">
      <c r="B70" s="38"/>
      <c r="C70" s="71" t="e">
        <f>IF(VLOOKUP(A70,Schlußkurse!A$5:AU$105,35,FALSE)&gt;0,IF(VLOOKUP(A70,Dividende_je_Aktie!A$3:AM$103,7,FALSE)&lt;&gt;"",VLOOKUP(A70,Dividende_je_Aktie!A$3:AM$103,7,FALSE)/VLOOKUP(A70,Schlußkurse!A$5:AU$105,35,FALSE),""),"")</f>
        <v>#N/A</v>
      </c>
      <c r="D70" s="71" t="e">
        <f>IF(VLOOKUP(A70,Schlußkurse!A$5:AU$105,36,FALSE)&gt;0,IF(VLOOKUP(A70,Dividende_je_Aktie!A$3:AM$103,8,FALSE)&lt;&gt;"",VLOOKUP(A70,Dividende_je_Aktie!A$3:AM$103,8,FALSE)/VLOOKUP(A70,Schlußkurse!A$5:AU$105,36,FALSE),""),"")</f>
        <v>#N/A</v>
      </c>
      <c r="E70" s="71" t="e">
        <f>IF(VLOOKUP(A70,Schlußkurse!A$5:AU$105,37,FALSE)&gt;0,IF(VLOOKUP(A70,Dividende_je_Aktie!A$3:AM$103,9,FALSE)&lt;&gt;"",VLOOKUP(A70,Dividende_je_Aktie!A$3:AM$103,9,FALSE)/VLOOKUP(A70,Schlußkurse!A$5:AU$105,37,FALSE),""),"")</f>
        <v>#N/A</v>
      </c>
      <c r="F70" s="71" t="e">
        <f>IF(VLOOKUP(A70,Schlußkurse!A$5:AU$105,38,FALSE)&gt;0,IF(VLOOKUP(A70,Dividende_je_Aktie!A$3:AM$103,10,FALSE)&lt;&gt;"",VLOOKUP(A70,Dividende_je_Aktie!A$3:AM$103,10,FALSE)/VLOOKUP(A70,Schlußkurse!A$5:AU$105,38,FALSE),""),"")</f>
        <v>#N/A</v>
      </c>
      <c r="G70" s="71" t="e">
        <f>IF(VLOOKUP(A70,Schlußkurse!A$5:AU$105,39,FALSE)&gt;0,IF(VLOOKUP(A70,Dividende_je_Aktie!A$3:AM$103,11,FALSE)&lt;&gt;"",VLOOKUP(A70,Dividende_je_Aktie!A$3:AM$103,11,FALSE)/VLOOKUP(A70,Schlußkurse!A$5:AU$105,39,FALSE),""),"")</f>
        <v>#N/A</v>
      </c>
      <c r="H70" s="71" t="e">
        <f>IF(VLOOKUP(A70,Schlußkurse!A$5:AU$105,40,FALSE)&gt;0,IF(VLOOKUP(A70,Dividende_je_Aktie!A$3:AM$103,12,FALSE)&lt;&gt;"",VLOOKUP(A70,Dividende_je_Aktie!A$3:AM$103,12,FALSE)/VLOOKUP(A70,Schlußkurse!A$5:AU$105,40,FALSE),""),"")</f>
        <v>#N/A</v>
      </c>
      <c r="I70" s="71" t="e">
        <f>IF(VLOOKUP(A70,Schlußkurse!A$5:AU$105,41,FALSE)&gt;0,IF(VLOOKUP(A70,Dividende_je_Aktie!A$3:AM$103,13,FALSE)&lt;&gt;"",VLOOKUP(A70,Dividende_je_Aktie!A$3:AM$103,13,FALSE)/VLOOKUP(A70,Schlußkurse!A$5:AU$105,41,FALSE),""),"")</f>
        <v>#N/A</v>
      </c>
      <c r="J70" s="71" t="e">
        <f>IF(VLOOKUP(A70,Schlußkurse!A$5:AU$105,42,FALSE)&gt;0,IF(VLOOKUP(A70,Dividende_je_Aktie!A$3:AM$103,14,FALSE)&lt;&gt;"",VLOOKUP(A70,Dividende_je_Aktie!A$3:AM$103,14,FALSE)/VLOOKUP(A70,Schlußkurse!A$5:AU$105,42,FALSE),""),"")</f>
        <v>#N/A</v>
      </c>
      <c r="K70" s="71" t="e">
        <f>IF(VLOOKUP(A70,Schlußkurse!A$5:AU$105,43,FALSE)&gt;0,IF(VLOOKUP(A70,Dividende_je_Aktie!A$3:AM$103,15,FALSE)&lt;&gt;"",VLOOKUP(A70,Dividende_je_Aktie!A$3:AM$103,15,FALSE)/VLOOKUP(A70,Schlußkurse!A$5:AU$105,43,FALSE),""),"")</f>
        <v>#N/A</v>
      </c>
      <c r="L70" s="71" t="e">
        <f>IF(VLOOKUP(A70,Schlußkurse!A$5:AU$105,44,FALSE)&gt;0,IF(VLOOKUP(A70,Dividende_je_Aktie!A$3:AM$103,16,FALSE)&lt;&gt;"",VLOOKUP(A70,Dividende_je_Aktie!A$3:AM$103,16,FALSE)/VLOOKUP(A70,Schlußkurse!A$5:AU$105,44,FALSE),""),"")</f>
        <v>#N/A</v>
      </c>
      <c r="M70" s="71" t="e">
        <f>IF(VLOOKUP(A70,Schlußkurse!A$5:AU$105,45,FALSE)&gt;0,IF(VLOOKUP(A70,Dividende_je_Aktie!A$3:AM$103,17,FALSE)&lt;&gt;"",VLOOKUP(A70,Dividende_je_Aktie!A$3:AM$103,17,FALSE)/VLOOKUP(A70,Schlußkurse!A$5:AU$105,45,FALSE),""),"")</f>
        <v>#N/A</v>
      </c>
      <c r="N70" s="71" t="e">
        <f>IF(VLOOKUP(A70,Schlußkurse!A$5:AU$105,46,FALSE)&gt;0,IF(VLOOKUP(A70,Dividende_je_Aktie!A$3:AM$103,18,FALSE)&lt;&gt;"",VLOOKUP(A70,Dividende_je_Aktie!A$3:AM$103,18,FALSE)/VLOOKUP(A70,Schlußkurse!A$5:AU$105,46,FALSE),""),"")</f>
        <v>#N/A</v>
      </c>
      <c r="O70" s="71" t="e">
        <f>IF(VLOOKUP(A70,Schlußkurse!A$5:AU$105,47,FALSE)&gt;0,IF(VLOOKUP(A70,Dividende_je_Aktie!A$3:AM$103,19,FALSE)&lt;&gt;"",VLOOKUP(A70,Dividende_je_Aktie!A$3:AM$103,19,FALSE)/VLOOKUP(A70,Schlußkurse!A$5:AU$105,47,FALSE),""),"")</f>
        <v>#N/A</v>
      </c>
      <c r="P70" s="71" t="e">
        <f t="shared" si="4"/>
        <v>#N/A</v>
      </c>
      <c r="Q70" s="5" t="e">
        <f>VLOOKUP(A70,Dividende_je_Aktie!A$3:AM$103,24,FALSE)/VLOOKUP(A70,Schlußkurse!A$5:AU$105,35,FALSE)</f>
        <v>#N/A</v>
      </c>
      <c r="R70" s="5" t="e">
        <f t="shared" si="5"/>
        <v>#N/A</v>
      </c>
    </row>
    <row r="71" spans="1:18">
      <c r="B71" s="38"/>
      <c r="C71" s="71" t="e">
        <f>IF(VLOOKUP(A71,Schlußkurse!A$5:AU$105,35,FALSE)&gt;0,IF(VLOOKUP(A71,Dividende_je_Aktie!A$3:AM$103,7,FALSE)&lt;&gt;"",VLOOKUP(A71,Dividende_je_Aktie!A$3:AM$103,7,FALSE)/VLOOKUP(A71,Schlußkurse!A$5:AU$105,35,FALSE),""),"")</f>
        <v>#N/A</v>
      </c>
      <c r="D71" s="71" t="e">
        <f>IF(VLOOKUP(A71,Schlußkurse!A$5:AU$105,36,FALSE)&gt;0,IF(VLOOKUP(A71,Dividende_je_Aktie!A$3:AM$103,8,FALSE)&lt;&gt;"",VLOOKUP(A71,Dividende_je_Aktie!A$3:AM$103,8,FALSE)/VLOOKUP(A71,Schlußkurse!A$5:AU$105,36,FALSE),""),"")</f>
        <v>#N/A</v>
      </c>
      <c r="E71" s="71" t="e">
        <f>IF(VLOOKUP(A71,Schlußkurse!A$5:AU$105,37,FALSE)&gt;0,IF(VLOOKUP(A71,Dividende_je_Aktie!A$3:AM$103,9,FALSE)&lt;&gt;"",VLOOKUP(A71,Dividende_je_Aktie!A$3:AM$103,9,FALSE)/VLOOKUP(A71,Schlußkurse!A$5:AU$105,37,FALSE),""),"")</f>
        <v>#N/A</v>
      </c>
      <c r="F71" s="71" t="e">
        <f>IF(VLOOKUP(A71,Schlußkurse!A$5:AU$105,38,FALSE)&gt;0,IF(VLOOKUP(A71,Dividende_je_Aktie!A$3:AM$103,10,FALSE)&lt;&gt;"",VLOOKUP(A71,Dividende_je_Aktie!A$3:AM$103,10,FALSE)/VLOOKUP(A71,Schlußkurse!A$5:AU$105,38,FALSE),""),"")</f>
        <v>#N/A</v>
      </c>
      <c r="G71" s="71" t="e">
        <f>IF(VLOOKUP(A71,Schlußkurse!A$5:AU$105,39,FALSE)&gt;0,IF(VLOOKUP(A71,Dividende_je_Aktie!A$3:AM$103,11,FALSE)&lt;&gt;"",VLOOKUP(A71,Dividende_je_Aktie!A$3:AM$103,11,FALSE)/VLOOKUP(A71,Schlußkurse!A$5:AU$105,39,FALSE),""),"")</f>
        <v>#N/A</v>
      </c>
      <c r="H71" s="71" t="e">
        <f>IF(VLOOKUP(A71,Schlußkurse!A$5:AU$105,40,FALSE)&gt;0,IF(VLOOKUP(A71,Dividende_je_Aktie!A$3:AM$103,12,FALSE)&lt;&gt;"",VLOOKUP(A71,Dividende_je_Aktie!A$3:AM$103,12,FALSE)/VLOOKUP(A71,Schlußkurse!A$5:AU$105,40,FALSE),""),"")</f>
        <v>#N/A</v>
      </c>
      <c r="I71" s="71" t="e">
        <f>IF(VLOOKUP(A71,Schlußkurse!A$5:AU$105,41,FALSE)&gt;0,IF(VLOOKUP(A71,Dividende_je_Aktie!A$3:AM$103,13,FALSE)&lt;&gt;"",VLOOKUP(A71,Dividende_je_Aktie!A$3:AM$103,13,FALSE)/VLOOKUP(A71,Schlußkurse!A$5:AU$105,41,FALSE),""),"")</f>
        <v>#N/A</v>
      </c>
      <c r="J71" s="71" t="e">
        <f>IF(VLOOKUP(A71,Schlußkurse!A$5:AU$105,42,FALSE)&gt;0,IF(VLOOKUP(A71,Dividende_je_Aktie!A$3:AM$103,14,FALSE)&lt;&gt;"",VLOOKUP(A71,Dividende_je_Aktie!A$3:AM$103,14,FALSE)/VLOOKUP(A71,Schlußkurse!A$5:AU$105,42,FALSE),""),"")</f>
        <v>#N/A</v>
      </c>
      <c r="K71" s="71" t="e">
        <f>IF(VLOOKUP(A71,Schlußkurse!A$5:AU$105,43,FALSE)&gt;0,IF(VLOOKUP(A71,Dividende_je_Aktie!A$3:AM$103,15,FALSE)&lt;&gt;"",VLOOKUP(A71,Dividende_je_Aktie!A$3:AM$103,15,FALSE)/VLOOKUP(A71,Schlußkurse!A$5:AU$105,43,FALSE),""),"")</f>
        <v>#N/A</v>
      </c>
      <c r="L71" s="71" t="e">
        <f>IF(VLOOKUP(A71,Schlußkurse!A$5:AU$105,44,FALSE)&gt;0,IF(VLOOKUP(A71,Dividende_je_Aktie!A$3:AM$103,16,FALSE)&lt;&gt;"",VLOOKUP(A71,Dividende_je_Aktie!A$3:AM$103,16,FALSE)/VLOOKUP(A71,Schlußkurse!A$5:AU$105,44,FALSE),""),"")</f>
        <v>#N/A</v>
      </c>
      <c r="M71" s="71" t="e">
        <f>IF(VLOOKUP(A71,Schlußkurse!A$5:AU$105,45,FALSE)&gt;0,IF(VLOOKUP(A71,Dividende_je_Aktie!A$3:AM$103,17,FALSE)&lt;&gt;"",VLOOKUP(A71,Dividende_je_Aktie!A$3:AM$103,17,FALSE)/VLOOKUP(A71,Schlußkurse!A$5:AU$105,45,FALSE),""),"")</f>
        <v>#N/A</v>
      </c>
      <c r="N71" s="71" t="e">
        <f>IF(VLOOKUP(A71,Schlußkurse!A$5:AU$105,46,FALSE)&gt;0,IF(VLOOKUP(A71,Dividende_je_Aktie!A$3:AM$103,18,FALSE)&lt;&gt;"",VLOOKUP(A71,Dividende_je_Aktie!A$3:AM$103,18,FALSE)/VLOOKUP(A71,Schlußkurse!A$5:AU$105,46,FALSE),""),"")</f>
        <v>#N/A</v>
      </c>
      <c r="O71" s="71" t="e">
        <f>IF(VLOOKUP(A71,Schlußkurse!A$5:AU$105,47,FALSE)&gt;0,IF(VLOOKUP(A71,Dividende_je_Aktie!A$3:AM$103,19,FALSE)&lt;&gt;"",VLOOKUP(A71,Dividende_je_Aktie!A$3:AM$103,19,FALSE)/VLOOKUP(A71,Schlußkurse!A$5:AU$105,47,FALSE),""),"")</f>
        <v>#N/A</v>
      </c>
      <c r="P71" s="71" t="e">
        <f t="shared" si="4"/>
        <v>#N/A</v>
      </c>
      <c r="Q71" s="5" t="e">
        <f>VLOOKUP(A71,Dividende_je_Aktie!A$3:AM$103,24,FALSE)/VLOOKUP(A71,Schlußkurse!A$5:AU$105,35,FALSE)</f>
        <v>#N/A</v>
      </c>
      <c r="R71" s="5" t="e">
        <f t="shared" si="5"/>
        <v>#N/A</v>
      </c>
    </row>
    <row r="72" spans="1:18">
      <c r="B72" s="38"/>
      <c r="C72" s="71" t="e">
        <f>IF(VLOOKUP(A72,Schlußkurse!A$5:AU$105,35,FALSE)&gt;0,IF(VLOOKUP(A72,Dividende_je_Aktie!A$3:AM$103,7,FALSE)&lt;&gt;"",VLOOKUP(A72,Dividende_je_Aktie!A$3:AM$103,7,FALSE)/VLOOKUP(A72,Schlußkurse!A$5:AU$105,35,FALSE),""),"")</f>
        <v>#N/A</v>
      </c>
      <c r="D72" s="71" t="e">
        <f>IF(VLOOKUP(A72,Schlußkurse!A$5:AU$105,36,FALSE)&gt;0,IF(VLOOKUP(A72,Dividende_je_Aktie!A$3:AM$103,8,FALSE)&lt;&gt;"",VLOOKUP(A72,Dividende_je_Aktie!A$3:AM$103,8,FALSE)/VLOOKUP(A72,Schlußkurse!A$5:AU$105,36,FALSE),""),"")</f>
        <v>#N/A</v>
      </c>
      <c r="E72" s="71" t="e">
        <f>IF(VLOOKUP(A72,Schlußkurse!A$5:AU$105,37,FALSE)&gt;0,IF(VLOOKUP(A72,Dividende_je_Aktie!A$3:AM$103,9,FALSE)&lt;&gt;"",VLOOKUP(A72,Dividende_je_Aktie!A$3:AM$103,9,FALSE)/VLOOKUP(A72,Schlußkurse!A$5:AU$105,37,FALSE),""),"")</f>
        <v>#N/A</v>
      </c>
      <c r="F72" s="71" t="e">
        <f>IF(VLOOKUP(A72,Schlußkurse!A$5:AU$105,38,FALSE)&gt;0,IF(VLOOKUP(A72,Dividende_je_Aktie!A$3:AM$103,10,FALSE)&lt;&gt;"",VLOOKUP(A72,Dividende_je_Aktie!A$3:AM$103,10,FALSE)/VLOOKUP(A72,Schlußkurse!A$5:AU$105,38,FALSE),""),"")</f>
        <v>#N/A</v>
      </c>
      <c r="G72" s="71" t="e">
        <f>IF(VLOOKUP(A72,Schlußkurse!A$5:AU$105,39,FALSE)&gt;0,IF(VLOOKUP(A72,Dividende_je_Aktie!A$3:AM$103,11,FALSE)&lt;&gt;"",VLOOKUP(A72,Dividende_je_Aktie!A$3:AM$103,11,FALSE)/VLOOKUP(A72,Schlußkurse!A$5:AU$105,39,FALSE),""),"")</f>
        <v>#N/A</v>
      </c>
      <c r="H72" s="71" t="e">
        <f>IF(VLOOKUP(A72,Schlußkurse!A$5:AU$105,40,FALSE)&gt;0,IF(VLOOKUP(A72,Dividende_je_Aktie!A$3:AM$103,12,FALSE)&lt;&gt;"",VLOOKUP(A72,Dividende_je_Aktie!A$3:AM$103,12,FALSE)/VLOOKUP(A72,Schlußkurse!A$5:AU$105,40,FALSE),""),"")</f>
        <v>#N/A</v>
      </c>
      <c r="I72" s="71" t="e">
        <f>IF(VLOOKUP(A72,Schlußkurse!A$5:AU$105,41,FALSE)&gt;0,IF(VLOOKUP(A72,Dividende_je_Aktie!A$3:AM$103,13,FALSE)&lt;&gt;"",VLOOKUP(A72,Dividende_je_Aktie!A$3:AM$103,13,FALSE)/VLOOKUP(A72,Schlußkurse!A$5:AU$105,41,FALSE),""),"")</f>
        <v>#N/A</v>
      </c>
      <c r="J72" s="71" t="e">
        <f>IF(VLOOKUP(A72,Schlußkurse!A$5:AU$105,42,FALSE)&gt;0,IF(VLOOKUP(A72,Dividende_je_Aktie!A$3:AM$103,14,FALSE)&lt;&gt;"",VLOOKUP(A72,Dividende_je_Aktie!A$3:AM$103,14,FALSE)/VLOOKUP(A72,Schlußkurse!A$5:AU$105,42,FALSE),""),"")</f>
        <v>#N/A</v>
      </c>
      <c r="K72" s="71" t="e">
        <f>IF(VLOOKUP(A72,Schlußkurse!A$5:AU$105,43,FALSE)&gt;0,IF(VLOOKUP(A72,Dividende_je_Aktie!A$3:AM$103,15,FALSE)&lt;&gt;"",VLOOKUP(A72,Dividende_je_Aktie!A$3:AM$103,15,FALSE)/VLOOKUP(A72,Schlußkurse!A$5:AU$105,43,FALSE),""),"")</f>
        <v>#N/A</v>
      </c>
      <c r="L72" s="71" t="e">
        <f>IF(VLOOKUP(A72,Schlußkurse!A$5:AU$105,44,FALSE)&gt;0,IF(VLOOKUP(A72,Dividende_je_Aktie!A$3:AM$103,16,FALSE)&lt;&gt;"",VLOOKUP(A72,Dividende_je_Aktie!A$3:AM$103,16,FALSE)/VLOOKUP(A72,Schlußkurse!A$5:AU$105,44,FALSE),""),"")</f>
        <v>#N/A</v>
      </c>
      <c r="M72" s="71" t="e">
        <f>IF(VLOOKUP(A72,Schlußkurse!A$5:AU$105,45,FALSE)&gt;0,IF(VLOOKUP(A72,Dividende_je_Aktie!A$3:AM$103,17,FALSE)&lt;&gt;"",VLOOKUP(A72,Dividende_je_Aktie!A$3:AM$103,17,FALSE)/VLOOKUP(A72,Schlußkurse!A$5:AU$105,45,FALSE),""),"")</f>
        <v>#N/A</v>
      </c>
      <c r="N72" s="71" t="e">
        <f>IF(VLOOKUP(A72,Schlußkurse!A$5:AU$105,46,FALSE)&gt;0,IF(VLOOKUP(A72,Dividende_je_Aktie!A$3:AM$103,18,FALSE)&lt;&gt;"",VLOOKUP(A72,Dividende_je_Aktie!A$3:AM$103,18,FALSE)/VLOOKUP(A72,Schlußkurse!A$5:AU$105,46,FALSE),""),"")</f>
        <v>#N/A</v>
      </c>
      <c r="O72" s="71" t="e">
        <f>IF(VLOOKUP(A72,Schlußkurse!A$5:AU$105,47,FALSE)&gt;0,IF(VLOOKUP(A72,Dividende_je_Aktie!A$3:AM$103,19,FALSE)&lt;&gt;"",VLOOKUP(A72,Dividende_je_Aktie!A$3:AM$103,19,FALSE)/VLOOKUP(A72,Schlußkurse!A$5:AU$105,47,FALSE),""),"")</f>
        <v>#N/A</v>
      </c>
      <c r="P72" s="71" t="e">
        <f t="shared" si="4"/>
        <v>#N/A</v>
      </c>
      <c r="Q72" s="5" t="e">
        <f>VLOOKUP(A72,Dividende_je_Aktie!A$3:AM$103,24,FALSE)/VLOOKUP(A72,Schlußkurse!A$5:AU$105,35,FALSE)</f>
        <v>#N/A</v>
      </c>
      <c r="R72" s="5" t="e">
        <f t="shared" si="5"/>
        <v>#N/A</v>
      </c>
    </row>
    <row r="73" spans="1:18">
      <c r="B73" s="38"/>
      <c r="C73" s="71" t="e">
        <f>IF(VLOOKUP(A73,Schlußkurse!A$5:AU$105,35,FALSE)&gt;0,IF(VLOOKUP(A73,Dividende_je_Aktie!A$3:AM$103,7,FALSE)&lt;&gt;"",VLOOKUP(A73,Dividende_je_Aktie!A$3:AM$103,7,FALSE)/VLOOKUP(A73,Schlußkurse!A$5:AU$105,35,FALSE),""),"")</f>
        <v>#N/A</v>
      </c>
      <c r="D73" s="71" t="e">
        <f>IF(VLOOKUP(A73,Schlußkurse!A$5:AU$105,36,FALSE)&gt;0,IF(VLOOKUP(A73,Dividende_je_Aktie!A$3:AM$103,8,FALSE)&lt;&gt;"",VLOOKUP(A73,Dividende_je_Aktie!A$3:AM$103,8,FALSE)/VLOOKUP(A73,Schlußkurse!A$5:AU$105,36,FALSE),""),"")</f>
        <v>#N/A</v>
      </c>
      <c r="E73" s="71" t="e">
        <f>IF(VLOOKUP(A73,Schlußkurse!A$5:AU$105,37,FALSE)&gt;0,IF(VLOOKUP(A73,Dividende_je_Aktie!A$3:AM$103,9,FALSE)&lt;&gt;"",VLOOKUP(A73,Dividende_je_Aktie!A$3:AM$103,9,FALSE)/VLOOKUP(A73,Schlußkurse!A$5:AU$105,37,FALSE),""),"")</f>
        <v>#N/A</v>
      </c>
      <c r="F73" s="71" t="e">
        <f>IF(VLOOKUP(A73,Schlußkurse!A$5:AU$105,38,FALSE)&gt;0,IF(VLOOKUP(A73,Dividende_je_Aktie!A$3:AM$103,10,FALSE)&lt;&gt;"",VLOOKUP(A73,Dividende_je_Aktie!A$3:AM$103,10,FALSE)/VLOOKUP(A73,Schlußkurse!A$5:AU$105,38,FALSE),""),"")</f>
        <v>#N/A</v>
      </c>
      <c r="G73" s="71" t="e">
        <f>IF(VLOOKUP(A73,Schlußkurse!A$5:AU$105,39,FALSE)&gt;0,IF(VLOOKUP(A73,Dividende_je_Aktie!A$3:AM$103,11,FALSE)&lt;&gt;"",VLOOKUP(A73,Dividende_je_Aktie!A$3:AM$103,11,FALSE)/VLOOKUP(A73,Schlußkurse!A$5:AU$105,39,FALSE),""),"")</f>
        <v>#N/A</v>
      </c>
      <c r="H73" s="71" t="e">
        <f>IF(VLOOKUP(A73,Schlußkurse!A$5:AU$105,40,FALSE)&gt;0,IF(VLOOKUP(A73,Dividende_je_Aktie!A$3:AM$103,12,FALSE)&lt;&gt;"",VLOOKUP(A73,Dividende_je_Aktie!A$3:AM$103,12,FALSE)/VLOOKUP(A73,Schlußkurse!A$5:AU$105,40,FALSE),""),"")</f>
        <v>#N/A</v>
      </c>
      <c r="I73" s="71" t="e">
        <f>IF(VLOOKUP(A73,Schlußkurse!A$5:AU$105,41,FALSE)&gt;0,IF(VLOOKUP(A73,Dividende_je_Aktie!A$3:AM$103,13,FALSE)&lt;&gt;"",VLOOKUP(A73,Dividende_je_Aktie!A$3:AM$103,13,FALSE)/VLOOKUP(A73,Schlußkurse!A$5:AU$105,41,FALSE),""),"")</f>
        <v>#N/A</v>
      </c>
      <c r="J73" s="71" t="e">
        <f>IF(VLOOKUP(A73,Schlußkurse!A$5:AU$105,42,FALSE)&gt;0,IF(VLOOKUP(A73,Dividende_je_Aktie!A$3:AM$103,14,FALSE)&lt;&gt;"",VLOOKUP(A73,Dividende_je_Aktie!A$3:AM$103,14,FALSE)/VLOOKUP(A73,Schlußkurse!A$5:AU$105,42,FALSE),""),"")</f>
        <v>#N/A</v>
      </c>
      <c r="K73" s="71" t="e">
        <f>IF(VLOOKUP(A73,Schlußkurse!A$5:AU$105,43,FALSE)&gt;0,IF(VLOOKUP(A73,Dividende_je_Aktie!A$3:AM$103,15,FALSE)&lt;&gt;"",VLOOKUP(A73,Dividende_je_Aktie!A$3:AM$103,15,FALSE)/VLOOKUP(A73,Schlußkurse!A$5:AU$105,43,FALSE),""),"")</f>
        <v>#N/A</v>
      </c>
      <c r="L73" s="71" t="e">
        <f>IF(VLOOKUP(A73,Schlußkurse!A$5:AU$105,44,FALSE)&gt;0,IF(VLOOKUP(A73,Dividende_je_Aktie!A$3:AM$103,16,FALSE)&lt;&gt;"",VLOOKUP(A73,Dividende_je_Aktie!A$3:AM$103,16,FALSE)/VLOOKUP(A73,Schlußkurse!A$5:AU$105,44,FALSE),""),"")</f>
        <v>#N/A</v>
      </c>
      <c r="M73" s="71" t="e">
        <f>IF(VLOOKUP(A73,Schlußkurse!A$5:AU$105,45,FALSE)&gt;0,IF(VLOOKUP(A73,Dividende_je_Aktie!A$3:AM$103,17,FALSE)&lt;&gt;"",VLOOKUP(A73,Dividende_je_Aktie!A$3:AM$103,17,FALSE)/VLOOKUP(A73,Schlußkurse!A$5:AU$105,45,FALSE),""),"")</f>
        <v>#N/A</v>
      </c>
      <c r="N73" s="71" t="e">
        <f>IF(VLOOKUP(A73,Schlußkurse!A$5:AU$105,46,FALSE)&gt;0,IF(VLOOKUP(A73,Dividende_je_Aktie!A$3:AM$103,18,FALSE)&lt;&gt;"",VLOOKUP(A73,Dividende_je_Aktie!A$3:AM$103,18,FALSE)/VLOOKUP(A73,Schlußkurse!A$5:AU$105,46,FALSE),""),"")</f>
        <v>#N/A</v>
      </c>
      <c r="O73" s="71" t="e">
        <f>IF(VLOOKUP(A73,Schlußkurse!A$5:AU$105,47,FALSE)&gt;0,IF(VLOOKUP(A73,Dividende_je_Aktie!A$3:AM$103,19,FALSE)&lt;&gt;"",VLOOKUP(A73,Dividende_je_Aktie!A$3:AM$103,19,FALSE)/VLOOKUP(A73,Schlußkurse!A$5:AU$105,47,FALSE),""),"")</f>
        <v>#N/A</v>
      </c>
      <c r="P73" s="71" t="e">
        <f t="shared" si="4"/>
        <v>#N/A</v>
      </c>
      <c r="Q73" s="5" t="e">
        <f>VLOOKUP(A73,Dividende_je_Aktie!A$3:AM$103,24,FALSE)/VLOOKUP(A73,Schlußkurse!A$5:AU$105,35,FALSE)</f>
        <v>#N/A</v>
      </c>
      <c r="R73" s="5" t="e">
        <f t="shared" si="5"/>
        <v>#N/A</v>
      </c>
    </row>
    <row r="74" spans="1:18">
      <c r="B74" s="38"/>
      <c r="C74" s="71" t="e">
        <f>IF(VLOOKUP(A74,Schlußkurse!A$5:AU$105,35,FALSE)&gt;0,IF(VLOOKUP(A74,Dividende_je_Aktie!A$3:AM$103,7,FALSE)&lt;&gt;"",VLOOKUP(A74,Dividende_je_Aktie!A$3:AM$103,7,FALSE)/VLOOKUP(A74,Schlußkurse!A$5:AU$105,35,FALSE),""),"")</f>
        <v>#N/A</v>
      </c>
      <c r="D74" s="71" t="e">
        <f>IF(VLOOKUP(A74,Schlußkurse!A$5:AU$105,36,FALSE)&gt;0,IF(VLOOKUP(A74,Dividende_je_Aktie!A$3:AM$103,8,FALSE)&lt;&gt;"",VLOOKUP(A74,Dividende_je_Aktie!A$3:AM$103,8,FALSE)/VLOOKUP(A74,Schlußkurse!A$5:AU$105,36,FALSE),""),"")</f>
        <v>#N/A</v>
      </c>
      <c r="E74" s="71" t="e">
        <f>IF(VLOOKUP(A74,Schlußkurse!A$5:AU$105,37,FALSE)&gt;0,IF(VLOOKUP(A74,Dividende_je_Aktie!A$3:AM$103,9,FALSE)&lt;&gt;"",VLOOKUP(A74,Dividende_je_Aktie!A$3:AM$103,9,FALSE)/VLOOKUP(A74,Schlußkurse!A$5:AU$105,37,FALSE),""),"")</f>
        <v>#N/A</v>
      </c>
      <c r="F74" s="71" t="e">
        <f>IF(VLOOKUP(A74,Schlußkurse!A$5:AU$105,38,FALSE)&gt;0,IF(VLOOKUP(A74,Dividende_je_Aktie!A$3:AM$103,10,FALSE)&lt;&gt;"",VLOOKUP(A74,Dividende_je_Aktie!A$3:AM$103,10,FALSE)/VLOOKUP(A74,Schlußkurse!A$5:AU$105,38,FALSE),""),"")</f>
        <v>#N/A</v>
      </c>
      <c r="G74" s="71" t="e">
        <f>IF(VLOOKUP(A74,Schlußkurse!A$5:AU$105,39,FALSE)&gt;0,IF(VLOOKUP(A74,Dividende_je_Aktie!A$3:AM$103,11,FALSE)&lt;&gt;"",VLOOKUP(A74,Dividende_je_Aktie!A$3:AM$103,11,FALSE)/VLOOKUP(A74,Schlußkurse!A$5:AU$105,39,FALSE),""),"")</f>
        <v>#N/A</v>
      </c>
      <c r="H74" s="71" t="e">
        <f>IF(VLOOKUP(A74,Schlußkurse!A$5:AU$105,40,FALSE)&gt;0,IF(VLOOKUP(A74,Dividende_je_Aktie!A$3:AM$103,12,FALSE)&lt;&gt;"",VLOOKUP(A74,Dividende_je_Aktie!A$3:AM$103,12,FALSE)/VLOOKUP(A74,Schlußkurse!A$5:AU$105,40,FALSE),""),"")</f>
        <v>#N/A</v>
      </c>
      <c r="I74" s="71" t="e">
        <f>IF(VLOOKUP(A74,Schlußkurse!A$5:AU$105,41,FALSE)&gt;0,IF(VLOOKUP(A74,Dividende_je_Aktie!A$3:AM$103,13,FALSE)&lt;&gt;"",VLOOKUP(A74,Dividende_je_Aktie!A$3:AM$103,13,FALSE)/VLOOKUP(A74,Schlußkurse!A$5:AU$105,41,FALSE),""),"")</f>
        <v>#N/A</v>
      </c>
      <c r="J74" s="71" t="e">
        <f>IF(VLOOKUP(A74,Schlußkurse!A$5:AU$105,42,FALSE)&gt;0,IF(VLOOKUP(A74,Dividende_je_Aktie!A$3:AM$103,14,FALSE)&lt;&gt;"",VLOOKUP(A74,Dividende_je_Aktie!A$3:AM$103,14,FALSE)/VLOOKUP(A74,Schlußkurse!A$5:AU$105,42,FALSE),""),"")</f>
        <v>#N/A</v>
      </c>
      <c r="K74" s="71" t="e">
        <f>IF(VLOOKUP(A74,Schlußkurse!A$5:AU$105,43,FALSE)&gt;0,IF(VLOOKUP(A74,Dividende_je_Aktie!A$3:AM$103,15,FALSE)&lt;&gt;"",VLOOKUP(A74,Dividende_je_Aktie!A$3:AM$103,15,FALSE)/VLOOKUP(A74,Schlußkurse!A$5:AU$105,43,FALSE),""),"")</f>
        <v>#N/A</v>
      </c>
      <c r="L74" s="71" t="e">
        <f>IF(VLOOKUP(A74,Schlußkurse!A$5:AU$105,44,FALSE)&gt;0,IF(VLOOKUP(A74,Dividende_je_Aktie!A$3:AM$103,16,FALSE)&lt;&gt;"",VLOOKUP(A74,Dividende_je_Aktie!A$3:AM$103,16,FALSE)/VLOOKUP(A74,Schlußkurse!A$5:AU$105,44,FALSE),""),"")</f>
        <v>#N/A</v>
      </c>
      <c r="M74" s="71" t="e">
        <f>IF(VLOOKUP(A74,Schlußkurse!A$5:AU$105,45,FALSE)&gt;0,IF(VLOOKUP(A74,Dividende_je_Aktie!A$3:AM$103,17,FALSE)&lt;&gt;"",VLOOKUP(A74,Dividende_je_Aktie!A$3:AM$103,17,FALSE)/VLOOKUP(A74,Schlußkurse!A$5:AU$105,45,FALSE),""),"")</f>
        <v>#N/A</v>
      </c>
      <c r="N74" s="71" t="e">
        <f>IF(VLOOKUP(A74,Schlußkurse!A$5:AU$105,46,FALSE)&gt;0,IF(VLOOKUP(A74,Dividende_je_Aktie!A$3:AM$103,18,FALSE)&lt;&gt;"",VLOOKUP(A74,Dividende_je_Aktie!A$3:AM$103,18,FALSE)/VLOOKUP(A74,Schlußkurse!A$5:AU$105,46,FALSE),""),"")</f>
        <v>#N/A</v>
      </c>
      <c r="O74" s="71" t="e">
        <f>IF(VLOOKUP(A74,Schlußkurse!A$5:AU$105,47,FALSE)&gt;0,IF(VLOOKUP(A74,Dividende_je_Aktie!A$3:AM$103,19,FALSE)&lt;&gt;"",VLOOKUP(A74,Dividende_je_Aktie!A$3:AM$103,19,FALSE)/VLOOKUP(A74,Schlußkurse!A$5:AU$105,47,FALSE),""),"")</f>
        <v>#N/A</v>
      </c>
      <c r="P74" s="71" t="e">
        <f t="shared" si="4"/>
        <v>#N/A</v>
      </c>
      <c r="Q74" s="5" t="e">
        <f>VLOOKUP(A74,Dividende_je_Aktie!A$3:AM$103,24,FALSE)/VLOOKUP(A74,Schlußkurse!A$5:AU$105,35,FALSE)</f>
        <v>#N/A</v>
      </c>
      <c r="R74" s="5" t="e">
        <f t="shared" si="5"/>
        <v>#N/A</v>
      </c>
    </row>
    <row r="75" spans="1:18">
      <c r="B75" s="38"/>
      <c r="C75" s="71" t="e">
        <f>IF(VLOOKUP(A75,Schlußkurse!A$5:AU$105,35,FALSE)&gt;0,IF(VLOOKUP(A75,Dividende_je_Aktie!A$3:AM$103,7,FALSE)&lt;&gt;"",VLOOKUP(A75,Dividende_je_Aktie!A$3:AM$103,7,FALSE)/VLOOKUP(A75,Schlußkurse!A$5:AU$105,35,FALSE),""),"")</f>
        <v>#N/A</v>
      </c>
      <c r="D75" s="71" t="e">
        <f>IF(VLOOKUP(A75,Schlußkurse!A$5:AU$105,36,FALSE)&gt;0,IF(VLOOKUP(A75,Dividende_je_Aktie!A$3:AM$103,8,FALSE)&lt;&gt;"",VLOOKUP(A75,Dividende_je_Aktie!A$3:AM$103,8,FALSE)/VLOOKUP(A75,Schlußkurse!A$5:AU$105,36,FALSE),""),"")</f>
        <v>#N/A</v>
      </c>
      <c r="E75" s="71" t="e">
        <f>IF(VLOOKUP(A75,Schlußkurse!A$5:AU$105,37,FALSE)&gt;0,IF(VLOOKUP(A75,Dividende_je_Aktie!A$3:AM$103,9,FALSE)&lt;&gt;"",VLOOKUP(A75,Dividende_je_Aktie!A$3:AM$103,9,FALSE)/VLOOKUP(A75,Schlußkurse!A$5:AU$105,37,FALSE),""),"")</f>
        <v>#N/A</v>
      </c>
      <c r="F75" s="71" t="e">
        <f>IF(VLOOKUP(A75,Schlußkurse!A$5:AU$105,38,FALSE)&gt;0,IF(VLOOKUP(A75,Dividende_je_Aktie!A$3:AM$103,10,FALSE)&lt;&gt;"",VLOOKUP(A75,Dividende_je_Aktie!A$3:AM$103,10,FALSE)/VLOOKUP(A75,Schlußkurse!A$5:AU$105,38,FALSE),""),"")</f>
        <v>#N/A</v>
      </c>
      <c r="G75" s="71" t="e">
        <f>IF(VLOOKUP(A75,Schlußkurse!A$5:AU$105,39,FALSE)&gt;0,IF(VLOOKUP(A75,Dividende_je_Aktie!A$3:AM$103,11,FALSE)&lt;&gt;"",VLOOKUP(A75,Dividende_je_Aktie!A$3:AM$103,11,FALSE)/VLOOKUP(A75,Schlußkurse!A$5:AU$105,39,FALSE),""),"")</f>
        <v>#N/A</v>
      </c>
      <c r="H75" s="71" t="e">
        <f>IF(VLOOKUP(A75,Schlußkurse!A$5:AU$105,40,FALSE)&gt;0,IF(VLOOKUP(A75,Dividende_je_Aktie!A$3:AM$103,12,FALSE)&lt;&gt;"",VLOOKUP(A75,Dividende_je_Aktie!A$3:AM$103,12,FALSE)/VLOOKUP(A75,Schlußkurse!A$5:AU$105,40,FALSE),""),"")</f>
        <v>#N/A</v>
      </c>
      <c r="I75" s="71" t="e">
        <f>IF(VLOOKUP(A75,Schlußkurse!A$5:AU$105,41,FALSE)&gt;0,IF(VLOOKUP(A75,Dividende_je_Aktie!A$3:AM$103,13,FALSE)&lt;&gt;"",VLOOKUP(A75,Dividende_je_Aktie!A$3:AM$103,13,FALSE)/VLOOKUP(A75,Schlußkurse!A$5:AU$105,41,FALSE),""),"")</f>
        <v>#N/A</v>
      </c>
      <c r="J75" s="71" t="e">
        <f>IF(VLOOKUP(A75,Schlußkurse!A$5:AU$105,42,FALSE)&gt;0,IF(VLOOKUP(A75,Dividende_je_Aktie!A$3:AM$103,14,FALSE)&lt;&gt;"",VLOOKUP(A75,Dividende_je_Aktie!A$3:AM$103,14,FALSE)/VLOOKUP(A75,Schlußkurse!A$5:AU$105,42,FALSE),""),"")</f>
        <v>#N/A</v>
      </c>
      <c r="K75" s="71" t="e">
        <f>IF(VLOOKUP(A75,Schlußkurse!A$5:AU$105,43,FALSE)&gt;0,IF(VLOOKUP(A75,Dividende_je_Aktie!A$3:AM$103,15,FALSE)&lt;&gt;"",VLOOKUP(A75,Dividende_je_Aktie!A$3:AM$103,15,FALSE)/VLOOKUP(A75,Schlußkurse!A$5:AU$105,43,FALSE),""),"")</f>
        <v>#N/A</v>
      </c>
      <c r="L75" s="71" t="e">
        <f>IF(VLOOKUP(A75,Schlußkurse!A$5:AU$105,44,FALSE)&gt;0,IF(VLOOKUP(A75,Dividende_je_Aktie!A$3:AM$103,16,FALSE)&lt;&gt;"",VLOOKUP(A75,Dividende_je_Aktie!A$3:AM$103,16,FALSE)/VLOOKUP(A75,Schlußkurse!A$5:AU$105,44,FALSE),""),"")</f>
        <v>#N/A</v>
      </c>
      <c r="M75" s="71" t="e">
        <f>IF(VLOOKUP(A75,Schlußkurse!A$5:AU$105,45,FALSE)&gt;0,IF(VLOOKUP(A75,Dividende_je_Aktie!A$3:AM$103,17,FALSE)&lt;&gt;"",VLOOKUP(A75,Dividende_je_Aktie!A$3:AM$103,17,FALSE)/VLOOKUP(A75,Schlußkurse!A$5:AU$105,45,FALSE),""),"")</f>
        <v>#N/A</v>
      </c>
      <c r="N75" s="71" t="e">
        <f>IF(VLOOKUP(A75,Schlußkurse!A$5:AU$105,46,FALSE)&gt;0,IF(VLOOKUP(A75,Dividende_je_Aktie!A$3:AM$103,18,FALSE)&lt;&gt;"",VLOOKUP(A75,Dividende_je_Aktie!A$3:AM$103,18,FALSE)/VLOOKUP(A75,Schlußkurse!A$5:AU$105,46,FALSE),""),"")</f>
        <v>#N/A</v>
      </c>
      <c r="O75" s="71" t="e">
        <f>IF(VLOOKUP(A75,Schlußkurse!A$5:AU$105,47,FALSE)&gt;0,IF(VLOOKUP(A75,Dividende_je_Aktie!A$3:AM$103,19,FALSE)&lt;&gt;"",VLOOKUP(A75,Dividende_je_Aktie!A$3:AM$103,19,FALSE)/VLOOKUP(A75,Schlußkurse!A$5:AU$105,47,FALSE),""),"")</f>
        <v>#N/A</v>
      </c>
      <c r="P75" s="71" t="e">
        <f t="shared" si="4"/>
        <v>#N/A</v>
      </c>
      <c r="Q75" s="5" t="e">
        <f>VLOOKUP(A75,Dividende_je_Aktie!A$3:AM$103,24,FALSE)/VLOOKUP(A75,Schlußkurse!A$5:AU$105,35,FALSE)</f>
        <v>#N/A</v>
      </c>
      <c r="R75" s="5" t="e">
        <f t="shared" si="5"/>
        <v>#N/A</v>
      </c>
    </row>
    <row r="76" spans="1:18">
      <c r="B76" s="38"/>
      <c r="C76" s="71" t="e">
        <f>IF(VLOOKUP(A76,Schlußkurse!A$5:AU$105,35,FALSE)&gt;0,IF(VLOOKUP(A76,Dividende_je_Aktie!A$3:AM$103,7,FALSE)&lt;&gt;"",VLOOKUP(A76,Dividende_je_Aktie!A$3:AM$103,7,FALSE)/VLOOKUP(A76,Schlußkurse!A$5:AU$105,35,FALSE),""),"")</f>
        <v>#N/A</v>
      </c>
      <c r="D76" s="71" t="e">
        <f>IF(VLOOKUP(A76,Schlußkurse!A$5:AU$105,36,FALSE)&gt;0,IF(VLOOKUP(A76,Dividende_je_Aktie!A$3:AM$103,8,FALSE)&lt;&gt;"",VLOOKUP(A76,Dividende_je_Aktie!A$3:AM$103,8,FALSE)/VLOOKUP(A76,Schlußkurse!A$5:AU$105,36,FALSE),""),"")</f>
        <v>#N/A</v>
      </c>
      <c r="E76" s="71" t="e">
        <f>IF(VLOOKUP(A76,Schlußkurse!A$5:AU$105,37,FALSE)&gt;0,IF(VLOOKUP(A76,Dividende_je_Aktie!A$3:AM$103,9,FALSE)&lt;&gt;"",VLOOKUP(A76,Dividende_je_Aktie!A$3:AM$103,9,FALSE)/VLOOKUP(A76,Schlußkurse!A$5:AU$105,37,FALSE),""),"")</f>
        <v>#N/A</v>
      </c>
      <c r="F76" s="71" t="e">
        <f>IF(VLOOKUP(A76,Schlußkurse!A$5:AU$105,38,FALSE)&gt;0,IF(VLOOKUP(A76,Dividende_je_Aktie!A$3:AM$103,10,FALSE)&lt;&gt;"",VLOOKUP(A76,Dividende_je_Aktie!A$3:AM$103,10,FALSE)/VLOOKUP(A76,Schlußkurse!A$5:AU$105,38,FALSE),""),"")</f>
        <v>#N/A</v>
      </c>
      <c r="G76" s="71" t="e">
        <f>IF(VLOOKUP(A76,Schlußkurse!A$5:AU$105,39,FALSE)&gt;0,IF(VLOOKUP(A76,Dividende_je_Aktie!A$3:AM$103,11,FALSE)&lt;&gt;"",VLOOKUP(A76,Dividende_je_Aktie!A$3:AM$103,11,FALSE)/VLOOKUP(A76,Schlußkurse!A$5:AU$105,39,FALSE),""),"")</f>
        <v>#N/A</v>
      </c>
      <c r="H76" s="71" t="e">
        <f>IF(VLOOKUP(A76,Schlußkurse!A$5:AU$105,40,FALSE)&gt;0,IF(VLOOKUP(A76,Dividende_je_Aktie!A$3:AM$103,12,FALSE)&lt;&gt;"",VLOOKUP(A76,Dividende_je_Aktie!A$3:AM$103,12,FALSE)/VLOOKUP(A76,Schlußkurse!A$5:AU$105,40,FALSE),""),"")</f>
        <v>#N/A</v>
      </c>
      <c r="I76" s="71" t="e">
        <f>IF(VLOOKUP(A76,Schlußkurse!A$5:AU$105,41,FALSE)&gt;0,IF(VLOOKUP(A76,Dividende_je_Aktie!A$3:AM$103,13,FALSE)&lt;&gt;"",VLOOKUP(A76,Dividende_je_Aktie!A$3:AM$103,13,FALSE)/VLOOKUP(A76,Schlußkurse!A$5:AU$105,41,FALSE),""),"")</f>
        <v>#N/A</v>
      </c>
      <c r="J76" s="71" t="e">
        <f>IF(VLOOKUP(A76,Schlußkurse!A$5:AU$105,42,FALSE)&gt;0,IF(VLOOKUP(A76,Dividende_je_Aktie!A$3:AM$103,14,FALSE)&lt;&gt;"",VLOOKUP(A76,Dividende_je_Aktie!A$3:AM$103,14,FALSE)/VLOOKUP(A76,Schlußkurse!A$5:AU$105,42,FALSE),""),"")</f>
        <v>#N/A</v>
      </c>
      <c r="K76" s="71" t="e">
        <f>IF(VLOOKUP(A76,Schlußkurse!A$5:AU$105,43,FALSE)&gt;0,IF(VLOOKUP(A76,Dividende_je_Aktie!A$3:AM$103,15,FALSE)&lt;&gt;"",VLOOKUP(A76,Dividende_je_Aktie!A$3:AM$103,15,FALSE)/VLOOKUP(A76,Schlußkurse!A$5:AU$105,43,FALSE),""),"")</f>
        <v>#N/A</v>
      </c>
      <c r="L76" s="71" t="e">
        <f>IF(VLOOKUP(A76,Schlußkurse!A$5:AU$105,44,FALSE)&gt;0,IF(VLOOKUP(A76,Dividende_je_Aktie!A$3:AM$103,16,FALSE)&lt;&gt;"",VLOOKUP(A76,Dividende_je_Aktie!A$3:AM$103,16,FALSE)/VLOOKUP(A76,Schlußkurse!A$5:AU$105,44,FALSE),""),"")</f>
        <v>#N/A</v>
      </c>
      <c r="M76" s="71" t="e">
        <f>IF(VLOOKUP(A76,Schlußkurse!A$5:AU$105,45,FALSE)&gt;0,IF(VLOOKUP(A76,Dividende_je_Aktie!A$3:AM$103,17,FALSE)&lt;&gt;"",VLOOKUP(A76,Dividende_je_Aktie!A$3:AM$103,17,FALSE)/VLOOKUP(A76,Schlußkurse!A$5:AU$105,45,FALSE),""),"")</f>
        <v>#N/A</v>
      </c>
      <c r="N76" s="71" t="e">
        <f>IF(VLOOKUP(A76,Schlußkurse!A$5:AU$105,46,FALSE)&gt;0,IF(VLOOKUP(A76,Dividende_je_Aktie!A$3:AM$103,18,FALSE)&lt;&gt;"",VLOOKUP(A76,Dividende_je_Aktie!A$3:AM$103,18,FALSE)/VLOOKUP(A76,Schlußkurse!A$5:AU$105,46,FALSE),""),"")</f>
        <v>#N/A</v>
      </c>
      <c r="O76" s="71" t="e">
        <f>IF(VLOOKUP(A76,Schlußkurse!A$5:AU$105,47,FALSE)&gt;0,IF(VLOOKUP(A76,Dividende_je_Aktie!A$3:AM$103,19,FALSE)&lt;&gt;"",VLOOKUP(A76,Dividende_je_Aktie!A$3:AM$103,19,FALSE)/VLOOKUP(A76,Schlußkurse!A$5:AU$105,47,FALSE),""),"")</f>
        <v>#N/A</v>
      </c>
      <c r="P76" s="71" t="e">
        <f t="shared" si="4"/>
        <v>#N/A</v>
      </c>
      <c r="Q76" s="5" t="e">
        <f>VLOOKUP(A76,Dividende_je_Aktie!A$3:AM$103,24,FALSE)/VLOOKUP(A76,Schlußkurse!A$5:AU$105,35,FALSE)</f>
        <v>#N/A</v>
      </c>
      <c r="R76" s="5" t="e">
        <f t="shared" si="5"/>
        <v>#N/A</v>
      </c>
    </row>
    <row r="77" spans="1:18">
      <c r="B77" s="38"/>
      <c r="C77" s="71" t="e">
        <f>IF(VLOOKUP(A77,Schlußkurse!A$5:AU$105,35,FALSE)&gt;0,IF(VLOOKUP(A77,Dividende_je_Aktie!A$3:AM$103,7,FALSE)&lt;&gt;"",VLOOKUP(A77,Dividende_je_Aktie!A$3:AM$103,7,FALSE)/VLOOKUP(A77,Schlußkurse!A$5:AU$105,35,FALSE),""),"")</f>
        <v>#N/A</v>
      </c>
      <c r="D77" s="71" t="e">
        <f>IF(VLOOKUP(A77,Schlußkurse!A$5:AU$105,36,FALSE)&gt;0,IF(VLOOKUP(A77,Dividende_je_Aktie!A$3:AM$103,8,FALSE)&lt;&gt;"",VLOOKUP(A77,Dividende_je_Aktie!A$3:AM$103,8,FALSE)/VLOOKUP(A77,Schlußkurse!A$5:AU$105,36,FALSE),""),"")</f>
        <v>#N/A</v>
      </c>
      <c r="E77" s="71" t="e">
        <f>IF(VLOOKUP(A77,Schlußkurse!A$5:AU$105,37,FALSE)&gt;0,IF(VLOOKUP(A77,Dividende_je_Aktie!A$3:AM$103,9,FALSE)&lt;&gt;"",VLOOKUP(A77,Dividende_je_Aktie!A$3:AM$103,9,FALSE)/VLOOKUP(A77,Schlußkurse!A$5:AU$105,37,FALSE),""),"")</f>
        <v>#N/A</v>
      </c>
      <c r="F77" s="71" t="e">
        <f>IF(VLOOKUP(A77,Schlußkurse!A$5:AU$105,38,FALSE)&gt;0,IF(VLOOKUP(A77,Dividende_je_Aktie!A$3:AM$103,10,FALSE)&lt;&gt;"",VLOOKUP(A77,Dividende_je_Aktie!A$3:AM$103,10,FALSE)/VLOOKUP(A77,Schlußkurse!A$5:AU$105,38,FALSE),""),"")</f>
        <v>#N/A</v>
      </c>
      <c r="G77" s="71" t="e">
        <f>IF(VLOOKUP(A77,Schlußkurse!A$5:AU$105,39,FALSE)&gt;0,IF(VLOOKUP(A77,Dividende_je_Aktie!A$3:AM$103,11,FALSE)&lt;&gt;"",VLOOKUP(A77,Dividende_je_Aktie!A$3:AM$103,11,FALSE)/VLOOKUP(A77,Schlußkurse!A$5:AU$105,39,FALSE),""),"")</f>
        <v>#N/A</v>
      </c>
      <c r="H77" s="71" t="e">
        <f>IF(VLOOKUP(A77,Schlußkurse!A$5:AU$105,40,FALSE)&gt;0,IF(VLOOKUP(A77,Dividende_je_Aktie!A$3:AM$103,12,FALSE)&lt;&gt;"",VLOOKUP(A77,Dividende_je_Aktie!A$3:AM$103,12,FALSE)/VLOOKUP(A77,Schlußkurse!A$5:AU$105,40,FALSE),""),"")</f>
        <v>#N/A</v>
      </c>
      <c r="I77" s="71" t="e">
        <f>IF(VLOOKUP(A77,Schlußkurse!A$5:AU$105,41,FALSE)&gt;0,IF(VLOOKUP(A77,Dividende_je_Aktie!A$3:AM$103,13,FALSE)&lt;&gt;"",VLOOKUP(A77,Dividende_je_Aktie!A$3:AM$103,13,FALSE)/VLOOKUP(A77,Schlußkurse!A$5:AU$105,41,FALSE),""),"")</f>
        <v>#N/A</v>
      </c>
      <c r="J77" s="71" t="e">
        <f>IF(VLOOKUP(A77,Schlußkurse!A$5:AU$105,42,FALSE)&gt;0,IF(VLOOKUP(A77,Dividende_je_Aktie!A$3:AM$103,14,FALSE)&lt;&gt;"",VLOOKUP(A77,Dividende_je_Aktie!A$3:AM$103,14,FALSE)/VLOOKUP(A77,Schlußkurse!A$5:AU$105,42,FALSE),""),"")</f>
        <v>#N/A</v>
      </c>
      <c r="K77" s="71" t="e">
        <f>IF(VLOOKUP(A77,Schlußkurse!A$5:AU$105,43,FALSE)&gt;0,IF(VLOOKUP(A77,Dividende_je_Aktie!A$3:AM$103,15,FALSE)&lt;&gt;"",VLOOKUP(A77,Dividende_je_Aktie!A$3:AM$103,15,FALSE)/VLOOKUP(A77,Schlußkurse!A$5:AU$105,43,FALSE),""),"")</f>
        <v>#N/A</v>
      </c>
      <c r="L77" s="71" t="e">
        <f>IF(VLOOKUP(A77,Schlußkurse!A$5:AU$105,44,FALSE)&gt;0,IF(VLOOKUP(A77,Dividende_je_Aktie!A$3:AM$103,16,FALSE)&lt;&gt;"",VLOOKUP(A77,Dividende_je_Aktie!A$3:AM$103,16,FALSE)/VLOOKUP(A77,Schlußkurse!A$5:AU$105,44,FALSE),""),"")</f>
        <v>#N/A</v>
      </c>
      <c r="M77" s="71" t="e">
        <f>IF(VLOOKUP(A77,Schlußkurse!A$5:AU$105,45,FALSE)&gt;0,IF(VLOOKUP(A77,Dividende_je_Aktie!A$3:AM$103,17,FALSE)&lt;&gt;"",VLOOKUP(A77,Dividende_je_Aktie!A$3:AM$103,17,FALSE)/VLOOKUP(A77,Schlußkurse!A$5:AU$105,45,FALSE),""),"")</f>
        <v>#N/A</v>
      </c>
      <c r="N77" s="71" t="e">
        <f>IF(VLOOKUP(A77,Schlußkurse!A$5:AU$105,46,FALSE)&gt;0,IF(VLOOKUP(A77,Dividende_je_Aktie!A$3:AM$103,18,FALSE)&lt;&gt;"",VLOOKUP(A77,Dividende_je_Aktie!A$3:AM$103,18,FALSE)/VLOOKUP(A77,Schlußkurse!A$5:AU$105,46,FALSE),""),"")</f>
        <v>#N/A</v>
      </c>
      <c r="O77" s="71" t="e">
        <f>IF(VLOOKUP(A77,Schlußkurse!A$5:AU$105,47,FALSE)&gt;0,IF(VLOOKUP(A77,Dividende_je_Aktie!A$3:AM$103,19,FALSE)&lt;&gt;"",VLOOKUP(A77,Dividende_je_Aktie!A$3:AM$103,19,FALSE)/VLOOKUP(A77,Schlußkurse!A$5:AU$105,47,FALSE),""),"")</f>
        <v>#N/A</v>
      </c>
      <c r="P77" s="71" t="e">
        <f t="shared" si="4"/>
        <v>#N/A</v>
      </c>
      <c r="Q77" s="5" t="e">
        <f>VLOOKUP(A77,Dividende_je_Aktie!A$3:AM$103,24,FALSE)/VLOOKUP(A77,Schlußkurse!A$5:AU$105,35,FALSE)</f>
        <v>#N/A</v>
      </c>
      <c r="R77" s="5" t="e">
        <f t="shared" si="5"/>
        <v>#N/A</v>
      </c>
    </row>
    <row r="78" spans="1:18">
      <c r="B78" s="38"/>
      <c r="C78" s="71" t="e">
        <f>IF(VLOOKUP(A78,Schlußkurse!A$5:AU$105,35,FALSE)&gt;0,IF(VLOOKUP(A78,Dividende_je_Aktie!A$3:AM$103,7,FALSE)&lt;&gt;"",VLOOKUP(A78,Dividende_je_Aktie!A$3:AM$103,7,FALSE)/VLOOKUP(A78,Schlußkurse!A$5:AU$105,35,FALSE),""),"")</f>
        <v>#N/A</v>
      </c>
      <c r="D78" s="71" t="e">
        <f>IF(VLOOKUP(A78,Schlußkurse!A$5:AU$105,36,FALSE)&gt;0,IF(VLOOKUP(A78,Dividende_je_Aktie!A$3:AM$103,8,FALSE)&lt;&gt;"",VLOOKUP(A78,Dividende_je_Aktie!A$3:AM$103,8,FALSE)/VLOOKUP(A78,Schlußkurse!A$5:AU$105,36,FALSE),""),"")</f>
        <v>#N/A</v>
      </c>
      <c r="E78" s="71" t="e">
        <f>IF(VLOOKUP(A78,Schlußkurse!A$5:AU$105,37,FALSE)&gt;0,IF(VLOOKUP(A78,Dividende_je_Aktie!A$3:AM$103,9,FALSE)&lt;&gt;"",VLOOKUP(A78,Dividende_je_Aktie!A$3:AM$103,9,FALSE)/VLOOKUP(A78,Schlußkurse!A$5:AU$105,37,FALSE),""),"")</f>
        <v>#N/A</v>
      </c>
      <c r="F78" s="71" t="e">
        <f>IF(VLOOKUP(A78,Schlußkurse!A$5:AU$105,38,FALSE)&gt;0,IF(VLOOKUP(A78,Dividende_je_Aktie!A$3:AM$103,10,FALSE)&lt;&gt;"",VLOOKUP(A78,Dividende_je_Aktie!A$3:AM$103,10,FALSE)/VLOOKUP(A78,Schlußkurse!A$5:AU$105,38,FALSE),""),"")</f>
        <v>#N/A</v>
      </c>
      <c r="G78" s="71" t="e">
        <f>IF(VLOOKUP(A78,Schlußkurse!A$5:AU$105,39,FALSE)&gt;0,IF(VLOOKUP(A78,Dividende_je_Aktie!A$3:AM$103,11,FALSE)&lt;&gt;"",VLOOKUP(A78,Dividende_je_Aktie!A$3:AM$103,11,FALSE)/VLOOKUP(A78,Schlußkurse!A$5:AU$105,39,FALSE),""),"")</f>
        <v>#N/A</v>
      </c>
      <c r="H78" s="71" t="e">
        <f>IF(VLOOKUP(A78,Schlußkurse!A$5:AU$105,40,FALSE)&gt;0,IF(VLOOKUP(A78,Dividende_je_Aktie!A$3:AM$103,12,FALSE)&lt;&gt;"",VLOOKUP(A78,Dividende_je_Aktie!A$3:AM$103,12,FALSE)/VLOOKUP(A78,Schlußkurse!A$5:AU$105,40,FALSE),""),"")</f>
        <v>#N/A</v>
      </c>
      <c r="I78" s="71" t="e">
        <f>IF(VLOOKUP(A78,Schlußkurse!A$5:AU$105,41,FALSE)&gt;0,IF(VLOOKUP(A78,Dividende_je_Aktie!A$3:AM$103,13,FALSE)&lt;&gt;"",VLOOKUP(A78,Dividende_je_Aktie!A$3:AM$103,13,FALSE)/VLOOKUP(A78,Schlußkurse!A$5:AU$105,41,FALSE),""),"")</f>
        <v>#N/A</v>
      </c>
      <c r="J78" s="71" t="e">
        <f>IF(VLOOKUP(A78,Schlußkurse!A$5:AU$105,42,FALSE)&gt;0,IF(VLOOKUP(A78,Dividende_je_Aktie!A$3:AM$103,14,FALSE)&lt;&gt;"",VLOOKUP(A78,Dividende_je_Aktie!A$3:AM$103,14,FALSE)/VLOOKUP(A78,Schlußkurse!A$5:AU$105,42,FALSE),""),"")</f>
        <v>#N/A</v>
      </c>
      <c r="K78" s="71" t="e">
        <f>IF(VLOOKUP(A78,Schlußkurse!A$5:AU$105,43,FALSE)&gt;0,IF(VLOOKUP(A78,Dividende_je_Aktie!A$3:AM$103,15,FALSE)&lt;&gt;"",VLOOKUP(A78,Dividende_je_Aktie!A$3:AM$103,15,FALSE)/VLOOKUP(A78,Schlußkurse!A$5:AU$105,43,FALSE),""),"")</f>
        <v>#N/A</v>
      </c>
      <c r="L78" s="71" t="e">
        <f>IF(VLOOKUP(A78,Schlußkurse!A$5:AU$105,44,FALSE)&gt;0,IF(VLOOKUP(A78,Dividende_je_Aktie!A$3:AM$103,16,FALSE)&lt;&gt;"",VLOOKUP(A78,Dividende_je_Aktie!A$3:AM$103,16,FALSE)/VLOOKUP(A78,Schlußkurse!A$5:AU$105,44,FALSE),""),"")</f>
        <v>#N/A</v>
      </c>
      <c r="M78" s="71" t="e">
        <f>IF(VLOOKUP(A78,Schlußkurse!A$5:AU$105,45,FALSE)&gt;0,IF(VLOOKUP(A78,Dividende_je_Aktie!A$3:AM$103,17,FALSE)&lt;&gt;"",VLOOKUP(A78,Dividende_je_Aktie!A$3:AM$103,17,FALSE)/VLOOKUP(A78,Schlußkurse!A$5:AU$105,45,FALSE),""),"")</f>
        <v>#N/A</v>
      </c>
      <c r="N78" s="71" t="e">
        <f>IF(VLOOKUP(A78,Schlußkurse!A$5:AU$105,46,FALSE)&gt;0,IF(VLOOKUP(A78,Dividende_je_Aktie!A$3:AM$103,18,FALSE)&lt;&gt;"",VLOOKUP(A78,Dividende_je_Aktie!A$3:AM$103,18,FALSE)/VLOOKUP(A78,Schlußkurse!A$5:AU$105,46,FALSE),""),"")</f>
        <v>#N/A</v>
      </c>
      <c r="O78" s="71" t="e">
        <f>IF(VLOOKUP(A78,Schlußkurse!A$5:AU$105,47,FALSE)&gt;0,IF(VLOOKUP(A78,Dividende_je_Aktie!A$3:AM$103,19,FALSE)&lt;&gt;"",VLOOKUP(A78,Dividende_je_Aktie!A$3:AM$103,19,FALSE)/VLOOKUP(A78,Schlußkurse!A$5:AU$105,47,FALSE),""),"")</f>
        <v>#N/A</v>
      </c>
      <c r="P78" s="71" t="e">
        <f t="shared" si="4"/>
        <v>#N/A</v>
      </c>
      <c r="Q78" s="5" t="e">
        <f>VLOOKUP(A78,Dividende_je_Aktie!A$3:AM$103,24,FALSE)/VLOOKUP(A78,Schlußkurse!A$5:AU$105,35,FALSE)</f>
        <v>#N/A</v>
      </c>
      <c r="R78" s="5" t="e">
        <f t="shared" si="5"/>
        <v>#N/A</v>
      </c>
    </row>
    <row r="79" spans="1:18">
      <c r="B79" s="38"/>
      <c r="C79" s="71" t="e">
        <f>IF(VLOOKUP(A79,Schlußkurse!A$5:AU$105,35,FALSE)&gt;0,IF(VLOOKUP(A79,Dividende_je_Aktie!A$3:AM$103,7,FALSE)&lt;&gt;"",VLOOKUP(A79,Dividende_je_Aktie!A$3:AM$103,7,FALSE)/VLOOKUP(A79,Schlußkurse!A$5:AU$105,35,FALSE),""),"")</f>
        <v>#N/A</v>
      </c>
      <c r="D79" s="71" t="e">
        <f>IF(VLOOKUP(A79,Schlußkurse!A$5:AU$105,36,FALSE)&gt;0,IF(VLOOKUP(A79,Dividende_je_Aktie!A$3:AM$103,8,FALSE)&lt;&gt;"",VLOOKUP(A79,Dividende_je_Aktie!A$3:AM$103,8,FALSE)/VLOOKUP(A79,Schlußkurse!A$5:AU$105,36,FALSE),""),"")</f>
        <v>#N/A</v>
      </c>
      <c r="E79" s="71" t="e">
        <f>IF(VLOOKUP(A79,Schlußkurse!A$5:AU$105,37,FALSE)&gt;0,IF(VLOOKUP(A79,Dividende_je_Aktie!A$3:AM$103,9,FALSE)&lt;&gt;"",VLOOKUP(A79,Dividende_je_Aktie!A$3:AM$103,9,FALSE)/VLOOKUP(A79,Schlußkurse!A$5:AU$105,37,FALSE),""),"")</f>
        <v>#N/A</v>
      </c>
      <c r="F79" s="71" t="e">
        <f>IF(VLOOKUP(A79,Schlußkurse!A$5:AU$105,38,FALSE)&gt;0,IF(VLOOKUP(A79,Dividende_je_Aktie!A$3:AM$103,10,FALSE)&lt;&gt;"",VLOOKUP(A79,Dividende_je_Aktie!A$3:AM$103,10,FALSE)/VLOOKUP(A79,Schlußkurse!A$5:AU$105,38,FALSE),""),"")</f>
        <v>#N/A</v>
      </c>
      <c r="G79" s="71" t="e">
        <f>IF(VLOOKUP(A79,Schlußkurse!A$5:AU$105,39,FALSE)&gt;0,IF(VLOOKUP(A79,Dividende_je_Aktie!A$3:AM$103,11,FALSE)&lt;&gt;"",VLOOKUP(A79,Dividende_je_Aktie!A$3:AM$103,11,FALSE)/VLOOKUP(A79,Schlußkurse!A$5:AU$105,39,FALSE),""),"")</f>
        <v>#N/A</v>
      </c>
      <c r="H79" s="71" t="e">
        <f>IF(VLOOKUP(A79,Schlußkurse!A$5:AU$105,40,FALSE)&gt;0,IF(VLOOKUP(A79,Dividende_je_Aktie!A$3:AM$103,12,FALSE)&lt;&gt;"",VLOOKUP(A79,Dividende_je_Aktie!A$3:AM$103,12,FALSE)/VLOOKUP(A79,Schlußkurse!A$5:AU$105,40,FALSE),""),"")</f>
        <v>#N/A</v>
      </c>
      <c r="I79" s="71" t="e">
        <f>IF(VLOOKUP(A79,Schlußkurse!A$5:AU$105,41,FALSE)&gt;0,IF(VLOOKUP(A79,Dividende_je_Aktie!A$3:AM$103,13,FALSE)&lt;&gt;"",VLOOKUP(A79,Dividende_je_Aktie!A$3:AM$103,13,FALSE)/VLOOKUP(A79,Schlußkurse!A$5:AU$105,41,FALSE),""),"")</f>
        <v>#N/A</v>
      </c>
      <c r="J79" s="71" t="e">
        <f>IF(VLOOKUP(A79,Schlußkurse!A$5:AU$105,42,FALSE)&gt;0,IF(VLOOKUP(A79,Dividende_je_Aktie!A$3:AM$103,14,FALSE)&lt;&gt;"",VLOOKUP(A79,Dividende_je_Aktie!A$3:AM$103,14,FALSE)/VLOOKUP(A79,Schlußkurse!A$5:AU$105,42,FALSE),""),"")</f>
        <v>#N/A</v>
      </c>
      <c r="K79" s="71" t="e">
        <f>IF(VLOOKUP(A79,Schlußkurse!A$5:AU$105,43,FALSE)&gt;0,IF(VLOOKUP(A79,Dividende_je_Aktie!A$3:AM$103,15,FALSE)&lt;&gt;"",VLOOKUP(A79,Dividende_je_Aktie!A$3:AM$103,15,FALSE)/VLOOKUP(A79,Schlußkurse!A$5:AU$105,43,FALSE),""),"")</f>
        <v>#N/A</v>
      </c>
      <c r="L79" s="71" t="e">
        <f>IF(VLOOKUP(A79,Schlußkurse!A$5:AU$105,44,FALSE)&gt;0,IF(VLOOKUP(A79,Dividende_je_Aktie!A$3:AM$103,16,FALSE)&lt;&gt;"",VLOOKUP(A79,Dividende_je_Aktie!A$3:AM$103,16,FALSE)/VLOOKUP(A79,Schlußkurse!A$5:AU$105,44,FALSE),""),"")</f>
        <v>#N/A</v>
      </c>
      <c r="M79" s="71" t="e">
        <f>IF(VLOOKUP(A79,Schlußkurse!A$5:AU$105,45,FALSE)&gt;0,IF(VLOOKUP(A79,Dividende_je_Aktie!A$3:AM$103,17,FALSE)&lt;&gt;"",VLOOKUP(A79,Dividende_je_Aktie!A$3:AM$103,17,FALSE)/VLOOKUP(A79,Schlußkurse!A$5:AU$105,45,FALSE),""),"")</f>
        <v>#N/A</v>
      </c>
      <c r="N79" s="71" t="e">
        <f>IF(VLOOKUP(A79,Schlußkurse!A$5:AU$105,46,FALSE)&gt;0,IF(VLOOKUP(A79,Dividende_je_Aktie!A$3:AM$103,18,FALSE)&lt;&gt;"",VLOOKUP(A79,Dividende_je_Aktie!A$3:AM$103,18,FALSE)/VLOOKUP(A79,Schlußkurse!A$5:AU$105,46,FALSE),""),"")</f>
        <v>#N/A</v>
      </c>
      <c r="O79" s="71" t="e">
        <f>IF(VLOOKUP(A79,Schlußkurse!A$5:AU$105,47,FALSE)&gt;0,IF(VLOOKUP(A79,Dividende_je_Aktie!A$3:AM$103,19,FALSE)&lt;&gt;"",VLOOKUP(A79,Dividende_je_Aktie!A$3:AM$103,19,FALSE)/VLOOKUP(A79,Schlußkurse!A$5:AU$105,47,FALSE),""),"")</f>
        <v>#N/A</v>
      </c>
      <c r="P79" s="71" t="e">
        <f t="shared" si="4"/>
        <v>#N/A</v>
      </c>
      <c r="Q79" s="5" t="e">
        <f>VLOOKUP(A79,Dividende_je_Aktie!A$3:AM$103,24,FALSE)/VLOOKUP(A79,Schlußkurse!A$5:AU$105,35,FALSE)</f>
        <v>#N/A</v>
      </c>
      <c r="R79" s="5" t="e">
        <f t="shared" si="5"/>
        <v>#N/A</v>
      </c>
    </row>
    <row r="80" spans="1:18">
      <c r="B80" s="38"/>
      <c r="C80" s="71" t="e">
        <f>IF(VLOOKUP(A80,Schlußkurse!A$5:AU$105,35,FALSE)&gt;0,IF(VLOOKUP(A80,Dividende_je_Aktie!A$3:AM$103,7,FALSE)&lt;&gt;"",VLOOKUP(A80,Dividende_je_Aktie!A$3:AM$103,7,FALSE)/VLOOKUP(A80,Schlußkurse!A$5:AU$105,35,FALSE),""),"")</f>
        <v>#N/A</v>
      </c>
      <c r="D80" s="71" t="e">
        <f>IF(VLOOKUP(A80,Schlußkurse!A$5:AU$105,36,FALSE)&gt;0,IF(VLOOKUP(A80,Dividende_je_Aktie!A$3:AM$103,8,FALSE)&lt;&gt;"",VLOOKUP(A80,Dividende_je_Aktie!A$3:AM$103,8,FALSE)/VLOOKUP(A80,Schlußkurse!A$5:AU$105,36,FALSE),""),"")</f>
        <v>#N/A</v>
      </c>
      <c r="E80" s="71" t="e">
        <f>IF(VLOOKUP(A80,Schlußkurse!A$5:AU$105,37,FALSE)&gt;0,IF(VLOOKUP(A80,Dividende_je_Aktie!A$3:AM$103,9,FALSE)&lt;&gt;"",VLOOKUP(A80,Dividende_je_Aktie!A$3:AM$103,9,FALSE)/VLOOKUP(A80,Schlußkurse!A$5:AU$105,37,FALSE),""),"")</f>
        <v>#N/A</v>
      </c>
      <c r="F80" s="71" t="e">
        <f>IF(VLOOKUP(A80,Schlußkurse!A$5:AU$105,38,FALSE)&gt;0,IF(VLOOKUP(A80,Dividende_je_Aktie!A$3:AM$103,10,FALSE)&lt;&gt;"",VLOOKUP(A80,Dividende_je_Aktie!A$3:AM$103,10,FALSE)/VLOOKUP(A80,Schlußkurse!A$5:AU$105,38,FALSE),""),"")</f>
        <v>#N/A</v>
      </c>
      <c r="G80" s="71" t="e">
        <f>IF(VLOOKUP(A80,Schlußkurse!A$5:AU$105,39,FALSE)&gt;0,IF(VLOOKUP(A80,Dividende_je_Aktie!A$3:AM$103,11,FALSE)&lt;&gt;"",VLOOKUP(A80,Dividende_je_Aktie!A$3:AM$103,11,FALSE)/VLOOKUP(A80,Schlußkurse!A$5:AU$105,39,FALSE),""),"")</f>
        <v>#N/A</v>
      </c>
      <c r="H80" s="71" t="e">
        <f>IF(VLOOKUP(A80,Schlußkurse!A$5:AU$105,40,FALSE)&gt;0,IF(VLOOKUP(A80,Dividende_je_Aktie!A$3:AM$103,12,FALSE)&lt;&gt;"",VLOOKUP(A80,Dividende_je_Aktie!A$3:AM$103,12,FALSE)/VLOOKUP(A80,Schlußkurse!A$5:AU$105,40,FALSE),""),"")</f>
        <v>#N/A</v>
      </c>
      <c r="I80" s="71" t="e">
        <f>IF(VLOOKUP(A80,Schlußkurse!A$5:AU$105,41,FALSE)&gt;0,IF(VLOOKUP(A80,Dividende_je_Aktie!A$3:AM$103,13,FALSE)&lt;&gt;"",VLOOKUP(A80,Dividende_je_Aktie!A$3:AM$103,13,FALSE)/VLOOKUP(A80,Schlußkurse!A$5:AU$105,41,FALSE),""),"")</f>
        <v>#N/A</v>
      </c>
      <c r="J80" s="71" t="e">
        <f>IF(VLOOKUP(A80,Schlußkurse!A$5:AU$105,42,FALSE)&gt;0,IF(VLOOKUP(A80,Dividende_je_Aktie!A$3:AM$103,14,FALSE)&lt;&gt;"",VLOOKUP(A80,Dividende_je_Aktie!A$3:AM$103,14,FALSE)/VLOOKUP(A80,Schlußkurse!A$5:AU$105,42,FALSE),""),"")</f>
        <v>#N/A</v>
      </c>
      <c r="K80" s="71" t="e">
        <f>IF(VLOOKUP(A80,Schlußkurse!A$5:AU$105,43,FALSE)&gt;0,IF(VLOOKUP(A80,Dividende_je_Aktie!A$3:AM$103,15,FALSE)&lt;&gt;"",VLOOKUP(A80,Dividende_je_Aktie!A$3:AM$103,15,FALSE)/VLOOKUP(A80,Schlußkurse!A$5:AU$105,43,FALSE),""),"")</f>
        <v>#N/A</v>
      </c>
      <c r="L80" s="71" t="e">
        <f>IF(VLOOKUP(A80,Schlußkurse!A$5:AU$105,44,FALSE)&gt;0,IF(VLOOKUP(A80,Dividende_je_Aktie!A$3:AM$103,16,FALSE)&lt;&gt;"",VLOOKUP(A80,Dividende_je_Aktie!A$3:AM$103,16,FALSE)/VLOOKUP(A80,Schlußkurse!A$5:AU$105,44,FALSE),""),"")</f>
        <v>#N/A</v>
      </c>
      <c r="M80" s="71" t="e">
        <f>IF(VLOOKUP(A80,Schlußkurse!A$5:AU$105,45,FALSE)&gt;0,IF(VLOOKUP(A80,Dividende_je_Aktie!A$3:AM$103,17,FALSE)&lt;&gt;"",VLOOKUP(A80,Dividende_je_Aktie!A$3:AM$103,17,FALSE)/VLOOKUP(A80,Schlußkurse!A$5:AU$105,45,FALSE),""),"")</f>
        <v>#N/A</v>
      </c>
      <c r="N80" s="71" t="e">
        <f>IF(VLOOKUP(A80,Schlußkurse!A$5:AU$105,46,FALSE)&gt;0,IF(VLOOKUP(A80,Dividende_je_Aktie!A$3:AM$103,18,FALSE)&lt;&gt;"",VLOOKUP(A80,Dividende_je_Aktie!A$3:AM$103,18,FALSE)/VLOOKUP(A80,Schlußkurse!A$5:AU$105,46,FALSE),""),"")</f>
        <v>#N/A</v>
      </c>
      <c r="O80" s="71" t="e">
        <f>IF(VLOOKUP(A80,Schlußkurse!A$5:AU$105,47,FALSE)&gt;0,IF(VLOOKUP(A80,Dividende_je_Aktie!A$3:AM$103,19,FALSE)&lt;&gt;"",VLOOKUP(A80,Dividende_je_Aktie!A$3:AM$103,19,FALSE)/VLOOKUP(A80,Schlußkurse!A$5:AU$105,47,FALSE),""),"")</f>
        <v>#N/A</v>
      </c>
      <c r="P80" s="71" t="e">
        <f t="shared" si="4"/>
        <v>#N/A</v>
      </c>
      <c r="Q80" s="5" t="e">
        <f>VLOOKUP(A80,Dividende_je_Aktie!A$3:AM$103,24,FALSE)/VLOOKUP(A80,Schlußkurse!A$5:AU$105,35,FALSE)</f>
        <v>#N/A</v>
      </c>
      <c r="R80" s="5" t="e">
        <f t="shared" si="5"/>
        <v>#N/A</v>
      </c>
    </row>
    <row r="81" spans="2:18">
      <c r="B81" s="38"/>
      <c r="C81" s="71" t="e">
        <f>IF(VLOOKUP(A81,Schlußkurse!A$5:AU$105,35,FALSE)&gt;0,IF(VLOOKUP(A81,Dividende_je_Aktie!A$3:AM$103,7,FALSE)&lt;&gt;"",VLOOKUP(A81,Dividende_je_Aktie!A$3:AM$103,7,FALSE)/VLOOKUP(A81,Schlußkurse!A$5:AU$105,35,FALSE),""),"")</f>
        <v>#N/A</v>
      </c>
      <c r="D81" s="71" t="e">
        <f>IF(VLOOKUP(A81,Schlußkurse!A$5:AU$105,36,FALSE)&gt;0,IF(VLOOKUP(A81,Dividende_je_Aktie!A$3:AM$103,8,FALSE)&lt;&gt;"",VLOOKUP(A81,Dividende_je_Aktie!A$3:AM$103,8,FALSE)/VLOOKUP(A81,Schlußkurse!A$5:AU$105,36,FALSE),""),"")</f>
        <v>#N/A</v>
      </c>
      <c r="E81" s="71" t="e">
        <f>IF(VLOOKUP(A81,Schlußkurse!A$5:AU$105,37,FALSE)&gt;0,IF(VLOOKUP(A81,Dividende_je_Aktie!A$3:AM$103,9,FALSE)&lt;&gt;"",VLOOKUP(A81,Dividende_je_Aktie!A$3:AM$103,9,FALSE)/VLOOKUP(A81,Schlußkurse!A$5:AU$105,37,FALSE),""),"")</f>
        <v>#N/A</v>
      </c>
      <c r="F81" s="71" t="e">
        <f>IF(VLOOKUP(A81,Schlußkurse!A$5:AU$105,38,FALSE)&gt;0,IF(VLOOKUP(A81,Dividende_je_Aktie!A$3:AM$103,10,FALSE)&lt;&gt;"",VLOOKUP(A81,Dividende_je_Aktie!A$3:AM$103,10,FALSE)/VLOOKUP(A81,Schlußkurse!A$5:AU$105,38,FALSE),""),"")</f>
        <v>#N/A</v>
      </c>
      <c r="G81" s="71" t="e">
        <f>IF(VLOOKUP(A81,Schlußkurse!A$5:AU$105,39,FALSE)&gt;0,IF(VLOOKUP(A81,Dividende_je_Aktie!A$3:AM$103,11,FALSE)&lt;&gt;"",VLOOKUP(A81,Dividende_je_Aktie!A$3:AM$103,11,FALSE)/VLOOKUP(A81,Schlußkurse!A$5:AU$105,39,FALSE),""),"")</f>
        <v>#N/A</v>
      </c>
      <c r="H81" s="71" t="e">
        <f>IF(VLOOKUP(A81,Schlußkurse!A$5:AU$105,40,FALSE)&gt;0,IF(VLOOKUP(A81,Dividende_je_Aktie!A$3:AM$103,12,FALSE)&lt;&gt;"",VLOOKUP(A81,Dividende_je_Aktie!A$3:AM$103,12,FALSE)/VLOOKUP(A81,Schlußkurse!A$5:AU$105,40,FALSE),""),"")</f>
        <v>#N/A</v>
      </c>
      <c r="I81" s="71" t="e">
        <f>IF(VLOOKUP(A81,Schlußkurse!A$5:AU$105,41,FALSE)&gt;0,IF(VLOOKUP(A81,Dividende_je_Aktie!A$3:AM$103,13,FALSE)&lt;&gt;"",VLOOKUP(A81,Dividende_je_Aktie!A$3:AM$103,13,FALSE)/VLOOKUP(A81,Schlußkurse!A$5:AU$105,41,FALSE),""),"")</f>
        <v>#N/A</v>
      </c>
      <c r="J81" s="71" t="e">
        <f>IF(VLOOKUP(A81,Schlußkurse!A$5:AU$105,42,FALSE)&gt;0,IF(VLOOKUP(A81,Dividende_je_Aktie!A$3:AM$103,14,FALSE)&lt;&gt;"",VLOOKUP(A81,Dividende_je_Aktie!A$3:AM$103,14,FALSE)/VLOOKUP(A81,Schlußkurse!A$5:AU$105,42,FALSE),""),"")</f>
        <v>#N/A</v>
      </c>
      <c r="K81" s="71" t="e">
        <f>IF(VLOOKUP(A81,Schlußkurse!A$5:AU$105,43,FALSE)&gt;0,IF(VLOOKUP(A81,Dividende_je_Aktie!A$3:AM$103,15,FALSE)&lt;&gt;"",VLOOKUP(A81,Dividende_je_Aktie!A$3:AM$103,15,FALSE)/VLOOKUP(A81,Schlußkurse!A$5:AU$105,43,FALSE),""),"")</f>
        <v>#N/A</v>
      </c>
      <c r="L81" s="71" t="e">
        <f>IF(VLOOKUP(A81,Schlußkurse!A$5:AU$105,44,FALSE)&gt;0,IF(VLOOKUP(A81,Dividende_je_Aktie!A$3:AM$103,16,FALSE)&lt;&gt;"",VLOOKUP(A81,Dividende_je_Aktie!A$3:AM$103,16,FALSE)/VLOOKUP(A81,Schlußkurse!A$5:AU$105,44,FALSE),""),"")</f>
        <v>#N/A</v>
      </c>
      <c r="M81" s="71" t="e">
        <f>IF(VLOOKUP(A81,Schlußkurse!A$5:AU$105,45,FALSE)&gt;0,IF(VLOOKUP(A81,Dividende_je_Aktie!A$3:AM$103,17,FALSE)&lt;&gt;"",VLOOKUP(A81,Dividende_je_Aktie!A$3:AM$103,17,FALSE)/VLOOKUP(A81,Schlußkurse!A$5:AU$105,45,FALSE),""),"")</f>
        <v>#N/A</v>
      </c>
      <c r="N81" s="71" t="e">
        <f>IF(VLOOKUP(A81,Schlußkurse!A$5:AU$105,46,FALSE)&gt;0,IF(VLOOKUP(A81,Dividende_je_Aktie!A$3:AM$103,18,FALSE)&lt;&gt;"",VLOOKUP(A81,Dividende_je_Aktie!A$3:AM$103,18,FALSE)/VLOOKUP(A81,Schlußkurse!A$5:AU$105,46,FALSE),""),"")</f>
        <v>#N/A</v>
      </c>
      <c r="O81" s="71" t="e">
        <f>IF(VLOOKUP(A81,Schlußkurse!A$5:AU$105,47,FALSE)&gt;0,IF(VLOOKUP(A81,Dividende_je_Aktie!A$3:AM$103,19,FALSE)&lt;&gt;"",VLOOKUP(A81,Dividende_je_Aktie!A$3:AM$103,19,FALSE)/VLOOKUP(A81,Schlußkurse!A$5:AU$105,47,FALSE),""),"")</f>
        <v>#N/A</v>
      </c>
      <c r="P81" s="71" t="e">
        <f t="shared" si="4"/>
        <v>#N/A</v>
      </c>
      <c r="Q81" s="5" t="e">
        <f>VLOOKUP(A81,Dividende_je_Aktie!A$3:AM$103,24,FALSE)/VLOOKUP(A81,Schlußkurse!A$5:AU$105,35,FALSE)</f>
        <v>#N/A</v>
      </c>
      <c r="R81" s="5" t="e">
        <f t="shared" si="5"/>
        <v>#N/A</v>
      </c>
    </row>
    <row r="82" spans="2:18">
      <c r="B82" s="38"/>
      <c r="C82" s="71" t="e">
        <f>IF(VLOOKUP(A82,Schlußkurse!A$5:AU$105,35,FALSE)&gt;0,IF(VLOOKUP(A82,Dividende_je_Aktie!A$3:AM$103,7,FALSE)&lt;&gt;"",VLOOKUP(A82,Dividende_je_Aktie!A$3:AM$103,7,FALSE)/VLOOKUP(A82,Schlußkurse!A$5:AU$105,35,FALSE),""),"")</f>
        <v>#N/A</v>
      </c>
      <c r="D82" s="71" t="e">
        <f>IF(VLOOKUP(A82,Schlußkurse!A$5:AU$105,36,FALSE)&gt;0,IF(VLOOKUP(A82,Dividende_je_Aktie!A$3:AM$103,8,FALSE)&lt;&gt;"",VLOOKUP(A82,Dividende_je_Aktie!A$3:AM$103,8,FALSE)/VLOOKUP(A82,Schlußkurse!A$5:AU$105,36,FALSE),""),"")</f>
        <v>#N/A</v>
      </c>
      <c r="E82" s="71" t="e">
        <f>IF(VLOOKUP(A82,Schlußkurse!A$5:AU$105,37,FALSE)&gt;0,IF(VLOOKUP(A82,Dividende_je_Aktie!A$3:AM$103,9,FALSE)&lt;&gt;"",VLOOKUP(A82,Dividende_je_Aktie!A$3:AM$103,9,FALSE)/VLOOKUP(A82,Schlußkurse!A$5:AU$105,37,FALSE),""),"")</f>
        <v>#N/A</v>
      </c>
      <c r="F82" s="71" t="e">
        <f>IF(VLOOKUP(A82,Schlußkurse!A$5:AU$105,38,FALSE)&gt;0,IF(VLOOKUP(A82,Dividende_je_Aktie!A$3:AM$103,10,FALSE)&lt;&gt;"",VLOOKUP(A82,Dividende_je_Aktie!A$3:AM$103,10,FALSE)/VLOOKUP(A82,Schlußkurse!A$5:AU$105,38,FALSE),""),"")</f>
        <v>#N/A</v>
      </c>
      <c r="G82" s="71" t="e">
        <f>IF(VLOOKUP(A82,Schlußkurse!A$5:AU$105,39,FALSE)&gt;0,IF(VLOOKUP(A82,Dividende_je_Aktie!A$3:AM$103,11,FALSE)&lt;&gt;"",VLOOKUP(A82,Dividende_je_Aktie!A$3:AM$103,11,FALSE)/VLOOKUP(A82,Schlußkurse!A$5:AU$105,39,FALSE),""),"")</f>
        <v>#N/A</v>
      </c>
      <c r="H82" s="71" t="e">
        <f>IF(VLOOKUP(A82,Schlußkurse!A$5:AU$105,40,FALSE)&gt;0,IF(VLOOKUP(A82,Dividende_je_Aktie!A$3:AM$103,12,FALSE)&lt;&gt;"",VLOOKUP(A82,Dividende_je_Aktie!A$3:AM$103,12,FALSE)/VLOOKUP(A82,Schlußkurse!A$5:AU$105,40,FALSE),""),"")</f>
        <v>#N/A</v>
      </c>
      <c r="I82" s="71" t="e">
        <f>IF(VLOOKUP(A82,Schlußkurse!A$5:AU$105,41,FALSE)&gt;0,IF(VLOOKUP(A82,Dividende_je_Aktie!A$3:AM$103,13,FALSE)&lt;&gt;"",VLOOKUP(A82,Dividende_je_Aktie!A$3:AM$103,13,FALSE)/VLOOKUP(A82,Schlußkurse!A$5:AU$105,41,FALSE),""),"")</f>
        <v>#N/A</v>
      </c>
      <c r="J82" s="71" t="e">
        <f>IF(VLOOKUP(A82,Schlußkurse!A$5:AU$105,42,FALSE)&gt;0,IF(VLOOKUP(A82,Dividende_je_Aktie!A$3:AM$103,14,FALSE)&lt;&gt;"",VLOOKUP(A82,Dividende_je_Aktie!A$3:AM$103,14,FALSE)/VLOOKUP(A82,Schlußkurse!A$5:AU$105,42,FALSE),""),"")</f>
        <v>#N/A</v>
      </c>
      <c r="K82" s="71" t="e">
        <f>IF(VLOOKUP(A82,Schlußkurse!A$5:AU$105,43,FALSE)&gt;0,IF(VLOOKUP(A82,Dividende_je_Aktie!A$3:AM$103,15,FALSE)&lt;&gt;"",VLOOKUP(A82,Dividende_je_Aktie!A$3:AM$103,15,FALSE)/VLOOKUP(A82,Schlußkurse!A$5:AU$105,43,FALSE),""),"")</f>
        <v>#N/A</v>
      </c>
      <c r="L82" s="71" t="e">
        <f>IF(VLOOKUP(A82,Schlußkurse!A$5:AU$105,44,FALSE)&gt;0,IF(VLOOKUP(A82,Dividende_je_Aktie!A$3:AM$103,16,FALSE)&lt;&gt;"",VLOOKUP(A82,Dividende_je_Aktie!A$3:AM$103,16,FALSE)/VLOOKUP(A82,Schlußkurse!A$5:AU$105,44,FALSE),""),"")</f>
        <v>#N/A</v>
      </c>
      <c r="M82" s="71" t="e">
        <f>IF(VLOOKUP(A82,Schlußkurse!A$5:AU$105,45,FALSE)&gt;0,IF(VLOOKUP(A82,Dividende_je_Aktie!A$3:AM$103,17,FALSE)&lt;&gt;"",VLOOKUP(A82,Dividende_je_Aktie!A$3:AM$103,17,FALSE)/VLOOKUP(A82,Schlußkurse!A$5:AU$105,45,FALSE),""),"")</f>
        <v>#N/A</v>
      </c>
      <c r="N82" s="71" t="e">
        <f>IF(VLOOKUP(A82,Schlußkurse!A$5:AU$105,46,FALSE)&gt;0,IF(VLOOKUP(A82,Dividende_je_Aktie!A$3:AM$103,18,FALSE)&lt;&gt;"",VLOOKUP(A82,Dividende_je_Aktie!A$3:AM$103,18,FALSE)/VLOOKUP(A82,Schlußkurse!A$5:AU$105,46,FALSE),""),"")</f>
        <v>#N/A</v>
      </c>
      <c r="O82" s="71" t="e">
        <f>IF(VLOOKUP(A82,Schlußkurse!A$5:AU$105,47,FALSE)&gt;0,IF(VLOOKUP(A82,Dividende_je_Aktie!A$3:AM$103,19,FALSE)&lt;&gt;"",VLOOKUP(A82,Dividende_je_Aktie!A$3:AM$103,19,FALSE)/VLOOKUP(A82,Schlußkurse!A$5:AU$105,47,FALSE),""),"")</f>
        <v>#N/A</v>
      </c>
      <c r="P82" s="71" t="e">
        <f t="shared" si="4"/>
        <v>#N/A</v>
      </c>
      <c r="Q82" s="5" t="e">
        <f>VLOOKUP(A82,Dividende_je_Aktie!A$3:AM$103,24,FALSE)/VLOOKUP(A82,Schlußkurse!A$5:AU$105,35,FALSE)</f>
        <v>#N/A</v>
      </c>
      <c r="R82" s="5" t="e">
        <f t="shared" si="5"/>
        <v>#N/A</v>
      </c>
    </row>
    <row r="83" spans="2:18">
      <c r="B83" s="38"/>
      <c r="C83" s="71" t="e">
        <f>IF(VLOOKUP(A83,Schlußkurse!A$5:AU$105,35,FALSE)&gt;0,IF(VLOOKUP(A83,Dividende_je_Aktie!A$3:AM$103,7,FALSE)&lt;&gt;"",VLOOKUP(A83,Dividende_je_Aktie!A$3:AM$103,7,FALSE)/VLOOKUP(A83,Schlußkurse!A$5:AU$105,35,FALSE),""),"")</f>
        <v>#N/A</v>
      </c>
      <c r="D83" s="71" t="e">
        <f>IF(VLOOKUP(A83,Schlußkurse!A$5:AU$105,36,FALSE)&gt;0,IF(VLOOKUP(A83,Dividende_je_Aktie!A$3:AM$103,8,FALSE)&lt;&gt;"",VLOOKUP(A83,Dividende_je_Aktie!A$3:AM$103,8,FALSE)/VLOOKUP(A83,Schlußkurse!A$5:AU$105,36,FALSE),""),"")</f>
        <v>#N/A</v>
      </c>
      <c r="E83" s="71" t="e">
        <f>IF(VLOOKUP(A83,Schlußkurse!A$5:AU$105,37,FALSE)&gt;0,IF(VLOOKUP(A83,Dividende_je_Aktie!A$3:AM$103,9,FALSE)&lt;&gt;"",VLOOKUP(A83,Dividende_je_Aktie!A$3:AM$103,9,FALSE)/VLOOKUP(A83,Schlußkurse!A$5:AU$105,37,FALSE),""),"")</f>
        <v>#N/A</v>
      </c>
      <c r="F83" s="71" t="e">
        <f>IF(VLOOKUP(A83,Schlußkurse!A$5:AU$105,38,FALSE)&gt;0,IF(VLOOKUP(A83,Dividende_je_Aktie!A$3:AM$103,10,FALSE)&lt;&gt;"",VLOOKUP(A83,Dividende_je_Aktie!A$3:AM$103,10,FALSE)/VLOOKUP(A83,Schlußkurse!A$5:AU$105,38,FALSE),""),"")</f>
        <v>#N/A</v>
      </c>
      <c r="G83" s="71" t="e">
        <f>IF(VLOOKUP(A83,Schlußkurse!A$5:AU$105,39,FALSE)&gt;0,IF(VLOOKUP(A83,Dividende_je_Aktie!A$3:AM$103,11,FALSE)&lt;&gt;"",VLOOKUP(A83,Dividende_je_Aktie!A$3:AM$103,11,FALSE)/VLOOKUP(A83,Schlußkurse!A$5:AU$105,39,FALSE),""),"")</f>
        <v>#N/A</v>
      </c>
      <c r="H83" s="71" t="e">
        <f>IF(VLOOKUP(A83,Schlußkurse!A$5:AU$105,40,FALSE)&gt;0,IF(VLOOKUP(A83,Dividende_je_Aktie!A$3:AM$103,12,FALSE)&lt;&gt;"",VLOOKUP(A83,Dividende_je_Aktie!A$3:AM$103,12,FALSE)/VLOOKUP(A83,Schlußkurse!A$5:AU$105,40,FALSE),""),"")</f>
        <v>#N/A</v>
      </c>
      <c r="I83" s="71" t="e">
        <f>IF(VLOOKUP(A83,Schlußkurse!A$5:AU$105,41,FALSE)&gt;0,IF(VLOOKUP(A83,Dividende_je_Aktie!A$3:AM$103,13,FALSE)&lt;&gt;"",VLOOKUP(A83,Dividende_je_Aktie!A$3:AM$103,13,FALSE)/VLOOKUP(A83,Schlußkurse!A$5:AU$105,41,FALSE),""),"")</f>
        <v>#N/A</v>
      </c>
      <c r="J83" s="71" t="e">
        <f>IF(VLOOKUP(A83,Schlußkurse!A$5:AU$105,42,FALSE)&gt;0,IF(VLOOKUP(A83,Dividende_je_Aktie!A$3:AM$103,14,FALSE)&lt;&gt;"",VLOOKUP(A83,Dividende_je_Aktie!A$3:AM$103,14,FALSE)/VLOOKUP(A83,Schlußkurse!A$5:AU$105,42,FALSE),""),"")</f>
        <v>#N/A</v>
      </c>
      <c r="K83" s="71" t="e">
        <f>IF(VLOOKUP(A83,Schlußkurse!A$5:AU$105,43,FALSE)&gt;0,IF(VLOOKUP(A83,Dividende_je_Aktie!A$3:AM$103,15,FALSE)&lt;&gt;"",VLOOKUP(A83,Dividende_je_Aktie!A$3:AM$103,15,FALSE)/VLOOKUP(A83,Schlußkurse!A$5:AU$105,43,FALSE),""),"")</f>
        <v>#N/A</v>
      </c>
      <c r="L83" s="71" t="e">
        <f>IF(VLOOKUP(A83,Schlußkurse!A$5:AU$105,44,FALSE)&gt;0,IF(VLOOKUP(A83,Dividende_je_Aktie!A$3:AM$103,16,FALSE)&lt;&gt;"",VLOOKUP(A83,Dividende_je_Aktie!A$3:AM$103,16,FALSE)/VLOOKUP(A83,Schlußkurse!A$5:AU$105,44,FALSE),""),"")</f>
        <v>#N/A</v>
      </c>
      <c r="M83" s="71" t="e">
        <f>IF(VLOOKUP(A83,Schlußkurse!A$5:AU$105,45,FALSE)&gt;0,IF(VLOOKUP(A83,Dividende_je_Aktie!A$3:AM$103,17,FALSE)&lt;&gt;"",VLOOKUP(A83,Dividende_je_Aktie!A$3:AM$103,17,FALSE)/VLOOKUP(A83,Schlußkurse!A$5:AU$105,45,FALSE),""),"")</f>
        <v>#N/A</v>
      </c>
      <c r="N83" s="71" t="e">
        <f>IF(VLOOKUP(A83,Schlußkurse!A$5:AU$105,46,FALSE)&gt;0,IF(VLOOKUP(A83,Dividende_je_Aktie!A$3:AM$103,18,FALSE)&lt;&gt;"",VLOOKUP(A83,Dividende_je_Aktie!A$3:AM$103,18,FALSE)/VLOOKUP(A83,Schlußkurse!A$5:AU$105,46,FALSE),""),"")</f>
        <v>#N/A</v>
      </c>
      <c r="O83" s="71" t="e">
        <f>IF(VLOOKUP(A83,Schlußkurse!A$5:AU$105,47,FALSE)&gt;0,IF(VLOOKUP(A83,Dividende_je_Aktie!A$3:AM$103,19,FALSE)&lt;&gt;"",VLOOKUP(A83,Dividende_je_Aktie!A$3:AM$103,19,FALSE)/VLOOKUP(A83,Schlußkurse!A$5:AU$105,47,FALSE),""),"")</f>
        <v>#N/A</v>
      </c>
      <c r="P83" s="71" t="e">
        <f t="shared" si="4"/>
        <v>#N/A</v>
      </c>
      <c r="Q83" s="5" t="e">
        <f>VLOOKUP(A83,Dividende_je_Aktie!A$3:AM$103,24,FALSE)/VLOOKUP(A83,Schlußkurse!A$5:AU$105,35,FALSE)</f>
        <v>#N/A</v>
      </c>
      <c r="R83" s="5" t="e">
        <f t="shared" si="5"/>
        <v>#N/A</v>
      </c>
    </row>
    <row r="84" spans="2:18">
      <c r="B84" s="38"/>
      <c r="C84" s="71" t="e">
        <f>IF(VLOOKUP(A84,Schlußkurse!A$5:AU$105,35,FALSE)&gt;0,IF(VLOOKUP(A84,Dividende_je_Aktie!A$3:AM$103,7,FALSE)&lt;&gt;"",VLOOKUP(A84,Dividende_je_Aktie!A$3:AM$103,7,FALSE)/VLOOKUP(A84,Schlußkurse!A$5:AU$105,35,FALSE),""),"")</f>
        <v>#N/A</v>
      </c>
      <c r="D84" s="71" t="e">
        <f>IF(VLOOKUP(A84,Schlußkurse!A$5:AU$105,36,FALSE)&gt;0,IF(VLOOKUP(A84,Dividende_je_Aktie!A$3:AM$103,8,FALSE)&lt;&gt;"",VLOOKUP(A84,Dividende_je_Aktie!A$3:AM$103,8,FALSE)/VLOOKUP(A84,Schlußkurse!A$5:AU$105,36,FALSE),""),"")</f>
        <v>#N/A</v>
      </c>
      <c r="E84" s="71" t="e">
        <f>IF(VLOOKUP(A84,Schlußkurse!A$5:AU$105,37,FALSE)&gt;0,IF(VLOOKUP(A84,Dividende_je_Aktie!A$3:AM$103,9,FALSE)&lt;&gt;"",VLOOKUP(A84,Dividende_je_Aktie!A$3:AM$103,9,FALSE)/VLOOKUP(A84,Schlußkurse!A$5:AU$105,37,FALSE),""),"")</f>
        <v>#N/A</v>
      </c>
      <c r="F84" s="71" t="e">
        <f>IF(VLOOKUP(A84,Schlußkurse!A$5:AU$105,38,FALSE)&gt;0,IF(VLOOKUP(A84,Dividende_je_Aktie!A$3:AM$103,10,FALSE)&lt;&gt;"",VLOOKUP(A84,Dividende_je_Aktie!A$3:AM$103,10,FALSE)/VLOOKUP(A84,Schlußkurse!A$5:AU$105,38,FALSE),""),"")</f>
        <v>#N/A</v>
      </c>
      <c r="G84" s="71" t="e">
        <f>IF(VLOOKUP(A84,Schlußkurse!A$5:AU$105,39,FALSE)&gt;0,IF(VLOOKUP(A84,Dividende_je_Aktie!A$3:AM$103,11,FALSE)&lt;&gt;"",VLOOKUP(A84,Dividende_je_Aktie!A$3:AM$103,11,FALSE)/VLOOKUP(A84,Schlußkurse!A$5:AU$105,39,FALSE),""),"")</f>
        <v>#N/A</v>
      </c>
      <c r="H84" s="71" t="e">
        <f>IF(VLOOKUP(A84,Schlußkurse!A$5:AU$105,40,FALSE)&gt;0,IF(VLOOKUP(A84,Dividende_je_Aktie!A$3:AM$103,12,FALSE)&lt;&gt;"",VLOOKUP(A84,Dividende_je_Aktie!A$3:AM$103,12,FALSE)/VLOOKUP(A84,Schlußkurse!A$5:AU$105,40,FALSE),""),"")</f>
        <v>#N/A</v>
      </c>
      <c r="I84" s="71" t="e">
        <f>IF(VLOOKUP(A84,Schlußkurse!A$5:AU$105,41,FALSE)&gt;0,IF(VLOOKUP(A84,Dividende_je_Aktie!A$3:AM$103,13,FALSE)&lt;&gt;"",VLOOKUP(A84,Dividende_je_Aktie!A$3:AM$103,13,FALSE)/VLOOKUP(A84,Schlußkurse!A$5:AU$105,41,FALSE),""),"")</f>
        <v>#N/A</v>
      </c>
      <c r="J84" s="71" t="e">
        <f>IF(VLOOKUP(A84,Schlußkurse!A$5:AU$105,42,FALSE)&gt;0,IF(VLOOKUP(A84,Dividende_je_Aktie!A$3:AM$103,14,FALSE)&lt;&gt;"",VLOOKUP(A84,Dividende_je_Aktie!A$3:AM$103,14,FALSE)/VLOOKUP(A84,Schlußkurse!A$5:AU$105,42,FALSE),""),"")</f>
        <v>#N/A</v>
      </c>
      <c r="K84" s="71" t="e">
        <f>IF(VLOOKUP(A84,Schlußkurse!A$5:AU$105,43,FALSE)&gt;0,IF(VLOOKUP(A84,Dividende_je_Aktie!A$3:AM$103,15,FALSE)&lt;&gt;"",VLOOKUP(A84,Dividende_je_Aktie!A$3:AM$103,15,FALSE)/VLOOKUP(A84,Schlußkurse!A$5:AU$105,43,FALSE),""),"")</f>
        <v>#N/A</v>
      </c>
      <c r="L84" s="71" t="e">
        <f>IF(VLOOKUP(A84,Schlußkurse!A$5:AU$105,44,FALSE)&gt;0,IF(VLOOKUP(A84,Dividende_je_Aktie!A$3:AM$103,16,FALSE)&lt;&gt;"",VLOOKUP(A84,Dividende_je_Aktie!A$3:AM$103,16,FALSE)/VLOOKUP(A84,Schlußkurse!A$5:AU$105,44,FALSE),""),"")</f>
        <v>#N/A</v>
      </c>
      <c r="M84" s="71" t="e">
        <f>IF(VLOOKUP(A84,Schlußkurse!A$5:AU$105,45,FALSE)&gt;0,IF(VLOOKUP(A84,Dividende_je_Aktie!A$3:AM$103,17,FALSE)&lt;&gt;"",VLOOKUP(A84,Dividende_je_Aktie!A$3:AM$103,17,FALSE)/VLOOKUP(A84,Schlußkurse!A$5:AU$105,45,FALSE),""),"")</f>
        <v>#N/A</v>
      </c>
      <c r="N84" s="71" t="e">
        <f>IF(VLOOKUP(A84,Schlußkurse!A$5:AU$105,46,FALSE)&gt;0,IF(VLOOKUP(A84,Dividende_je_Aktie!A$3:AM$103,18,FALSE)&lt;&gt;"",VLOOKUP(A84,Dividende_je_Aktie!A$3:AM$103,18,FALSE)/VLOOKUP(A84,Schlußkurse!A$5:AU$105,46,FALSE),""),"")</f>
        <v>#N/A</v>
      </c>
      <c r="O84" s="71" t="e">
        <f>IF(VLOOKUP(A84,Schlußkurse!A$5:AU$105,47,FALSE)&gt;0,IF(VLOOKUP(A84,Dividende_je_Aktie!A$3:AM$103,19,FALSE)&lt;&gt;"",VLOOKUP(A84,Dividende_je_Aktie!A$3:AM$103,19,FALSE)/VLOOKUP(A84,Schlußkurse!A$5:AU$105,47,FALSE),""),"")</f>
        <v>#N/A</v>
      </c>
      <c r="P84" s="71" t="e">
        <f t="shared" si="4"/>
        <v>#N/A</v>
      </c>
      <c r="Q84" s="5" t="e">
        <f>VLOOKUP(A84,Dividende_je_Aktie!A$3:AM$103,24,FALSE)/VLOOKUP(A84,Schlußkurse!A$5:AU$105,35,FALSE)</f>
        <v>#N/A</v>
      </c>
      <c r="R84" s="5" t="e">
        <f t="shared" si="5"/>
        <v>#N/A</v>
      </c>
    </row>
    <row r="85" spans="2:18">
      <c r="B85" s="38"/>
      <c r="C85" s="71" t="e">
        <f>IF(VLOOKUP(A85,Schlußkurse!A$5:AU$105,35,FALSE)&gt;0,IF(VLOOKUP(A85,Dividende_je_Aktie!A$3:AM$103,7,FALSE)&lt;&gt;"",VLOOKUP(A85,Dividende_je_Aktie!A$3:AM$103,7,FALSE)/VLOOKUP(A85,Schlußkurse!A$5:AU$105,35,FALSE),""),"")</f>
        <v>#N/A</v>
      </c>
      <c r="D85" s="71" t="e">
        <f>IF(VLOOKUP(A85,Schlußkurse!A$5:AU$105,36,FALSE)&gt;0,IF(VLOOKUP(A85,Dividende_je_Aktie!A$3:AM$103,8,FALSE)&lt;&gt;"",VLOOKUP(A85,Dividende_je_Aktie!A$3:AM$103,8,FALSE)/VLOOKUP(A85,Schlußkurse!A$5:AU$105,36,FALSE),""),"")</f>
        <v>#N/A</v>
      </c>
      <c r="E85" s="71" t="e">
        <f>IF(VLOOKUP(A85,Schlußkurse!A$5:AU$105,37,FALSE)&gt;0,IF(VLOOKUP(A85,Dividende_je_Aktie!A$3:AM$103,9,FALSE)&lt;&gt;"",VLOOKUP(A85,Dividende_je_Aktie!A$3:AM$103,9,FALSE)/VLOOKUP(A85,Schlußkurse!A$5:AU$105,37,FALSE),""),"")</f>
        <v>#N/A</v>
      </c>
      <c r="F85" s="71" t="e">
        <f>IF(VLOOKUP(A85,Schlußkurse!A$5:AU$105,38,FALSE)&gt;0,IF(VLOOKUP(A85,Dividende_je_Aktie!A$3:AM$103,10,FALSE)&lt;&gt;"",VLOOKUP(A85,Dividende_je_Aktie!A$3:AM$103,10,FALSE)/VLOOKUP(A85,Schlußkurse!A$5:AU$105,38,FALSE),""),"")</f>
        <v>#N/A</v>
      </c>
      <c r="G85" s="71" t="e">
        <f>IF(VLOOKUP(A85,Schlußkurse!A$5:AU$105,39,FALSE)&gt;0,IF(VLOOKUP(A85,Dividende_je_Aktie!A$3:AM$103,11,FALSE)&lt;&gt;"",VLOOKUP(A85,Dividende_je_Aktie!A$3:AM$103,11,FALSE)/VLOOKUP(A85,Schlußkurse!A$5:AU$105,39,FALSE),""),"")</f>
        <v>#N/A</v>
      </c>
      <c r="H85" s="71" t="e">
        <f>IF(VLOOKUP(A85,Schlußkurse!A$5:AU$105,40,FALSE)&gt;0,IF(VLOOKUP(A85,Dividende_je_Aktie!A$3:AM$103,12,FALSE)&lt;&gt;"",VLOOKUP(A85,Dividende_je_Aktie!A$3:AM$103,12,FALSE)/VLOOKUP(A85,Schlußkurse!A$5:AU$105,40,FALSE),""),"")</f>
        <v>#N/A</v>
      </c>
      <c r="I85" s="71" t="e">
        <f>IF(VLOOKUP(A85,Schlußkurse!A$5:AU$105,41,FALSE)&gt;0,IF(VLOOKUP(A85,Dividende_je_Aktie!A$3:AM$103,13,FALSE)&lt;&gt;"",VLOOKUP(A85,Dividende_je_Aktie!A$3:AM$103,13,FALSE)/VLOOKUP(A85,Schlußkurse!A$5:AU$105,41,FALSE),""),"")</f>
        <v>#N/A</v>
      </c>
      <c r="J85" s="71" t="e">
        <f>IF(VLOOKUP(A85,Schlußkurse!A$5:AU$105,42,FALSE)&gt;0,IF(VLOOKUP(A85,Dividende_je_Aktie!A$3:AM$103,14,FALSE)&lt;&gt;"",VLOOKUP(A85,Dividende_je_Aktie!A$3:AM$103,14,FALSE)/VLOOKUP(A85,Schlußkurse!A$5:AU$105,42,FALSE),""),"")</f>
        <v>#N/A</v>
      </c>
      <c r="K85" s="71" t="e">
        <f>IF(VLOOKUP(A85,Schlußkurse!A$5:AU$105,43,FALSE)&gt;0,IF(VLOOKUP(A85,Dividende_je_Aktie!A$3:AM$103,15,FALSE)&lt;&gt;"",VLOOKUP(A85,Dividende_je_Aktie!A$3:AM$103,15,FALSE)/VLOOKUP(A85,Schlußkurse!A$5:AU$105,43,FALSE),""),"")</f>
        <v>#N/A</v>
      </c>
      <c r="L85" s="71" t="e">
        <f>IF(VLOOKUP(A85,Schlußkurse!A$5:AU$105,44,FALSE)&gt;0,IF(VLOOKUP(A85,Dividende_je_Aktie!A$3:AM$103,16,FALSE)&lt;&gt;"",VLOOKUP(A85,Dividende_je_Aktie!A$3:AM$103,16,FALSE)/VLOOKUP(A85,Schlußkurse!A$5:AU$105,44,FALSE),""),"")</f>
        <v>#N/A</v>
      </c>
      <c r="M85" s="71" t="e">
        <f>IF(VLOOKUP(A85,Schlußkurse!A$5:AU$105,45,FALSE)&gt;0,IF(VLOOKUP(A85,Dividende_je_Aktie!A$3:AM$103,17,FALSE)&lt;&gt;"",VLOOKUP(A85,Dividende_je_Aktie!A$3:AM$103,17,FALSE)/VLOOKUP(A85,Schlußkurse!A$5:AU$105,45,FALSE),""),"")</f>
        <v>#N/A</v>
      </c>
      <c r="N85" s="71" t="e">
        <f>IF(VLOOKUP(A85,Schlußkurse!A$5:AU$105,46,FALSE)&gt;0,IF(VLOOKUP(A85,Dividende_je_Aktie!A$3:AM$103,18,FALSE)&lt;&gt;"",VLOOKUP(A85,Dividende_je_Aktie!A$3:AM$103,18,FALSE)/VLOOKUP(A85,Schlußkurse!A$5:AU$105,46,FALSE),""),"")</f>
        <v>#N/A</v>
      </c>
      <c r="O85" s="71" t="e">
        <f>IF(VLOOKUP(A85,Schlußkurse!A$5:AU$105,47,FALSE)&gt;0,IF(VLOOKUP(A85,Dividende_je_Aktie!A$3:AM$103,19,FALSE)&lt;&gt;"",VLOOKUP(A85,Dividende_je_Aktie!A$3:AM$103,19,FALSE)/VLOOKUP(A85,Schlußkurse!A$5:AU$105,47,FALSE),""),"")</f>
        <v>#N/A</v>
      </c>
      <c r="P85" s="71" t="e">
        <f t="shared" si="4"/>
        <v>#N/A</v>
      </c>
      <c r="Q85" s="5" t="e">
        <f>VLOOKUP(A85,Dividende_je_Aktie!A$3:AM$103,24,FALSE)/VLOOKUP(A85,Schlußkurse!A$5:AU$105,35,FALSE)</f>
        <v>#N/A</v>
      </c>
      <c r="R85" s="5" t="e">
        <f t="shared" si="5"/>
        <v>#N/A</v>
      </c>
    </row>
    <row r="86" spans="2:18">
      <c r="B86" s="38"/>
      <c r="C86" s="71" t="e">
        <f>IF(VLOOKUP(A86,Schlußkurse!A$5:AU$105,35,FALSE)&gt;0,IF(VLOOKUP(A86,Dividende_je_Aktie!A$3:AM$103,7,FALSE)&lt;&gt;"",VLOOKUP(A86,Dividende_je_Aktie!A$3:AM$103,7,FALSE)/VLOOKUP(A86,Schlußkurse!A$5:AU$105,35,FALSE),""),"")</f>
        <v>#N/A</v>
      </c>
      <c r="D86" s="71" t="e">
        <f>IF(VLOOKUP(A86,Schlußkurse!A$5:AU$105,36,FALSE)&gt;0,IF(VLOOKUP(A86,Dividende_je_Aktie!A$3:AM$103,8,FALSE)&lt;&gt;"",VLOOKUP(A86,Dividende_je_Aktie!A$3:AM$103,8,FALSE)/VLOOKUP(A86,Schlußkurse!A$5:AU$105,36,FALSE),""),"")</f>
        <v>#N/A</v>
      </c>
      <c r="E86" s="71" t="e">
        <f>IF(VLOOKUP(A86,Schlußkurse!A$5:AU$105,37,FALSE)&gt;0,IF(VLOOKUP(A86,Dividende_je_Aktie!A$3:AM$103,9,FALSE)&lt;&gt;"",VLOOKUP(A86,Dividende_je_Aktie!A$3:AM$103,9,FALSE)/VLOOKUP(A86,Schlußkurse!A$5:AU$105,37,FALSE),""),"")</f>
        <v>#N/A</v>
      </c>
      <c r="F86" s="71" t="e">
        <f>IF(VLOOKUP(A86,Schlußkurse!A$5:AU$105,38,FALSE)&gt;0,IF(VLOOKUP(A86,Dividende_je_Aktie!A$3:AM$103,10,FALSE)&lt;&gt;"",VLOOKUP(A86,Dividende_je_Aktie!A$3:AM$103,10,FALSE)/VLOOKUP(A86,Schlußkurse!A$5:AU$105,38,FALSE),""),"")</f>
        <v>#N/A</v>
      </c>
      <c r="G86" s="71" t="e">
        <f>IF(VLOOKUP(A86,Schlußkurse!A$5:AU$105,39,FALSE)&gt;0,IF(VLOOKUP(A86,Dividende_je_Aktie!A$3:AM$103,11,FALSE)&lt;&gt;"",VLOOKUP(A86,Dividende_je_Aktie!A$3:AM$103,11,FALSE)/VLOOKUP(A86,Schlußkurse!A$5:AU$105,39,FALSE),""),"")</f>
        <v>#N/A</v>
      </c>
      <c r="H86" s="71" t="e">
        <f>IF(VLOOKUP(A86,Schlußkurse!A$5:AU$105,40,FALSE)&gt;0,IF(VLOOKUP(A86,Dividende_je_Aktie!A$3:AM$103,12,FALSE)&lt;&gt;"",VLOOKUP(A86,Dividende_je_Aktie!A$3:AM$103,12,FALSE)/VLOOKUP(A86,Schlußkurse!A$5:AU$105,40,FALSE),""),"")</f>
        <v>#N/A</v>
      </c>
      <c r="I86" s="71" t="e">
        <f>IF(VLOOKUP(A86,Schlußkurse!A$5:AU$105,41,FALSE)&gt;0,IF(VLOOKUP(A86,Dividende_je_Aktie!A$3:AM$103,13,FALSE)&lt;&gt;"",VLOOKUP(A86,Dividende_je_Aktie!A$3:AM$103,13,FALSE)/VLOOKUP(A86,Schlußkurse!A$5:AU$105,41,FALSE),""),"")</f>
        <v>#N/A</v>
      </c>
      <c r="J86" s="71" t="e">
        <f>IF(VLOOKUP(A86,Schlußkurse!A$5:AU$105,42,FALSE)&gt;0,IF(VLOOKUP(A86,Dividende_je_Aktie!A$3:AM$103,14,FALSE)&lt;&gt;"",VLOOKUP(A86,Dividende_je_Aktie!A$3:AM$103,14,FALSE)/VLOOKUP(A86,Schlußkurse!A$5:AU$105,42,FALSE),""),"")</f>
        <v>#N/A</v>
      </c>
      <c r="K86" s="71" t="e">
        <f>IF(VLOOKUP(A86,Schlußkurse!A$5:AU$105,43,FALSE)&gt;0,IF(VLOOKUP(A86,Dividende_je_Aktie!A$3:AM$103,15,FALSE)&lt;&gt;"",VLOOKUP(A86,Dividende_je_Aktie!A$3:AM$103,15,FALSE)/VLOOKUP(A86,Schlußkurse!A$5:AU$105,43,FALSE),""),"")</f>
        <v>#N/A</v>
      </c>
      <c r="L86" s="71" t="e">
        <f>IF(VLOOKUP(A86,Schlußkurse!A$5:AU$105,44,FALSE)&gt;0,IF(VLOOKUP(A86,Dividende_je_Aktie!A$3:AM$103,16,FALSE)&lt;&gt;"",VLOOKUP(A86,Dividende_je_Aktie!A$3:AM$103,16,FALSE)/VLOOKUP(A86,Schlußkurse!A$5:AU$105,44,FALSE),""),"")</f>
        <v>#N/A</v>
      </c>
      <c r="M86" s="71" t="e">
        <f>IF(VLOOKUP(A86,Schlußkurse!A$5:AU$105,45,FALSE)&gt;0,IF(VLOOKUP(A86,Dividende_je_Aktie!A$3:AM$103,17,FALSE)&lt;&gt;"",VLOOKUP(A86,Dividende_je_Aktie!A$3:AM$103,17,FALSE)/VLOOKUP(A86,Schlußkurse!A$5:AU$105,45,FALSE),""),"")</f>
        <v>#N/A</v>
      </c>
      <c r="N86" s="71" t="e">
        <f>IF(VLOOKUP(A86,Schlußkurse!A$5:AU$105,46,FALSE)&gt;0,IF(VLOOKUP(A86,Dividende_je_Aktie!A$3:AM$103,18,FALSE)&lt;&gt;"",VLOOKUP(A86,Dividende_je_Aktie!A$3:AM$103,18,FALSE)/VLOOKUP(A86,Schlußkurse!A$5:AU$105,46,FALSE),""),"")</f>
        <v>#N/A</v>
      </c>
      <c r="O86" s="71" t="e">
        <f>IF(VLOOKUP(A86,Schlußkurse!A$5:AU$105,47,FALSE)&gt;0,IF(VLOOKUP(A86,Dividende_je_Aktie!A$3:AM$103,19,FALSE)&lt;&gt;"",VLOOKUP(A86,Dividende_je_Aktie!A$3:AM$103,19,FALSE)/VLOOKUP(A86,Schlußkurse!A$5:AU$105,47,FALSE),""),"")</f>
        <v>#N/A</v>
      </c>
      <c r="P86" s="71" t="e">
        <f t="shared" si="4"/>
        <v>#N/A</v>
      </c>
      <c r="Q86" s="5" t="e">
        <f>VLOOKUP(A86,Dividende_je_Aktie!A$3:AM$103,24,FALSE)/VLOOKUP(A86,Schlußkurse!A$5:AU$105,35,FALSE)</f>
        <v>#N/A</v>
      </c>
      <c r="R86" s="5" t="e">
        <f t="shared" si="5"/>
        <v>#N/A</v>
      </c>
    </row>
    <row r="87" spans="2:18">
      <c r="B87" s="38"/>
      <c r="C87" s="71" t="e">
        <f>IF(VLOOKUP(A87,Schlußkurse!A$5:AU$105,35,FALSE)&gt;0,IF(VLOOKUP(A87,Dividende_je_Aktie!A$3:AM$103,7,FALSE)&lt;&gt;"",VLOOKUP(A87,Dividende_je_Aktie!A$3:AM$103,7,FALSE)/VLOOKUP(A87,Schlußkurse!A$5:AU$105,35,FALSE),""),"")</f>
        <v>#N/A</v>
      </c>
      <c r="D87" s="71" t="e">
        <f>IF(VLOOKUP(A87,Schlußkurse!A$5:AU$105,36,FALSE)&gt;0,IF(VLOOKUP(A87,Dividende_je_Aktie!A$3:AM$103,8,FALSE)&lt;&gt;"",VLOOKUP(A87,Dividende_je_Aktie!A$3:AM$103,8,FALSE)/VLOOKUP(A87,Schlußkurse!A$5:AU$105,36,FALSE),""),"")</f>
        <v>#N/A</v>
      </c>
      <c r="E87" s="71" t="e">
        <f>IF(VLOOKUP(A87,Schlußkurse!A$5:AU$105,37,FALSE)&gt;0,IF(VLOOKUP(A87,Dividende_je_Aktie!A$3:AM$103,9,FALSE)&lt;&gt;"",VLOOKUP(A87,Dividende_je_Aktie!A$3:AM$103,9,FALSE)/VLOOKUP(A87,Schlußkurse!A$5:AU$105,37,FALSE),""),"")</f>
        <v>#N/A</v>
      </c>
      <c r="F87" s="71" t="e">
        <f>IF(VLOOKUP(A87,Schlußkurse!A$5:AU$105,38,FALSE)&gt;0,IF(VLOOKUP(A87,Dividende_je_Aktie!A$3:AM$103,10,FALSE)&lt;&gt;"",VLOOKUP(A87,Dividende_je_Aktie!A$3:AM$103,10,FALSE)/VLOOKUP(A87,Schlußkurse!A$5:AU$105,38,FALSE),""),"")</f>
        <v>#N/A</v>
      </c>
      <c r="G87" s="71" t="e">
        <f>IF(VLOOKUP(A87,Schlußkurse!A$5:AU$105,39,FALSE)&gt;0,IF(VLOOKUP(A87,Dividende_je_Aktie!A$3:AM$103,11,FALSE)&lt;&gt;"",VLOOKUP(A87,Dividende_je_Aktie!A$3:AM$103,11,FALSE)/VLOOKUP(A87,Schlußkurse!A$5:AU$105,39,FALSE),""),"")</f>
        <v>#N/A</v>
      </c>
      <c r="H87" s="71" t="e">
        <f>IF(VLOOKUP(A87,Schlußkurse!A$5:AU$105,40,FALSE)&gt;0,IF(VLOOKUP(A87,Dividende_je_Aktie!A$3:AM$103,12,FALSE)&lt;&gt;"",VLOOKUP(A87,Dividende_je_Aktie!A$3:AM$103,12,FALSE)/VLOOKUP(A87,Schlußkurse!A$5:AU$105,40,FALSE),""),"")</f>
        <v>#N/A</v>
      </c>
      <c r="I87" s="71" t="e">
        <f>IF(VLOOKUP(A87,Schlußkurse!A$5:AU$105,41,FALSE)&gt;0,IF(VLOOKUP(A87,Dividende_je_Aktie!A$3:AM$103,13,FALSE)&lt;&gt;"",VLOOKUP(A87,Dividende_je_Aktie!A$3:AM$103,13,FALSE)/VLOOKUP(A87,Schlußkurse!A$5:AU$105,41,FALSE),""),"")</f>
        <v>#N/A</v>
      </c>
      <c r="J87" s="71" t="e">
        <f>IF(VLOOKUP(A87,Schlußkurse!A$5:AU$105,42,FALSE)&gt;0,IF(VLOOKUP(A87,Dividende_je_Aktie!A$3:AM$103,14,FALSE)&lt;&gt;"",VLOOKUP(A87,Dividende_je_Aktie!A$3:AM$103,14,FALSE)/VLOOKUP(A87,Schlußkurse!A$5:AU$105,42,FALSE),""),"")</f>
        <v>#N/A</v>
      </c>
      <c r="K87" s="71" t="e">
        <f>IF(VLOOKUP(A87,Schlußkurse!A$5:AU$105,43,FALSE)&gt;0,IF(VLOOKUP(A87,Dividende_je_Aktie!A$3:AM$103,15,FALSE)&lt;&gt;"",VLOOKUP(A87,Dividende_je_Aktie!A$3:AM$103,15,FALSE)/VLOOKUP(A87,Schlußkurse!A$5:AU$105,43,FALSE),""),"")</f>
        <v>#N/A</v>
      </c>
      <c r="L87" s="71" t="e">
        <f>IF(VLOOKUP(A87,Schlußkurse!A$5:AU$105,44,FALSE)&gt;0,IF(VLOOKUP(A87,Dividende_je_Aktie!A$3:AM$103,16,FALSE)&lt;&gt;"",VLOOKUP(A87,Dividende_je_Aktie!A$3:AM$103,16,FALSE)/VLOOKUP(A87,Schlußkurse!A$5:AU$105,44,FALSE),""),"")</f>
        <v>#N/A</v>
      </c>
      <c r="M87" s="71" t="e">
        <f>IF(VLOOKUP(A87,Schlußkurse!A$5:AU$105,45,FALSE)&gt;0,IF(VLOOKUP(A87,Dividende_je_Aktie!A$3:AM$103,17,FALSE)&lt;&gt;"",VLOOKUP(A87,Dividende_je_Aktie!A$3:AM$103,17,FALSE)/VLOOKUP(A87,Schlußkurse!A$5:AU$105,45,FALSE),""),"")</f>
        <v>#N/A</v>
      </c>
      <c r="N87" s="71" t="e">
        <f>IF(VLOOKUP(A87,Schlußkurse!A$5:AU$105,46,FALSE)&gt;0,IF(VLOOKUP(A87,Dividende_je_Aktie!A$3:AM$103,18,FALSE)&lt;&gt;"",VLOOKUP(A87,Dividende_je_Aktie!A$3:AM$103,18,FALSE)/VLOOKUP(A87,Schlußkurse!A$5:AU$105,46,FALSE),""),"")</f>
        <v>#N/A</v>
      </c>
      <c r="O87" s="71" t="e">
        <f>IF(VLOOKUP(A87,Schlußkurse!A$5:AU$105,47,FALSE)&gt;0,IF(VLOOKUP(A87,Dividende_je_Aktie!A$3:AM$103,19,FALSE)&lt;&gt;"",VLOOKUP(A87,Dividende_je_Aktie!A$3:AM$103,19,FALSE)/VLOOKUP(A87,Schlußkurse!A$5:AU$105,47,FALSE),""),"")</f>
        <v>#N/A</v>
      </c>
      <c r="P87" s="71" t="e">
        <f t="shared" si="4"/>
        <v>#N/A</v>
      </c>
      <c r="Q87" s="5" t="e">
        <f>VLOOKUP(A87,Dividende_je_Aktie!A$3:AM$103,24,FALSE)/VLOOKUP(A87,Schlußkurse!A$5:AU$105,35,FALSE)</f>
        <v>#N/A</v>
      </c>
      <c r="R87" s="5" t="e">
        <f t="shared" si="5"/>
        <v>#N/A</v>
      </c>
    </row>
    <row r="88" spans="2:18">
      <c r="B88" s="38"/>
      <c r="C88" s="71" t="e">
        <f>IF(VLOOKUP(A88,Schlußkurse!A$5:AU$105,35,FALSE)&gt;0,IF(VLOOKUP(A88,Dividende_je_Aktie!A$3:AM$103,7,FALSE)&lt;&gt;"",VLOOKUP(A88,Dividende_je_Aktie!A$3:AM$103,7,FALSE)/VLOOKUP(A88,Schlußkurse!A$5:AU$105,35,FALSE),""),"")</f>
        <v>#N/A</v>
      </c>
      <c r="D88" s="71" t="e">
        <f>IF(VLOOKUP(A88,Schlußkurse!A$5:AU$105,36,FALSE)&gt;0,IF(VLOOKUP(A88,Dividende_je_Aktie!A$3:AM$103,8,FALSE)&lt;&gt;"",VLOOKUP(A88,Dividende_je_Aktie!A$3:AM$103,8,FALSE)/VLOOKUP(A88,Schlußkurse!A$5:AU$105,36,FALSE),""),"")</f>
        <v>#N/A</v>
      </c>
      <c r="E88" s="71" t="e">
        <f>IF(VLOOKUP(A88,Schlußkurse!A$5:AU$105,37,FALSE)&gt;0,IF(VLOOKUP(A88,Dividende_je_Aktie!A$3:AM$103,9,FALSE)&lt;&gt;"",VLOOKUP(A88,Dividende_je_Aktie!A$3:AM$103,9,FALSE)/VLOOKUP(A88,Schlußkurse!A$5:AU$105,37,FALSE),""),"")</f>
        <v>#N/A</v>
      </c>
      <c r="F88" s="71" t="e">
        <f>IF(VLOOKUP(A88,Schlußkurse!A$5:AU$105,38,FALSE)&gt;0,IF(VLOOKUP(A88,Dividende_je_Aktie!A$3:AM$103,10,FALSE)&lt;&gt;"",VLOOKUP(A88,Dividende_je_Aktie!A$3:AM$103,10,FALSE)/VLOOKUP(A88,Schlußkurse!A$5:AU$105,38,FALSE),""),"")</f>
        <v>#N/A</v>
      </c>
      <c r="G88" s="71" t="e">
        <f>IF(VLOOKUP(A88,Schlußkurse!A$5:AU$105,39,FALSE)&gt;0,IF(VLOOKUP(A88,Dividende_je_Aktie!A$3:AM$103,11,FALSE)&lt;&gt;"",VLOOKUP(A88,Dividende_je_Aktie!A$3:AM$103,11,FALSE)/VLOOKUP(A88,Schlußkurse!A$5:AU$105,39,FALSE),""),"")</f>
        <v>#N/A</v>
      </c>
      <c r="H88" s="71" t="e">
        <f>IF(VLOOKUP(A88,Schlußkurse!A$5:AU$105,40,FALSE)&gt;0,IF(VLOOKUP(A88,Dividende_je_Aktie!A$3:AM$103,12,FALSE)&lt;&gt;"",VLOOKUP(A88,Dividende_je_Aktie!A$3:AM$103,12,FALSE)/VLOOKUP(A88,Schlußkurse!A$5:AU$105,40,FALSE),""),"")</f>
        <v>#N/A</v>
      </c>
      <c r="I88" s="71" t="e">
        <f>IF(VLOOKUP(A88,Schlußkurse!A$5:AU$105,41,FALSE)&gt;0,IF(VLOOKUP(A88,Dividende_je_Aktie!A$3:AM$103,13,FALSE)&lt;&gt;"",VLOOKUP(A88,Dividende_je_Aktie!A$3:AM$103,13,FALSE)/VLOOKUP(A88,Schlußkurse!A$5:AU$105,41,FALSE),""),"")</f>
        <v>#N/A</v>
      </c>
      <c r="J88" s="71" t="e">
        <f>IF(VLOOKUP(A88,Schlußkurse!A$5:AU$105,42,FALSE)&gt;0,IF(VLOOKUP(A88,Dividende_je_Aktie!A$3:AM$103,14,FALSE)&lt;&gt;"",VLOOKUP(A88,Dividende_je_Aktie!A$3:AM$103,14,FALSE)/VLOOKUP(A88,Schlußkurse!A$5:AU$105,42,FALSE),""),"")</f>
        <v>#N/A</v>
      </c>
      <c r="K88" s="71" t="e">
        <f>IF(VLOOKUP(A88,Schlußkurse!A$5:AU$105,43,FALSE)&gt;0,IF(VLOOKUP(A88,Dividende_je_Aktie!A$3:AM$103,15,FALSE)&lt;&gt;"",VLOOKUP(A88,Dividende_je_Aktie!A$3:AM$103,15,FALSE)/VLOOKUP(A88,Schlußkurse!A$5:AU$105,43,FALSE),""),"")</f>
        <v>#N/A</v>
      </c>
      <c r="L88" s="71" t="e">
        <f>IF(VLOOKUP(A88,Schlußkurse!A$5:AU$105,44,FALSE)&gt;0,IF(VLOOKUP(A88,Dividende_je_Aktie!A$3:AM$103,16,FALSE)&lt;&gt;"",VLOOKUP(A88,Dividende_je_Aktie!A$3:AM$103,16,FALSE)/VLOOKUP(A88,Schlußkurse!A$5:AU$105,44,FALSE),""),"")</f>
        <v>#N/A</v>
      </c>
      <c r="M88" s="71" t="e">
        <f>IF(VLOOKUP(A88,Schlußkurse!A$5:AU$105,45,FALSE)&gt;0,IF(VLOOKUP(A88,Dividende_je_Aktie!A$3:AM$103,17,FALSE)&lt;&gt;"",VLOOKUP(A88,Dividende_je_Aktie!A$3:AM$103,17,FALSE)/VLOOKUP(A88,Schlußkurse!A$5:AU$105,45,FALSE),""),"")</f>
        <v>#N/A</v>
      </c>
      <c r="N88" s="71" t="e">
        <f>IF(VLOOKUP(A88,Schlußkurse!A$5:AU$105,46,FALSE)&gt;0,IF(VLOOKUP(A88,Dividende_je_Aktie!A$3:AM$103,18,FALSE)&lt;&gt;"",VLOOKUP(A88,Dividende_je_Aktie!A$3:AM$103,18,FALSE)/VLOOKUP(A88,Schlußkurse!A$5:AU$105,46,FALSE),""),"")</f>
        <v>#N/A</v>
      </c>
      <c r="O88" s="71" t="e">
        <f>IF(VLOOKUP(A88,Schlußkurse!A$5:AU$105,47,FALSE)&gt;0,IF(VLOOKUP(A88,Dividende_je_Aktie!A$3:AM$103,19,FALSE)&lt;&gt;"",VLOOKUP(A88,Dividende_je_Aktie!A$3:AM$103,19,FALSE)/VLOOKUP(A88,Schlußkurse!A$5:AU$105,47,FALSE),""),"")</f>
        <v>#N/A</v>
      </c>
      <c r="P88" s="71" t="e">
        <f t="shared" si="4"/>
        <v>#N/A</v>
      </c>
      <c r="Q88" s="5" t="e">
        <f>VLOOKUP(A88,Dividende_je_Aktie!A$3:AM$103,24,FALSE)/VLOOKUP(A88,Schlußkurse!A$5:AU$105,35,FALSE)</f>
        <v>#N/A</v>
      </c>
      <c r="R88" s="5" t="e">
        <f t="shared" si="5"/>
        <v>#N/A</v>
      </c>
    </row>
    <row r="89" spans="2:18">
      <c r="B89" s="38"/>
      <c r="C89" s="71" t="e">
        <f>IF(VLOOKUP(A89,Schlußkurse!A$5:AU$105,35,FALSE)&gt;0,IF(VLOOKUP(A89,Dividende_je_Aktie!A$3:AM$103,7,FALSE)&lt;&gt;"",VLOOKUP(A89,Dividende_je_Aktie!A$3:AM$103,7,FALSE)/VLOOKUP(A89,Schlußkurse!A$5:AU$105,35,FALSE),""),"")</f>
        <v>#N/A</v>
      </c>
      <c r="D89" s="71" t="e">
        <f>IF(VLOOKUP(A89,Schlußkurse!A$5:AU$105,36,FALSE)&gt;0,IF(VLOOKUP(A89,Dividende_je_Aktie!A$3:AM$103,8,FALSE)&lt;&gt;"",VLOOKUP(A89,Dividende_je_Aktie!A$3:AM$103,8,FALSE)/VLOOKUP(A89,Schlußkurse!A$5:AU$105,36,FALSE),""),"")</f>
        <v>#N/A</v>
      </c>
      <c r="E89" s="71" t="e">
        <f>IF(VLOOKUP(A89,Schlußkurse!A$5:AU$105,37,FALSE)&gt;0,IF(VLOOKUP(A89,Dividende_je_Aktie!A$3:AM$103,9,FALSE)&lt;&gt;"",VLOOKUP(A89,Dividende_je_Aktie!A$3:AM$103,9,FALSE)/VLOOKUP(A89,Schlußkurse!A$5:AU$105,37,FALSE),""),"")</f>
        <v>#N/A</v>
      </c>
      <c r="F89" s="71" t="e">
        <f>IF(VLOOKUP(A89,Schlußkurse!A$5:AU$105,38,FALSE)&gt;0,IF(VLOOKUP(A89,Dividende_je_Aktie!A$3:AM$103,10,FALSE)&lt;&gt;"",VLOOKUP(A89,Dividende_je_Aktie!A$3:AM$103,10,FALSE)/VLOOKUP(A89,Schlußkurse!A$5:AU$105,38,FALSE),""),"")</f>
        <v>#N/A</v>
      </c>
      <c r="G89" s="71" t="e">
        <f>IF(VLOOKUP(A89,Schlußkurse!A$5:AU$105,39,FALSE)&gt;0,IF(VLOOKUP(A89,Dividende_je_Aktie!A$3:AM$103,11,FALSE)&lt;&gt;"",VLOOKUP(A89,Dividende_je_Aktie!A$3:AM$103,11,FALSE)/VLOOKUP(A89,Schlußkurse!A$5:AU$105,39,FALSE),""),"")</f>
        <v>#N/A</v>
      </c>
      <c r="H89" s="71" t="e">
        <f>IF(VLOOKUP(A89,Schlußkurse!A$5:AU$105,40,FALSE)&gt;0,IF(VLOOKUP(A89,Dividende_je_Aktie!A$3:AM$103,12,FALSE)&lt;&gt;"",VLOOKUP(A89,Dividende_je_Aktie!A$3:AM$103,12,FALSE)/VLOOKUP(A89,Schlußkurse!A$5:AU$105,40,FALSE),""),"")</f>
        <v>#N/A</v>
      </c>
      <c r="I89" s="71" t="e">
        <f>IF(VLOOKUP(A89,Schlußkurse!A$5:AU$105,41,FALSE)&gt;0,IF(VLOOKUP(A89,Dividende_je_Aktie!A$3:AM$103,13,FALSE)&lt;&gt;"",VLOOKUP(A89,Dividende_je_Aktie!A$3:AM$103,13,FALSE)/VLOOKUP(A89,Schlußkurse!A$5:AU$105,41,FALSE),""),"")</f>
        <v>#N/A</v>
      </c>
      <c r="J89" s="71" t="e">
        <f>IF(VLOOKUP(A89,Schlußkurse!A$5:AU$105,42,FALSE)&gt;0,IF(VLOOKUP(A89,Dividende_je_Aktie!A$3:AM$103,14,FALSE)&lt;&gt;"",VLOOKUP(A89,Dividende_je_Aktie!A$3:AM$103,14,FALSE)/VLOOKUP(A89,Schlußkurse!A$5:AU$105,42,FALSE),""),"")</f>
        <v>#N/A</v>
      </c>
      <c r="K89" s="71" t="e">
        <f>IF(VLOOKUP(A89,Schlußkurse!A$5:AU$105,43,FALSE)&gt;0,IF(VLOOKUP(A89,Dividende_je_Aktie!A$3:AM$103,15,FALSE)&lt;&gt;"",VLOOKUP(A89,Dividende_je_Aktie!A$3:AM$103,15,FALSE)/VLOOKUP(A89,Schlußkurse!A$5:AU$105,43,FALSE),""),"")</f>
        <v>#N/A</v>
      </c>
      <c r="L89" s="71" t="e">
        <f>IF(VLOOKUP(A89,Schlußkurse!A$5:AU$105,44,FALSE)&gt;0,IF(VLOOKUP(A89,Dividende_je_Aktie!A$3:AM$103,16,FALSE)&lt;&gt;"",VLOOKUP(A89,Dividende_je_Aktie!A$3:AM$103,16,FALSE)/VLOOKUP(A89,Schlußkurse!A$5:AU$105,44,FALSE),""),"")</f>
        <v>#N/A</v>
      </c>
      <c r="M89" s="71" t="e">
        <f>IF(VLOOKUP(A89,Schlußkurse!A$5:AU$105,45,FALSE)&gt;0,IF(VLOOKUP(A89,Dividende_je_Aktie!A$3:AM$103,17,FALSE)&lt;&gt;"",VLOOKUP(A89,Dividende_je_Aktie!A$3:AM$103,17,FALSE)/VLOOKUP(A89,Schlußkurse!A$5:AU$105,45,FALSE),""),"")</f>
        <v>#N/A</v>
      </c>
      <c r="N89" s="71" t="e">
        <f>IF(VLOOKUP(A89,Schlußkurse!A$5:AU$105,46,FALSE)&gt;0,IF(VLOOKUP(A89,Dividende_je_Aktie!A$3:AM$103,18,FALSE)&lt;&gt;"",VLOOKUP(A89,Dividende_je_Aktie!A$3:AM$103,18,FALSE)/VLOOKUP(A89,Schlußkurse!A$5:AU$105,46,FALSE),""),"")</f>
        <v>#N/A</v>
      </c>
      <c r="O89" s="71" t="e">
        <f>IF(VLOOKUP(A89,Schlußkurse!A$5:AU$105,47,FALSE)&gt;0,IF(VLOOKUP(A89,Dividende_je_Aktie!A$3:AM$103,19,FALSE)&lt;&gt;"",VLOOKUP(A89,Dividende_je_Aktie!A$3:AM$103,19,FALSE)/VLOOKUP(A89,Schlußkurse!A$5:AU$105,47,FALSE),""),"")</f>
        <v>#N/A</v>
      </c>
      <c r="P89" s="71" t="e">
        <f t="shared" si="4"/>
        <v>#N/A</v>
      </c>
      <c r="Q89" s="5" t="e">
        <f>VLOOKUP(A89,Dividende_je_Aktie!A$3:AM$103,24,FALSE)/VLOOKUP(A89,Schlußkurse!A$5:AU$105,35,FALSE)</f>
        <v>#N/A</v>
      </c>
      <c r="R89" s="5" t="e">
        <f t="shared" si="5"/>
        <v>#N/A</v>
      </c>
    </row>
    <row r="90" spans="2:18">
      <c r="B90" s="38"/>
      <c r="C90" s="71" t="e">
        <f>IF(VLOOKUP(A90,Schlußkurse!A$5:AU$105,35,FALSE)&gt;0,IF(VLOOKUP(A90,Dividende_je_Aktie!A$3:AM$103,7,FALSE)&lt;&gt;"",VLOOKUP(A90,Dividende_je_Aktie!A$3:AM$103,7,FALSE)/VLOOKUP(A90,Schlußkurse!A$5:AU$105,35,FALSE),""),"")</f>
        <v>#N/A</v>
      </c>
      <c r="D90" s="71" t="e">
        <f>IF(VLOOKUP(A90,Schlußkurse!A$5:AU$105,36,FALSE)&gt;0,IF(VLOOKUP(A90,Dividende_je_Aktie!A$3:AM$103,8,FALSE)&lt;&gt;"",VLOOKUP(A90,Dividende_je_Aktie!A$3:AM$103,8,FALSE)/VLOOKUP(A90,Schlußkurse!A$5:AU$105,36,FALSE),""),"")</f>
        <v>#N/A</v>
      </c>
      <c r="E90" s="71" t="e">
        <f>IF(VLOOKUP(A90,Schlußkurse!A$5:AU$105,37,FALSE)&gt;0,IF(VLOOKUP(A90,Dividende_je_Aktie!A$3:AM$103,9,FALSE)&lt;&gt;"",VLOOKUP(A90,Dividende_je_Aktie!A$3:AM$103,9,FALSE)/VLOOKUP(A90,Schlußkurse!A$5:AU$105,37,FALSE),""),"")</f>
        <v>#N/A</v>
      </c>
      <c r="F90" s="71" t="e">
        <f>IF(VLOOKUP(A90,Schlußkurse!A$5:AU$105,38,FALSE)&gt;0,IF(VLOOKUP(A90,Dividende_je_Aktie!A$3:AM$103,10,FALSE)&lt;&gt;"",VLOOKUP(A90,Dividende_je_Aktie!A$3:AM$103,10,FALSE)/VLOOKUP(A90,Schlußkurse!A$5:AU$105,38,FALSE),""),"")</f>
        <v>#N/A</v>
      </c>
      <c r="G90" s="71" t="e">
        <f>IF(VLOOKUP(A90,Schlußkurse!A$5:AU$105,39,FALSE)&gt;0,IF(VLOOKUP(A90,Dividende_je_Aktie!A$3:AM$103,11,FALSE)&lt;&gt;"",VLOOKUP(A90,Dividende_je_Aktie!A$3:AM$103,11,FALSE)/VLOOKUP(A90,Schlußkurse!A$5:AU$105,39,FALSE),""),"")</f>
        <v>#N/A</v>
      </c>
      <c r="H90" s="71" t="e">
        <f>IF(VLOOKUP(A90,Schlußkurse!A$5:AU$105,40,FALSE)&gt;0,IF(VLOOKUP(A90,Dividende_je_Aktie!A$3:AM$103,12,FALSE)&lt;&gt;"",VLOOKUP(A90,Dividende_je_Aktie!A$3:AM$103,12,FALSE)/VLOOKUP(A90,Schlußkurse!A$5:AU$105,40,FALSE),""),"")</f>
        <v>#N/A</v>
      </c>
      <c r="I90" s="71" t="e">
        <f>IF(VLOOKUP(A90,Schlußkurse!A$5:AU$105,41,FALSE)&gt;0,IF(VLOOKUP(A90,Dividende_je_Aktie!A$3:AM$103,13,FALSE)&lt;&gt;"",VLOOKUP(A90,Dividende_je_Aktie!A$3:AM$103,13,FALSE)/VLOOKUP(A90,Schlußkurse!A$5:AU$105,41,FALSE),""),"")</f>
        <v>#N/A</v>
      </c>
      <c r="J90" s="71" t="e">
        <f>IF(VLOOKUP(A90,Schlußkurse!A$5:AU$105,42,FALSE)&gt;0,IF(VLOOKUP(A90,Dividende_je_Aktie!A$3:AM$103,14,FALSE)&lt;&gt;"",VLOOKUP(A90,Dividende_je_Aktie!A$3:AM$103,14,FALSE)/VLOOKUP(A90,Schlußkurse!A$5:AU$105,42,FALSE),""),"")</f>
        <v>#N/A</v>
      </c>
      <c r="K90" s="71" t="e">
        <f>IF(VLOOKUP(A90,Schlußkurse!A$5:AU$105,43,FALSE)&gt;0,IF(VLOOKUP(A90,Dividende_je_Aktie!A$3:AM$103,15,FALSE)&lt;&gt;"",VLOOKUP(A90,Dividende_je_Aktie!A$3:AM$103,15,FALSE)/VLOOKUP(A90,Schlußkurse!A$5:AU$105,43,FALSE),""),"")</f>
        <v>#N/A</v>
      </c>
      <c r="L90" s="71" t="e">
        <f>IF(VLOOKUP(A90,Schlußkurse!A$5:AU$105,44,FALSE)&gt;0,IF(VLOOKUP(A90,Dividende_je_Aktie!A$3:AM$103,16,FALSE)&lt;&gt;"",VLOOKUP(A90,Dividende_je_Aktie!A$3:AM$103,16,FALSE)/VLOOKUP(A90,Schlußkurse!A$5:AU$105,44,FALSE),""),"")</f>
        <v>#N/A</v>
      </c>
      <c r="M90" s="71" t="e">
        <f>IF(VLOOKUP(A90,Schlußkurse!A$5:AU$105,45,FALSE)&gt;0,IF(VLOOKUP(A90,Dividende_je_Aktie!A$3:AM$103,17,FALSE)&lt;&gt;"",VLOOKUP(A90,Dividende_je_Aktie!A$3:AM$103,17,FALSE)/VLOOKUP(A90,Schlußkurse!A$5:AU$105,45,FALSE),""),"")</f>
        <v>#N/A</v>
      </c>
      <c r="N90" s="71" t="e">
        <f>IF(VLOOKUP(A90,Schlußkurse!A$5:AU$105,46,FALSE)&gt;0,IF(VLOOKUP(A90,Dividende_je_Aktie!A$3:AM$103,18,FALSE)&lt;&gt;"",VLOOKUP(A90,Dividende_je_Aktie!A$3:AM$103,18,FALSE)/VLOOKUP(A90,Schlußkurse!A$5:AU$105,46,FALSE),""),"")</f>
        <v>#N/A</v>
      </c>
      <c r="O90" s="71" t="e">
        <f>IF(VLOOKUP(A90,Schlußkurse!A$5:AU$105,47,FALSE)&gt;0,IF(VLOOKUP(A90,Dividende_je_Aktie!A$3:AM$103,19,FALSE)&lt;&gt;"",VLOOKUP(A90,Dividende_je_Aktie!A$3:AM$103,19,FALSE)/VLOOKUP(A90,Schlußkurse!A$5:AU$105,47,FALSE),""),"")</f>
        <v>#N/A</v>
      </c>
      <c r="P90" s="71" t="e">
        <f t="shared" si="4"/>
        <v>#N/A</v>
      </c>
      <c r="Q90" s="5" t="e">
        <f>VLOOKUP(A90,Dividende_je_Aktie!A$3:AM$103,24,FALSE)/VLOOKUP(A90,Schlußkurse!A$5:AU$105,35,FALSE)</f>
        <v>#N/A</v>
      </c>
      <c r="R90" s="5" t="e">
        <f t="shared" si="5"/>
        <v>#N/A</v>
      </c>
    </row>
    <row r="91" spans="2:18">
      <c r="B91" s="38"/>
      <c r="C91" s="71" t="e">
        <f>IF(VLOOKUP(A91,Schlußkurse!A$5:AU$105,35,FALSE)&gt;0,IF(VLOOKUP(A91,Dividende_je_Aktie!A$3:AM$103,7,FALSE)&lt;&gt;"",VLOOKUP(A91,Dividende_je_Aktie!A$3:AM$103,7,FALSE)/VLOOKUP(A91,Schlußkurse!A$5:AU$105,35,FALSE),""),"")</f>
        <v>#N/A</v>
      </c>
      <c r="D91" s="71" t="e">
        <f>IF(VLOOKUP(A91,Schlußkurse!A$5:AU$105,36,FALSE)&gt;0,IF(VLOOKUP(A91,Dividende_je_Aktie!A$3:AM$103,8,FALSE)&lt;&gt;"",VLOOKUP(A91,Dividende_je_Aktie!A$3:AM$103,8,FALSE)/VLOOKUP(A91,Schlußkurse!A$5:AU$105,36,FALSE),""),"")</f>
        <v>#N/A</v>
      </c>
      <c r="E91" s="71" t="e">
        <f>IF(VLOOKUP(A91,Schlußkurse!A$5:AU$105,37,FALSE)&gt;0,IF(VLOOKUP(A91,Dividende_je_Aktie!A$3:AM$103,9,FALSE)&lt;&gt;"",VLOOKUP(A91,Dividende_je_Aktie!A$3:AM$103,9,FALSE)/VLOOKUP(A91,Schlußkurse!A$5:AU$105,37,FALSE),""),"")</f>
        <v>#N/A</v>
      </c>
      <c r="F91" s="71" t="e">
        <f>IF(VLOOKUP(A91,Schlußkurse!A$5:AU$105,38,FALSE)&gt;0,IF(VLOOKUP(A91,Dividende_je_Aktie!A$3:AM$103,10,FALSE)&lt;&gt;"",VLOOKUP(A91,Dividende_je_Aktie!A$3:AM$103,10,FALSE)/VLOOKUP(A91,Schlußkurse!A$5:AU$105,38,FALSE),""),"")</f>
        <v>#N/A</v>
      </c>
      <c r="G91" s="71" t="e">
        <f>IF(VLOOKUP(A91,Schlußkurse!A$5:AU$105,39,FALSE)&gt;0,IF(VLOOKUP(A91,Dividende_je_Aktie!A$3:AM$103,11,FALSE)&lt;&gt;"",VLOOKUP(A91,Dividende_je_Aktie!A$3:AM$103,11,FALSE)/VLOOKUP(A91,Schlußkurse!A$5:AU$105,39,FALSE),""),"")</f>
        <v>#N/A</v>
      </c>
      <c r="H91" s="71" t="e">
        <f>IF(VLOOKUP(A91,Schlußkurse!A$5:AU$105,40,FALSE)&gt;0,IF(VLOOKUP(A91,Dividende_je_Aktie!A$3:AM$103,12,FALSE)&lt;&gt;"",VLOOKUP(A91,Dividende_je_Aktie!A$3:AM$103,12,FALSE)/VLOOKUP(A91,Schlußkurse!A$5:AU$105,40,FALSE),""),"")</f>
        <v>#N/A</v>
      </c>
      <c r="I91" s="71" t="e">
        <f>IF(VLOOKUP(A91,Schlußkurse!A$5:AU$105,41,FALSE)&gt;0,IF(VLOOKUP(A91,Dividende_je_Aktie!A$3:AM$103,13,FALSE)&lt;&gt;"",VLOOKUP(A91,Dividende_je_Aktie!A$3:AM$103,13,FALSE)/VLOOKUP(A91,Schlußkurse!A$5:AU$105,41,FALSE),""),"")</f>
        <v>#N/A</v>
      </c>
      <c r="J91" s="71" t="e">
        <f>IF(VLOOKUP(A91,Schlußkurse!A$5:AU$105,42,FALSE)&gt;0,IF(VLOOKUP(A91,Dividende_je_Aktie!A$3:AM$103,14,FALSE)&lt;&gt;"",VLOOKUP(A91,Dividende_je_Aktie!A$3:AM$103,14,FALSE)/VLOOKUP(A91,Schlußkurse!A$5:AU$105,42,FALSE),""),"")</f>
        <v>#N/A</v>
      </c>
      <c r="K91" s="71" t="e">
        <f>IF(VLOOKUP(A91,Schlußkurse!A$5:AU$105,43,FALSE)&gt;0,IF(VLOOKUP(A91,Dividende_je_Aktie!A$3:AM$103,15,FALSE)&lt;&gt;"",VLOOKUP(A91,Dividende_je_Aktie!A$3:AM$103,15,FALSE)/VLOOKUP(A91,Schlußkurse!A$5:AU$105,43,FALSE),""),"")</f>
        <v>#N/A</v>
      </c>
      <c r="L91" s="71" t="e">
        <f>IF(VLOOKUP(A91,Schlußkurse!A$5:AU$105,44,FALSE)&gt;0,IF(VLOOKUP(A91,Dividende_je_Aktie!A$3:AM$103,16,FALSE)&lt;&gt;"",VLOOKUP(A91,Dividende_je_Aktie!A$3:AM$103,16,FALSE)/VLOOKUP(A91,Schlußkurse!A$5:AU$105,44,FALSE),""),"")</f>
        <v>#N/A</v>
      </c>
      <c r="M91" s="71" t="e">
        <f>IF(VLOOKUP(A91,Schlußkurse!A$5:AU$105,45,FALSE)&gt;0,IF(VLOOKUP(A91,Dividende_je_Aktie!A$3:AM$103,17,FALSE)&lt;&gt;"",VLOOKUP(A91,Dividende_je_Aktie!A$3:AM$103,17,FALSE)/VLOOKUP(A91,Schlußkurse!A$5:AU$105,45,FALSE),""),"")</f>
        <v>#N/A</v>
      </c>
      <c r="N91" s="71" t="e">
        <f>IF(VLOOKUP(A91,Schlußkurse!A$5:AU$105,46,FALSE)&gt;0,IF(VLOOKUP(A91,Dividende_je_Aktie!A$3:AM$103,18,FALSE)&lt;&gt;"",VLOOKUP(A91,Dividende_je_Aktie!A$3:AM$103,18,FALSE)/VLOOKUP(A91,Schlußkurse!A$5:AU$105,46,FALSE),""),"")</f>
        <v>#N/A</v>
      </c>
      <c r="O91" s="71" t="e">
        <f>IF(VLOOKUP(A91,Schlußkurse!A$5:AU$105,47,FALSE)&gt;0,IF(VLOOKUP(A91,Dividende_je_Aktie!A$3:AM$103,19,FALSE)&lt;&gt;"",VLOOKUP(A91,Dividende_je_Aktie!A$3:AM$103,19,FALSE)/VLOOKUP(A91,Schlußkurse!A$5:AU$105,47,FALSE),""),"")</f>
        <v>#N/A</v>
      </c>
      <c r="P91" s="71" t="e">
        <f t="shared" si="4"/>
        <v>#N/A</v>
      </c>
      <c r="Q91" s="5" t="e">
        <f>VLOOKUP(A91,Dividende_je_Aktie!A$3:AM$103,24,FALSE)/VLOOKUP(A91,Schlußkurse!A$5:AU$105,35,FALSE)</f>
        <v>#N/A</v>
      </c>
      <c r="R91" s="5" t="e">
        <f t="shared" si="5"/>
        <v>#N/A</v>
      </c>
    </row>
    <row r="92" spans="2:18">
      <c r="B92" s="38"/>
      <c r="C92" s="71" t="e">
        <f>IF(VLOOKUP(A92,Schlußkurse!A$5:AU$105,35,FALSE)&gt;0,IF(VLOOKUP(A92,Dividende_je_Aktie!A$3:AM$103,7,FALSE)&lt;&gt;"",VLOOKUP(A92,Dividende_je_Aktie!A$3:AM$103,7,FALSE)/VLOOKUP(A92,Schlußkurse!A$5:AU$105,35,FALSE),""),"")</f>
        <v>#N/A</v>
      </c>
      <c r="D92" s="71" t="e">
        <f>IF(VLOOKUP(A92,Schlußkurse!A$5:AU$105,36,FALSE)&gt;0,IF(VLOOKUP(A92,Dividende_je_Aktie!A$3:AM$103,8,FALSE)&lt;&gt;"",VLOOKUP(A92,Dividende_je_Aktie!A$3:AM$103,8,FALSE)/VLOOKUP(A92,Schlußkurse!A$5:AU$105,36,FALSE),""),"")</f>
        <v>#N/A</v>
      </c>
      <c r="E92" s="71" t="e">
        <f>IF(VLOOKUP(A92,Schlußkurse!A$5:AU$105,37,FALSE)&gt;0,IF(VLOOKUP(A92,Dividende_je_Aktie!A$3:AM$103,9,FALSE)&lt;&gt;"",VLOOKUP(A92,Dividende_je_Aktie!A$3:AM$103,9,FALSE)/VLOOKUP(A92,Schlußkurse!A$5:AU$105,37,FALSE),""),"")</f>
        <v>#N/A</v>
      </c>
      <c r="F92" s="71" t="e">
        <f>IF(VLOOKUP(A92,Schlußkurse!A$5:AU$105,38,FALSE)&gt;0,IF(VLOOKUP(A92,Dividende_je_Aktie!A$3:AM$103,10,FALSE)&lt;&gt;"",VLOOKUP(A92,Dividende_je_Aktie!A$3:AM$103,10,FALSE)/VLOOKUP(A92,Schlußkurse!A$5:AU$105,38,FALSE),""),"")</f>
        <v>#N/A</v>
      </c>
      <c r="G92" s="71" t="e">
        <f>IF(VLOOKUP(A92,Schlußkurse!A$5:AU$105,39,FALSE)&gt;0,IF(VLOOKUP(A92,Dividende_je_Aktie!A$3:AM$103,11,FALSE)&lt;&gt;"",VLOOKUP(A92,Dividende_je_Aktie!A$3:AM$103,11,FALSE)/VLOOKUP(A92,Schlußkurse!A$5:AU$105,39,FALSE),""),"")</f>
        <v>#N/A</v>
      </c>
      <c r="H92" s="71" t="e">
        <f>IF(VLOOKUP(A92,Schlußkurse!A$5:AU$105,40,FALSE)&gt;0,IF(VLOOKUP(A92,Dividende_je_Aktie!A$3:AM$103,12,FALSE)&lt;&gt;"",VLOOKUP(A92,Dividende_je_Aktie!A$3:AM$103,12,FALSE)/VLOOKUP(A92,Schlußkurse!A$5:AU$105,40,FALSE),""),"")</f>
        <v>#N/A</v>
      </c>
      <c r="I92" s="71" t="e">
        <f>IF(VLOOKUP(A92,Schlußkurse!A$5:AU$105,41,FALSE)&gt;0,IF(VLOOKUP(A92,Dividende_je_Aktie!A$3:AM$103,13,FALSE)&lt;&gt;"",VLOOKUP(A92,Dividende_je_Aktie!A$3:AM$103,13,FALSE)/VLOOKUP(A92,Schlußkurse!A$5:AU$105,41,FALSE),""),"")</f>
        <v>#N/A</v>
      </c>
      <c r="J92" s="71" t="e">
        <f>IF(VLOOKUP(A92,Schlußkurse!A$5:AU$105,42,FALSE)&gt;0,IF(VLOOKUP(A92,Dividende_je_Aktie!A$3:AM$103,14,FALSE)&lt;&gt;"",VLOOKUP(A92,Dividende_je_Aktie!A$3:AM$103,14,FALSE)/VLOOKUP(A92,Schlußkurse!A$5:AU$105,42,FALSE),""),"")</f>
        <v>#N/A</v>
      </c>
      <c r="K92" s="71" t="e">
        <f>IF(VLOOKUP(A92,Schlußkurse!A$5:AU$105,43,FALSE)&gt;0,IF(VLOOKUP(A92,Dividende_je_Aktie!A$3:AM$103,15,FALSE)&lt;&gt;"",VLOOKUP(A92,Dividende_je_Aktie!A$3:AM$103,15,FALSE)/VLOOKUP(A92,Schlußkurse!A$5:AU$105,43,FALSE),""),"")</f>
        <v>#N/A</v>
      </c>
      <c r="L92" s="71" t="e">
        <f>IF(VLOOKUP(A92,Schlußkurse!A$5:AU$105,44,FALSE)&gt;0,IF(VLOOKUP(A92,Dividende_je_Aktie!A$3:AM$103,16,FALSE)&lt;&gt;"",VLOOKUP(A92,Dividende_je_Aktie!A$3:AM$103,16,FALSE)/VLOOKUP(A92,Schlußkurse!A$5:AU$105,44,FALSE),""),"")</f>
        <v>#N/A</v>
      </c>
      <c r="M92" s="71" t="e">
        <f>IF(VLOOKUP(A92,Schlußkurse!A$5:AU$105,45,FALSE)&gt;0,IF(VLOOKUP(A92,Dividende_je_Aktie!A$3:AM$103,17,FALSE)&lt;&gt;"",VLOOKUP(A92,Dividende_je_Aktie!A$3:AM$103,17,FALSE)/VLOOKUP(A92,Schlußkurse!A$5:AU$105,45,FALSE),""),"")</f>
        <v>#N/A</v>
      </c>
      <c r="N92" s="71" t="e">
        <f>IF(VLOOKUP(A92,Schlußkurse!A$5:AU$105,46,FALSE)&gt;0,IF(VLOOKUP(A92,Dividende_je_Aktie!A$3:AM$103,18,FALSE)&lt;&gt;"",VLOOKUP(A92,Dividende_je_Aktie!A$3:AM$103,18,FALSE)/VLOOKUP(A92,Schlußkurse!A$5:AU$105,46,FALSE),""),"")</f>
        <v>#N/A</v>
      </c>
      <c r="O92" s="71" t="e">
        <f>IF(VLOOKUP(A92,Schlußkurse!A$5:AU$105,47,FALSE)&gt;0,IF(VLOOKUP(A92,Dividende_je_Aktie!A$3:AM$103,19,FALSE)&lt;&gt;"",VLOOKUP(A92,Dividende_je_Aktie!A$3:AM$103,19,FALSE)/VLOOKUP(A92,Schlußkurse!A$5:AU$105,47,FALSE),""),"")</f>
        <v>#N/A</v>
      </c>
      <c r="P92" s="71" t="e">
        <f t="shared" si="4"/>
        <v>#N/A</v>
      </c>
      <c r="Q92" s="5" t="e">
        <f>VLOOKUP(A92,Dividende_je_Aktie!A$3:AM$103,24,FALSE)/VLOOKUP(A92,Schlußkurse!A$5:AU$105,35,FALSE)</f>
        <v>#N/A</v>
      </c>
      <c r="R92" s="5" t="e">
        <f t="shared" si="5"/>
        <v>#N/A</v>
      </c>
    </row>
    <row r="93" spans="2:18">
      <c r="B93" s="38"/>
      <c r="C93" s="71" t="e">
        <f>IF(VLOOKUP(A93,Schlußkurse!A$5:AU$105,35,FALSE)&gt;0,IF(VLOOKUP(A93,Dividende_je_Aktie!A$3:AM$103,7,FALSE)&lt;&gt;"",VLOOKUP(A93,Dividende_je_Aktie!A$3:AM$103,7,FALSE)/VLOOKUP(A93,Schlußkurse!A$5:AU$105,35,FALSE),""),"")</f>
        <v>#N/A</v>
      </c>
      <c r="D93" s="71" t="e">
        <f>IF(VLOOKUP(A93,Schlußkurse!A$5:AU$105,36,FALSE)&gt;0,IF(VLOOKUP(A93,Dividende_je_Aktie!A$3:AM$103,8,FALSE)&lt;&gt;"",VLOOKUP(A93,Dividende_je_Aktie!A$3:AM$103,8,FALSE)/VLOOKUP(A93,Schlußkurse!A$5:AU$105,36,FALSE),""),"")</f>
        <v>#N/A</v>
      </c>
      <c r="E93" s="71" t="e">
        <f>IF(VLOOKUP(A93,Schlußkurse!A$5:AU$105,37,FALSE)&gt;0,IF(VLOOKUP(A93,Dividende_je_Aktie!A$3:AM$103,9,FALSE)&lt;&gt;"",VLOOKUP(A93,Dividende_je_Aktie!A$3:AM$103,9,FALSE)/VLOOKUP(A93,Schlußkurse!A$5:AU$105,37,FALSE),""),"")</f>
        <v>#N/A</v>
      </c>
      <c r="F93" s="71" t="e">
        <f>IF(VLOOKUP(A93,Schlußkurse!A$5:AU$105,38,FALSE)&gt;0,IF(VLOOKUP(A93,Dividende_je_Aktie!A$3:AM$103,10,FALSE)&lt;&gt;"",VLOOKUP(A93,Dividende_je_Aktie!A$3:AM$103,10,FALSE)/VLOOKUP(A93,Schlußkurse!A$5:AU$105,38,FALSE),""),"")</f>
        <v>#N/A</v>
      </c>
      <c r="G93" s="71" t="e">
        <f>IF(VLOOKUP(A93,Schlußkurse!A$5:AU$105,39,FALSE)&gt;0,IF(VLOOKUP(A93,Dividende_je_Aktie!A$3:AM$103,11,FALSE)&lt;&gt;"",VLOOKUP(A93,Dividende_je_Aktie!A$3:AM$103,11,FALSE)/VLOOKUP(A93,Schlußkurse!A$5:AU$105,39,FALSE),""),"")</f>
        <v>#N/A</v>
      </c>
      <c r="H93" s="71" t="e">
        <f>IF(VLOOKUP(A93,Schlußkurse!A$5:AU$105,40,FALSE)&gt;0,IF(VLOOKUP(A93,Dividende_je_Aktie!A$3:AM$103,12,FALSE)&lt;&gt;"",VLOOKUP(A93,Dividende_je_Aktie!A$3:AM$103,12,FALSE)/VLOOKUP(A93,Schlußkurse!A$5:AU$105,40,FALSE),""),"")</f>
        <v>#N/A</v>
      </c>
      <c r="I93" s="71" t="e">
        <f>IF(VLOOKUP(A93,Schlußkurse!A$5:AU$105,41,FALSE)&gt;0,IF(VLOOKUP(A93,Dividende_je_Aktie!A$3:AM$103,13,FALSE)&lt;&gt;"",VLOOKUP(A93,Dividende_je_Aktie!A$3:AM$103,13,FALSE)/VLOOKUP(A93,Schlußkurse!A$5:AU$105,41,FALSE),""),"")</f>
        <v>#N/A</v>
      </c>
      <c r="J93" s="71" t="e">
        <f>IF(VLOOKUP(A93,Schlußkurse!A$5:AU$105,42,FALSE)&gt;0,IF(VLOOKUP(A93,Dividende_je_Aktie!A$3:AM$103,14,FALSE)&lt;&gt;"",VLOOKUP(A93,Dividende_je_Aktie!A$3:AM$103,14,FALSE)/VLOOKUP(A93,Schlußkurse!A$5:AU$105,42,FALSE),""),"")</f>
        <v>#N/A</v>
      </c>
      <c r="K93" s="71" t="e">
        <f>IF(VLOOKUP(A93,Schlußkurse!A$5:AU$105,43,FALSE)&gt;0,IF(VLOOKUP(A93,Dividende_je_Aktie!A$3:AM$103,15,FALSE)&lt;&gt;"",VLOOKUP(A93,Dividende_je_Aktie!A$3:AM$103,15,FALSE)/VLOOKUP(A93,Schlußkurse!A$5:AU$105,43,FALSE),""),"")</f>
        <v>#N/A</v>
      </c>
      <c r="L93" s="71" t="e">
        <f>IF(VLOOKUP(A93,Schlußkurse!A$5:AU$105,44,FALSE)&gt;0,IF(VLOOKUP(A93,Dividende_je_Aktie!A$3:AM$103,16,FALSE)&lt;&gt;"",VLOOKUP(A93,Dividende_je_Aktie!A$3:AM$103,16,FALSE)/VLOOKUP(A93,Schlußkurse!A$5:AU$105,44,FALSE),""),"")</f>
        <v>#N/A</v>
      </c>
      <c r="M93" s="71" t="e">
        <f>IF(VLOOKUP(A93,Schlußkurse!A$5:AU$105,45,FALSE)&gt;0,IF(VLOOKUP(A93,Dividende_je_Aktie!A$3:AM$103,17,FALSE)&lt;&gt;"",VLOOKUP(A93,Dividende_je_Aktie!A$3:AM$103,17,FALSE)/VLOOKUP(A93,Schlußkurse!A$5:AU$105,45,FALSE),""),"")</f>
        <v>#N/A</v>
      </c>
      <c r="N93" s="71" t="e">
        <f>IF(VLOOKUP(A93,Schlußkurse!A$5:AU$105,46,FALSE)&gt;0,IF(VLOOKUP(A93,Dividende_je_Aktie!A$3:AM$103,18,FALSE)&lt;&gt;"",VLOOKUP(A93,Dividende_je_Aktie!A$3:AM$103,18,FALSE)/VLOOKUP(A93,Schlußkurse!A$5:AU$105,46,FALSE),""),"")</f>
        <v>#N/A</v>
      </c>
      <c r="O93" s="71" t="e">
        <f>IF(VLOOKUP(A93,Schlußkurse!A$5:AU$105,47,FALSE)&gt;0,IF(VLOOKUP(A93,Dividende_je_Aktie!A$3:AM$103,19,FALSE)&lt;&gt;"",VLOOKUP(A93,Dividende_je_Aktie!A$3:AM$103,19,FALSE)/VLOOKUP(A93,Schlußkurse!A$5:AU$105,47,FALSE),""),"")</f>
        <v>#N/A</v>
      </c>
      <c r="P93" s="71" t="e">
        <f t="shared" si="4"/>
        <v>#N/A</v>
      </c>
      <c r="Q93" s="5" t="e">
        <f>VLOOKUP(A93,Dividende_je_Aktie!A$3:AM$103,24,FALSE)/VLOOKUP(A93,Schlußkurse!A$5:AU$105,35,FALSE)</f>
        <v>#N/A</v>
      </c>
      <c r="R93" s="5" t="e">
        <f t="shared" si="5"/>
        <v>#N/A</v>
      </c>
    </row>
    <row r="94" spans="2:18">
      <c r="B94" s="38"/>
      <c r="C94" s="71" t="e">
        <f>IF(VLOOKUP(A94,Schlußkurse!A$5:AU$105,35,FALSE)&gt;0,IF(VLOOKUP(A94,Dividende_je_Aktie!A$3:AM$103,7,FALSE)&lt;&gt;"",VLOOKUP(A94,Dividende_je_Aktie!A$3:AM$103,7,FALSE)/VLOOKUP(A94,Schlußkurse!A$5:AU$105,35,FALSE),""),"")</f>
        <v>#N/A</v>
      </c>
      <c r="D94" s="71" t="e">
        <f>IF(VLOOKUP(A94,Schlußkurse!A$5:AU$105,36,FALSE)&gt;0,IF(VLOOKUP(A94,Dividende_je_Aktie!A$3:AM$103,8,FALSE)&lt;&gt;"",VLOOKUP(A94,Dividende_je_Aktie!A$3:AM$103,8,FALSE)/VLOOKUP(A94,Schlußkurse!A$5:AU$105,36,FALSE),""),"")</f>
        <v>#N/A</v>
      </c>
      <c r="E94" s="71" t="e">
        <f>IF(VLOOKUP(A94,Schlußkurse!A$5:AU$105,37,FALSE)&gt;0,IF(VLOOKUP(A94,Dividende_je_Aktie!A$3:AM$103,9,FALSE)&lt;&gt;"",VLOOKUP(A94,Dividende_je_Aktie!A$3:AM$103,9,FALSE)/VLOOKUP(A94,Schlußkurse!A$5:AU$105,37,FALSE),""),"")</f>
        <v>#N/A</v>
      </c>
      <c r="F94" s="71" t="e">
        <f>IF(VLOOKUP(A94,Schlußkurse!A$5:AU$105,38,FALSE)&gt;0,IF(VLOOKUP(A94,Dividende_je_Aktie!A$3:AM$103,10,FALSE)&lt;&gt;"",VLOOKUP(A94,Dividende_je_Aktie!A$3:AM$103,10,FALSE)/VLOOKUP(A94,Schlußkurse!A$5:AU$105,38,FALSE),""),"")</f>
        <v>#N/A</v>
      </c>
      <c r="G94" s="71" t="e">
        <f>IF(VLOOKUP(A94,Schlußkurse!A$5:AU$105,39,FALSE)&gt;0,IF(VLOOKUP(A94,Dividende_je_Aktie!A$3:AM$103,11,FALSE)&lt;&gt;"",VLOOKUP(A94,Dividende_je_Aktie!A$3:AM$103,11,FALSE)/VLOOKUP(A94,Schlußkurse!A$5:AU$105,39,FALSE),""),"")</f>
        <v>#N/A</v>
      </c>
      <c r="H94" s="71" t="e">
        <f>IF(VLOOKUP(A94,Schlußkurse!A$5:AU$105,40,FALSE)&gt;0,IF(VLOOKUP(A94,Dividende_je_Aktie!A$3:AM$103,12,FALSE)&lt;&gt;"",VLOOKUP(A94,Dividende_je_Aktie!A$3:AM$103,12,FALSE)/VLOOKUP(A94,Schlußkurse!A$5:AU$105,40,FALSE),""),"")</f>
        <v>#N/A</v>
      </c>
      <c r="I94" s="71" t="e">
        <f>IF(VLOOKUP(A94,Schlußkurse!A$5:AU$105,41,FALSE)&gt;0,IF(VLOOKUP(A94,Dividende_je_Aktie!A$3:AM$103,13,FALSE)&lt;&gt;"",VLOOKUP(A94,Dividende_je_Aktie!A$3:AM$103,13,FALSE)/VLOOKUP(A94,Schlußkurse!A$5:AU$105,41,FALSE),""),"")</f>
        <v>#N/A</v>
      </c>
      <c r="J94" s="71" t="e">
        <f>IF(VLOOKUP(A94,Schlußkurse!A$5:AU$105,42,FALSE)&gt;0,IF(VLOOKUP(A94,Dividende_je_Aktie!A$3:AM$103,14,FALSE)&lt;&gt;"",VLOOKUP(A94,Dividende_je_Aktie!A$3:AM$103,14,FALSE)/VLOOKUP(A94,Schlußkurse!A$5:AU$105,42,FALSE),""),"")</f>
        <v>#N/A</v>
      </c>
      <c r="K94" s="71" t="e">
        <f>IF(VLOOKUP(A94,Schlußkurse!A$5:AU$105,43,FALSE)&gt;0,IF(VLOOKUP(A94,Dividende_je_Aktie!A$3:AM$103,15,FALSE)&lt;&gt;"",VLOOKUP(A94,Dividende_je_Aktie!A$3:AM$103,15,FALSE)/VLOOKUP(A94,Schlußkurse!A$5:AU$105,43,FALSE),""),"")</f>
        <v>#N/A</v>
      </c>
      <c r="L94" s="71" t="e">
        <f>IF(VLOOKUP(A94,Schlußkurse!A$5:AU$105,44,FALSE)&gt;0,IF(VLOOKUP(A94,Dividende_je_Aktie!A$3:AM$103,16,FALSE)&lt;&gt;"",VLOOKUP(A94,Dividende_je_Aktie!A$3:AM$103,16,FALSE)/VLOOKUP(A94,Schlußkurse!A$5:AU$105,44,FALSE),""),"")</f>
        <v>#N/A</v>
      </c>
      <c r="M94" s="71" t="e">
        <f>IF(VLOOKUP(A94,Schlußkurse!A$5:AU$105,45,FALSE)&gt;0,IF(VLOOKUP(A94,Dividende_je_Aktie!A$3:AM$103,17,FALSE)&lt;&gt;"",VLOOKUP(A94,Dividende_je_Aktie!A$3:AM$103,17,FALSE)/VLOOKUP(A94,Schlußkurse!A$5:AU$105,45,FALSE),""),"")</f>
        <v>#N/A</v>
      </c>
      <c r="N94" s="71" t="e">
        <f>IF(VLOOKUP(A94,Schlußkurse!A$5:AU$105,46,FALSE)&gt;0,IF(VLOOKUP(A94,Dividende_je_Aktie!A$3:AM$103,18,FALSE)&lt;&gt;"",VLOOKUP(A94,Dividende_je_Aktie!A$3:AM$103,18,FALSE)/VLOOKUP(A94,Schlußkurse!A$5:AU$105,46,FALSE),""),"")</f>
        <v>#N/A</v>
      </c>
      <c r="O94" s="71" t="e">
        <f>IF(VLOOKUP(A94,Schlußkurse!A$5:AU$105,47,FALSE)&gt;0,IF(VLOOKUP(A94,Dividende_je_Aktie!A$3:AM$103,19,FALSE)&lt;&gt;"",VLOOKUP(A94,Dividende_je_Aktie!A$3:AM$103,19,FALSE)/VLOOKUP(A94,Schlußkurse!A$5:AU$105,47,FALSE),""),"")</f>
        <v>#N/A</v>
      </c>
      <c r="P94" s="71" t="e">
        <f t="shared" si="4"/>
        <v>#N/A</v>
      </c>
      <c r="Q94" s="5" t="e">
        <f>VLOOKUP(A94,Dividende_je_Aktie!A$3:AM$103,24,FALSE)/VLOOKUP(A94,Schlußkurse!A$5:AU$105,35,FALSE)</f>
        <v>#N/A</v>
      </c>
      <c r="R94" s="5" t="e">
        <f t="shared" si="5"/>
        <v>#N/A</v>
      </c>
    </row>
    <row r="95" spans="2:18">
      <c r="B95" s="38"/>
      <c r="C95" s="71" t="e">
        <f>IF(VLOOKUP(A95,Schlußkurse!A$5:AU$105,35,FALSE)&gt;0,IF(VLOOKUP(A95,Dividende_je_Aktie!A$3:AM$103,7,FALSE)&lt;&gt;"",VLOOKUP(A95,Dividende_je_Aktie!A$3:AM$103,7,FALSE)/VLOOKUP(A95,Schlußkurse!A$5:AU$105,35,FALSE),""),"")</f>
        <v>#N/A</v>
      </c>
      <c r="D95" s="71" t="e">
        <f>IF(VLOOKUP(A95,Schlußkurse!A$5:AU$105,36,FALSE)&gt;0,IF(VLOOKUP(A95,Dividende_je_Aktie!A$3:AM$103,8,FALSE)&lt;&gt;"",VLOOKUP(A95,Dividende_je_Aktie!A$3:AM$103,8,FALSE)/VLOOKUP(A95,Schlußkurse!A$5:AU$105,36,FALSE),""),"")</f>
        <v>#N/A</v>
      </c>
      <c r="E95" s="71" t="e">
        <f>IF(VLOOKUP(A95,Schlußkurse!A$5:AU$105,37,FALSE)&gt;0,IF(VLOOKUP(A95,Dividende_je_Aktie!A$3:AM$103,9,FALSE)&lt;&gt;"",VLOOKUP(A95,Dividende_je_Aktie!A$3:AM$103,9,FALSE)/VLOOKUP(A95,Schlußkurse!A$5:AU$105,37,FALSE),""),"")</f>
        <v>#N/A</v>
      </c>
      <c r="F95" s="71" t="e">
        <f>IF(VLOOKUP(A95,Schlußkurse!A$5:AU$105,38,FALSE)&gt;0,IF(VLOOKUP(A95,Dividende_je_Aktie!A$3:AM$103,10,FALSE)&lt;&gt;"",VLOOKUP(A95,Dividende_je_Aktie!A$3:AM$103,10,FALSE)/VLOOKUP(A95,Schlußkurse!A$5:AU$105,38,FALSE),""),"")</f>
        <v>#N/A</v>
      </c>
      <c r="G95" s="71" t="e">
        <f>IF(VLOOKUP(A95,Schlußkurse!A$5:AU$105,39,FALSE)&gt;0,IF(VLOOKUP(A95,Dividende_je_Aktie!A$3:AM$103,11,FALSE)&lt;&gt;"",VLOOKUP(A95,Dividende_je_Aktie!A$3:AM$103,11,FALSE)/VLOOKUP(A95,Schlußkurse!A$5:AU$105,39,FALSE),""),"")</f>
        <v>#N/A</v>
      </c>
      <c r="H95" s="71" t="e">
        <f>IF(VLOOKUP(A95,Schlußkurse!A$5:AU$105,40,FALSE)&gt;0,IF(VLOOKUP(A95,Dividende_je_Aktie!A$3:AM$103,12,FALSE)&lt;&gt;"",VLOOKUP(A95,Dividende_je_Aktie!A$3:AM$103,12,FALSE)/VLOOKUP(A95,Schlußkurse!A$5:AU$105,40,FALSE),""),"")</f>
        <v>#N/A</v>
      </c>
      <c r="I95" s="71" t="e">
        <f>IF(VLOOKUP(A95,Schlußkurse!A$5:AU$105,41,FALSE)&gt;0,IF(VLOOKUP(A95,Dividende_je_Aktie!A$3:AM$103,13,FALSE)&lt;&gt;"",VLOOKUP(A95,Dividende_je_Aktie!A$3:AM$103,13,FALSE)/VLOOKUP(A95,Schlußkurse!A$5:AU$105,41,FALSE),""),"")</f>
        <v>#N/A</v>
      </c>
      <c r="J95" s="71" t="e">
        <f>IF(VLOOKUP(A95,Schlußkurse!A$5:AU$105,42,FALSE)&gt;0,IF(VLOOKUP(A95,Dividende_je_Aktie!A$3:AM$103,14,FALSE)&lt;&gt;"",VLOOKUP(A95,Dividende_je_Aktie!A$3:AM$103,14,FALSE)/VLOOKUP(A95,Schlußkurse!A$5:AU$105,42,FALSE),""),"")</f>
        <v>#N/A</v>
      </c>
      <c r="K95" s="71" t="e">
        <f>IF(VLOOKUP(A95,Schlußkurse!A$5:AU$105,43,FALSE)&gt;0,IF(VLOOKUP(A95,Dividende_je_Aktie!A$3:AM$103,15,FALSE)&lt;&gt;"",VLOOKUP(A95,Dividende_je_Aktie!A$3:AM$103,15,FALSE)/VLOOKUP(A95,Schlußkurse!A$5:AU$105,43,FALSE),""),"")</f>
        <v>#N/A</v>
      </c>
      <c r="L95" s="71" t="e">
        <f>IF(VLOOKUP(A95,Schlußkurse!A$5:AU$105,44,FALSE)&gt;0,IF(VLOOKUP(A95,Dividende_je_Aktie!A$3:AM$103,16,FALSE)&lt;&gt;"",VLOOKUP(A95,Dividende_je_Aktie!A$3:AM$103,16,FALSE)/VLOOKUP(A95,Schlußkurse!A$5:AU$105,44,FALSE),""),"")</f>
        <v>#N/A</v>
      </c>
      <c r="M95" s="71" t="e">
        <f>IF(VLOOKUP(A95,Schlußkurse!A$5:AU$105,45,FALSE)&gt;0,IF(VLOOKUP(A95,Dividende_je_Aktie!A$3:AM$103,17,FALSE)&lt;&gt;"",VLOOKUP(A95,Dividende_je_Aktie!A$3:AM$103,17,FALSE)/VLOOKUP(A95,Schlußkurse!A$5:AU$105,45,FALSE),""),"")</f>
        <v>#N/A</v>
      </c>
      <c r="N95" s="71" t="e">
        <f>IF(VLOOKUP(A95,Schlußkurse!A$5:AU$105,46,FALSE)&gt;0,IF(VLOOKUP(A95,Dividende_je_Aktie!A$3:AM$103,18,FALSE)&lt;&gt;"",VLOOKUP(A95,Dividende_je_Aktie!A$3:AM$103,18,FALSE)/VLOOKUP(A95,Schlußkurse!A$5:AU$105,46,FALSE),""),"")</f>
        <v>#N/A</v>
      </c>
      <c r="O95" s="71" t="e">
        <f>IF(VLOOKUP(A95,Schlußkurse!A$5:AU$105,47,FALSE)&gt;0,IF(VLOOKUP(A95,Dividende_je_Aktie!A$3:AM$103,19,FALSE)&lt;&gt;"",VLOOKUP(A95,Dividende_je_Aktie!A$3:AM$103,19,FALSE)/VLOOKUP(A95,Schlußkurse!A$5:AU$105,47,FALSE),""),"")</f>
        <v>#N/A</v>
      </c>
      <c r="P95" s="71" t="e">
        <f t="shared" si="4"/>
        <v>#N/A</v>
      </c>
      <c r="Q95" s="5" t="e">
        <f>VLOOKUP(A95,Dividende_je_Aktie!A$3:AM$103,24,FALSE)/VLOOKUP(A95,Schlußkurse!A$5:AU$105,35,FALSE)</f>
        <v>#N/A</v>
      </c>
      <c r="R95" s="5" t="e">
        <f t="shared" si="5"/>
        <v>#N/A</v>
      </c>
    </row>
    <row r="96" spans="2:18">
      <c r="B96" s="38"/>
      <c r="C96" s="71" t="e">
        <f>IF(VLOOKUP(A96,Schlußkurse!A$5:AU$105,35,FALSE)&gt;0,IF(VLOOKUP(A96,Dividende_je_Aktie!A$3:AM$103,7,FALSE)&lt;&gt;"",VLOOKUP(A96,Dividende_je_Aktie!A$3:AM$103,7,FALSE)/VLOOKUP(A96,Schlußkurse!A$5:AU$105,35,FALSE),""),"")</f>
        <v>#N/A</v>
      </c>
      <c r="D96" s="71" t="e">
        <f>IF(VLOOKUP(A96,Schlußkurse!A$5:AU$105,36,FALSE)&gt;0,IF(VLOOKUP(A96,Dividende_je_Aktie!A$3:AM$103,8,FALSE)&lt;&gt;"",VLOOKUP(A96,Dividende_je_Aktie!A$3:AM$103,8,FALSE)/VLOOKUP(A96,Schlußkurse!A$5:AU$105,36,FALSE),""),"")</f>
        <v>#N/A</v>
      </c>
      <c r="E96" s="71" t="e">
        <f>IF(VLOOKUP(A96,Schlußkurse!A$5:AU$105,37,FALSE)&gt;0,IF(VLOOKUP(A96,Dividende_je_Aktie!A$3:AM$103,9,FALSE)&lt;&gt;"",VLOOKUP(A96,Dividende_je_Aktie!A$3:AM$103,9,FALSE)/VLOOKUP(A96,Schlußkurse!A$5:AU$105,37,FALSE),""),"")</f>
        <v>#N/A</v>
      </c>
      <c r="F96" s="71" t="e">
        <f>IF(VLOOKUP(A96,Schlußkurse!A$5:AU$105,38,FALSE)&gt;0,IF(VLOOKUP(A96,Dividende_je_Aktie!A$3:AM$103,10,FALSE)&lt;&gt;"",VLOOKUP(A96,Dividende_je_Aktie!A$3:AM$103,10,FALSE)/VLOOKUP(A96,Schlußkurse!A$5:AU$105,38,FALSE),""),"")</f>
        <v>#N/A</v>
      </c>
      <c r="G96" s="71" t="e">
        <f>IF(VLOOKUP(A96,Schlußkurse!A$5:AU$105,39,FALSE)&gt;0,IF(VLOOKUP(A96,Dividende_je_Aktie!A$3:AM$103,11,FALSE)&lt;&gt;"",VLOOKUP(A96,Dividende_je_Aktie!A$3:AM$103,11,FALSE)/VLOOKUP(A96,Schlußkurse!A$5:AU$105,39,FALSE),""),"")</f>
        <v>#N/A</v>
      </c>
      <c r="H96" s="71" t="e">
        <f>IF(VLOOKUP(A96,Schlußkurse!A$5:AU$105,40,FALSE)&gt;0,IF(VLOOKUP(A96,Dividende_je_Aktie!A$3:AM$103,12,FALSE)&lt;&gt;"",VLOOKUP(A96,Dividende_je_Aktie!A$3:AM$103,12,FALSE)/VLOOKUP(A96,Schlußkurse!A$5:AU$105,40,FALSE),""),"")</f>
        <v>#N/A</v>
      </c>
      <c r="I96" s="71" t="e">
        <f>IF(VLOOKUP(A96,Schlußkurse!A$5:AU$105,41,FALSE)&gt;0,IF(VLOOKUP(A96,Dividende_je_Aktie!A$3:AM$103,13,FALSE)&lt;&gt;"",VLOOKUP(A96,Dividende_je_Aktie!A$3:AM$103,13,FALSE)/VLOOKUP(A96,Schlußkurse!A$5:AU$105,41,FALSE),""),"")</f>
        <v>#N/A</v>
      </c>
      <c r="J96" s="71" t="e">
        <f>IF(VLOOKUP(A96,Schlußkurse!A$5:AU$105,42,FALSE)&gt;0,IF(VLOOKUP(A96,Dividende_je_Aktie!A$3:AM$103,14,FALSE)&lt;&gt;"",VLOOKUP(A96,Dividende_je_Aktie!A$3:AM$103,14,FALSE)/VLOOKUP(A96,Schlußkurse!A$5:AU$105,42,FALSE),""),"")</f>
        <v>#N/A</v>
      </c>
      <c r="K96" s="71" t="e">
        <f>IF(VLOOKUP(A96,Schlußkurse!A$5:AU$105,43,FALSE)&gt;0,IF(VLOOKUP(A96,Dividende_je_Aktie!A$3:AM$103,15,FALSE)&lt;&gt;"",VLOOKUP(A96,Dividende_je_Aktie!A$3:AM$103,15,FALSE)/VLOOKUP(A96,Schlußkurse!A$5:AU$105,43,FALSE),""),"")</f>
        <v>#N/A</v>
      </c>
      <c r="L96" s="71" t="e">
        <f>IF(VLOOKUP(A96,Schlußkurse!A$5:AU$105,44,FALSE)&gt;0,IF(VLOOKUP(A96,Dividende_je_Aktie!A$3:AM$103,16,FALSE)&lt;&gt;"",VLOOKUP(A96,Dividende_je_Aktie!A$3:AM$103,16,FALSE)/VLOOKUP(A96,Schlußkurse!A$5:AU$105,44,FALSE),""),"")</f>
        <v>#N/A</v>
      </c>
      <c r="M96" s="71" t="e">
        <f>IF(VLOOKUP(A96,Schlußkurse!A$5:AU$105,45,FALSE)&gt;0,IF(VLOOKUP(A96,Dividende_je_Aktie!A$3:AM$103,17,FALSE)&lt;&gt;"",VLOOKUP(A96,Dividende_je_Aktie!A$3:AM$103,17,FALSE)/VLOOKUP(A96,Schlußkurse!A$5:AU$105,45,FALSE),""),"")</f>
        <v>#N/A</v>
      </c>
      <c r="N96" s="71" t="e">
        <f>IF(VLOOKUP(A96,Schlußkurse!A$5:AU$105,46,FALSE)&gt;0,IF(VLOOKUP(A96,Dividende_je_Aktie!A$3:AM$103,18,FALSE)&lt;&gt;"",VLOOKUP(A96,Dividende_je_Aktie!A$3:AM$103,18,FALSE)/VLOOKUP(A96,Schlußkurse!A$5:AU$105,46,FALSE),""),"")</f>
        <v>#N/A</v>
      </c>
      <c r="O96" s="71" t="e">
        <f>IF(VLOOKUP(A96,Schlußkurse!A$5:AU$105,47,FALSE)&gt;0,IF(VLOOKUP(A96,Dividende_je_Aktie!A$3:AM$103,19,FALSE)&lt;&gt;"",VLOOKUP(A96,Dividende_je_Aktie!A$3:AM$103,19,FALSE)/VLOOKUP(A96,Schlußkurse!A$5:AU$105,47,FALSE),""),"")</f>
        <v>#N/A</v>
      </c>
      <c r="P96" s="71" t="e">
        <f t="shared" si="4"/>
        <v>#N/A</v>
      </c>
      <c r="Q96" s="5" t="e">
        <f>VLOOKUP(A96,Dividende_je_Aktie!A$3:AM$103,24,FALSE)/VLOOKUP(A96,Schlußkurse!A$5:AU$105,35,FALSE)</f>
        <v>#N/A</v>
      </c>
      <c r="R96" s="5" t="e">
        <f t="shared" si="5"/>
        <v>#N/A</v>
      </c>
    </row>
    <row r="97" spans="2:18">
      <c r="B97" s="38"/>
      <c r="C97" s="71" t="e">
        <f>IF(VLOOKUP(A97,Schlußkurse!A$5:AU$105,35,FALSE)&gt;0,IF(VLOOKUP(A97,Dividende_je_Aktie!A$3:AM$103,7,FALSE)&lt;&gt;"",VLOOKUP(A97,Dividende_je_Aktie!A$3:AM$103,7,FALSE)/VLOOKUP(A97,Schlußkurse!A$5:AU$105,35,FALSE),""),"")</f>
        <v>#N/A</v>
      </c>
      <c r="D97" s="71" t="e">
        <f>IF(VLOOKUP(A97,Schlußkurse!A$5:AU$105,36,FALSE)&gt;0,IF(VLOOKUP(A97,Dividende_je_Aktie!A$3:AM$103,8,FALSE)&lt;&gt;"",VLOOKUP(A97,Dividende_je_Aktie!A$3:AM$103,8,FALSE)/VLOOKUP(A97,Schlußkurse!A$5:AU$105,36,FALSE),""),"")</f>
        <v>#N/A</v>
      </c>
      <c r="E97" s="71" t="e">
        <f>IF(VLOOKUP(A97,Schlußkurse!A$5:AU$105,37,FALSE)&gt;0,IF(VLOOKUP(A97,Dividende_je_Aktie!A$3:AM$103,9,FALSE)&lt;&gt;"",VLOOKUP(A97,Dividende_je_Aktie!A$3:AM$103,9,FALSE)/VLOOKUP(A97,Schlußkurse!A$5:AU$105,37,FALSE),""),"")</f>
        <v>#N/A</v>
      </c>
      <c r="F97" s="71" t="e">
        <f>IF(VLOOKUP(A97,Schlußkurse!A$5:AU$105,38,FALSE)&gt;0,IF(VLOOKUP(A97,Dividende_je_Aktie!A$3:AM$103,10,FALSE)&lt;&gt;"",VLOOKUP(A97,Dividende_je_Aktie!A$3:AM$103,10,FALSE)/VLOOKUP(A97,Schlußkurse!A$5:AU$105,38,FALSE),""),"")</f>
        <v>#N/A</v>
      </c>
      <c r="G97" s="71" t="e">
        <f>IF(VLOOKUP(A97,Schlußkurse!A$5:AU$105,39,FALSE)&gt;0,IF(VLOOKUP(A97,Dividende_je_Aktie!A$3:AM$103,11,FALSE)&lt;&gt;"",VLOOKUP(A97,Dividende_je_Aktie!A$3:AM$103,11,FALSE)/VLOOKUP(A97,Schlußkurse!A$5:AU$105,39,FALSE),""),"")</f>
        <v>#N/A</v>
      </c>
      <c r="H97" s="71" t="e">
        <f>IF(VLOOKUP(A97,Schlußkurse!A$5:AU$105,40,FALSE)&gt;0,IF(VLOOKUP(A97,Dividende_je_Aktie!A$3:AM$103,12,FALSE)&lt;&gt;"",VLOOKUP(A97,Dividende_je_Aktie!A$3:AM$103,12,FALSE)/VLOOKUP(A97,Schlußkurse!A$5:AU$105,40,FALSE),""),"")</f>
        <v>#N/A</v>
      </c>
      <c r="I97" s="71" t="e">
        <f>IF(VLOOKUP(A97,Schlußkurse!A$5:AU$105,41,FALSE)&gt;0,IF(VLOOKUP(A97,Dividende_je_Aktie!A$3:AM$103,13,FALSE)&lt;&gt;"",VLOOKUP(A97,Dividende_je_Aktie!A$3:AM$103,13,FALSE)/VLOOKUP(A97,Schlußkurse!A$5:AU$105,41,FALSE),""),"")</f>
        <v>#N/A</v>
      </c>
      <c r="J97" s="71" t="e">
        <f>IF(VLOOKUP(A97,Schlußkurse!A$5:AU$105,42,FALSE)&gt;0,IF(VLOOKUP(A97,Dividende_je_Aktie!A$3:AM$103,14,FALSE)&lt;&gt;"",VLOOKUP(A97,Dividende_je_Aktie!A$3:AM$103,14,FALSE)/VLOOKUP(A97,Schlußkurse!A$5:AU$105,42,FALSE),""),"")</f>
        <v>#N/A</v>
      </c>
      <c r="K97" s="71" t="e">
        <f>IF(VLOOKUP(A97,Schlußkurse!A$5:AU$105,43,FALSE)&gt;0,IF(VLOOKUP(A97,Dividende_je_Aktie!A$3:AM$103,15,FALSE)&lt;&gt;"",VLOOKUP(A97,Dividende_je_Aktie!A$3:AM$103,15,FALSE)/VLOOKUP(A97,Schlußkurse!A$5:AU$105,43,FALSE),""),"")</f>
        <v>#N/A</v>
      </c>
      <c r="L97" s="71" t="e">
        <f>IF(VLOOKUP(A97,Schlußkurse!A$5:AU$105,44,FALSE)&gt;0,IF(VLOOKUP(A97,Dividende_je_Aktie!A$3:AM$103,16,FALSE)&lt;&gt;"",VLOOKUP(A97,Dividende_je_Aktie!A$3:AM$103,16,FALSE)/VLOOKUP(A97,Schlußkurse!A$5:AU$105,44,FALSE),""),"")</f>
        <v>#N/A</v>
      </c>
      <c r="M97" s="71" t="e">
        <f>IF(VLOOKUP(A97,Schlußkurse!A$5:AU$105,45,FALSE)&gt;0,IF(VLOOKUP(A97,Dividende_je_Aktie!A$3:AM$103,17,FALSE)&lt;&gt;"",VLOOKUP(A97,Dividende_je_Aktie!A$3:AM$103,17,FALSE)/VLOOKUP(A97,Schlußkurse!A$5:AU$105,45,FALSE),""),"")</f>
        <v>#N/A</v>
      </c>
      <c r="N97" s="71" t="e">
        <f>IF(VLOOKUP(A97,Schlußkurse!A$5:AU$105,46,FALSE)&gt;0,IF(VLOOKUP(A97,Dividende_je_Aktie!A$3:AM$103,18,FALSE)&lt;&gt;"",VLOOKUP(A97,Dividende_je_Aktie!A$3:AM$103,18,FALSE)/VLOOKUP(A97,Schlußkurse!A$5:AU$105,46,FALSE),""),"")</f>
        <v>#N/A</v>
      </c>
      <c r="O97" s="71" t="e">
        <f>IF(VLOOKUP(A97,Schlußkurse!A$5:AU$105,47,FALSE)&gt;0,IF(VLOOKUP(A97,Dividende_je_Aktie!A$3:AM$103,19,FALSE)&lt;&gt;"",VLOOKUP(A97,Dividende_je_Aktie!A$3:AM$103,19,FALSE)/VLOOKUP(A97,Schlußkurse!A$5:AU$105,47,FALSE),""),"")</f>
        <v>#N/A</v>
      </c>
      <c r="P97" s="71" t="e">
        <f t="shared" si="4"/>
        <v>#N/A</v>
      </c>
      <c r="Q97" s="5" t="e">
        <f>VLOOKUP(A97,Dividende_je_Aktie!A$3:AM$103,24,FALSE)/VLOOKUP(A97,Schlußkurse!A$5:AU$105,35,FALSE)</f>
        <v>#N/A</v>
      </c>
      <c r="R97" s="5" t="e">
        <f t="shared" si="5"/>
        <v>#N/A</v>
      </c>
    </row>
    <row r="98" spans="2:18">
      <c r="B98" s="38"/>
      <c r="C98" s="71" t="e">
        <f>IF(VLOOKUP(A98,Schlußkurse!A$5:AU$105,35,FALSE)&gt;0,IF(VLOOKUP(A98,Dividende_je_Aktie!A$3:AM$103,7,FALSE)&lt;&gt;"",VLOOKUP(A98,Dividende_je_Aktie!A$3:AM$103,7,FALSE)/VLOOKUP(A98,Schlußkurse!A$5:AU$105,35,FALSE),""),"")</f>
        <v>#N/A</v>
      </c>
      <c r="D98" s="71" t="e">
        <f>IF(VLOOKUP(A98,Schlußkurse!A$5:AU$105,36,FALSE)&gt;0,IF(VLOOKUP(A98,Dividende_je_Aktie!A$3:AM$103,8,FALSE)&lt;&gt;"",VLOOKUP(A98,Dividende_je_Aktie!A$3:AM$103,8,FALSE)/VLOOKUP(A98,Schlußkurse!A$5:AU$105,36,FALSE),""),"")</f>
        <v>#N/A</v>
      </c>
      <c r="E98" s="71" t="e">
        <f>IF(VLOOKUP(A98,Schlußkurse!A$5:AU$105,37,FALSE)&gt;0,IF(VLOOKUP(A98,Dividende_je_Aktie!A$3:AM$103,9,FALSE)&lt;&gt;"",VLOOKUP(A98,Dividende_je_Aktie!A$3:AM$103,9,FALSE)/VLOOKUP(A98,Schlußkurse!A$5:AU$105,37,FALSE),""),"")</f>
        <v>#N/A</v>
      </c>
      <c r="F98" s="71" t="e">
        <f>IF(VLOOKUP(A98,Schlußkurse!A$5:AU$105,38,FALSE)&gt;0,IF(VLOOKUP(A98,Dividende_je_Aktie!A$3:AM$103,10,FALSE)&lt;&gt;"",VLOOKUP(A98,Dividende_je_Aktie!A$3:AM$103,10,FALSE)/VLOOKUP(A98,Schlußkurse!A$5:AU$105,38,FALSE),""),"")</f>
        <v>#N/A</v>
      </c>
      <c r="G98" s="71" t="e">
        <f>IF(VLOOKUP(A98,Schlußkurse!A$5:AU$105,39,FALSE)&gt;0,IF(VLOOKUP(A98,Dividende_je_Aktie!A$3:AM$103,11,FALSE)&lt;&gt;"",VLOOKUP(A98,Dividende_je_Aktie!A$3:AM$103,11,FALSE)/VLOOKUP(A98,Schlußkurse!A$5:AU$105,39,FALSE),""),"")</f>
        <v>#N/A</v>
      </c>
      <c r="H98" s="71" t="e">
        <f>IF(VLOOKUP(A98,Schlußkurse!A$5:AU$105,40,FALSE)&gt;0,IF(VLOOKUP(A98,Dividende_je_Aktie!A$3:AM$103,12,FALSE)&lt;&gt;"",VLOOKUP(A98,Dividende_je_Aktie!A$3:AM$103,12,FALSE)/VLOOKUP(A98,Schlußkurse!A$5:AU$105,40,FALSE),""),"")</f>
        <v>#N/A</v>
      </c>
      <c r="I98" s="71" t="e">
        <f>IF(VLOOKUP(A98,Schlußkurse!A$5:AU$105,41,FALSE)&gt;0,IF(VLOOKUP(A98,Dividende_je_Aktie!A$3:AM$103,13,FALSE)&lt;&gt;"",VLOOKUP(A98,Dividende_je_Aktie!A$3:AM$103,13,FALSE)/VLOOKUP(A98,Schlußkurse!A$5:AU$105,41,FALSE),""),"")</f>
        <v>#N/A</v>
      </c>
      <c r="J98" s="71" t="e">
        <f>IF(VLOOKUP(A98,Schlußkurse!A$5:AU$105,42,FALSE)&gt;0,IF(VLOOKUP(A98,Dividende_je_Aktie!A$3:AM$103,14,FALSE)&lt;&gt;"",VLOOKUP(A98,Dividende_je_Aktie!A$3:AM$103,14,FALSE)/VLOOKUP(A98,Schlußkurse!A$5:AU$105,42,FALSE),""),"")</f>
        <v>#N/A</v>
      </c>
      <c r="K98" s="71" t="e">
        <f>IF(VLOOKUP(A98,Schlußkurse!A$5:AU$105,43,FALSE)&gt;0,IF(VLOOKUP(A98,Dividende_je_Aktie!A$3:AM$103,15,FALSE)&lt;&gt;"",VLOOKUP(A98,Dividende_je_Aktie!A$3:AM$103,15,FALSE)/VLOOKUP(A98,Schlußkurse!A$5:AU$105,43,FALSE),""),"")</f>
        <v>#N/A</v>
      </c>
      <c r="L98" s="71" t="e">
        <f>IF(VLOOKUP(A98,Schlußkurse!A$5:AU$105,44,FALSE)&gt;0,IF(VLOOKUP(A98,Dividende_je_Aktie!A$3:AM$103,16,FALSE)&lt;&gt;"",VLOOKUP(A98,Dividende_je_Aktie!A$3:AM$103,16,FALSE)/VLOOKUP(A98,Schlußkurse!A$5:AU$105,44,FALSE),""),"")</f>
        <v>#N/A</v>
      </c>
      <c r="M98" s="71" t="e">
        <f>IF(VLOOKUP(A98,Schlußkurse!A$5:AU$105,45,FALSE)&gt;0,IF(VLOOKUP(A98,Dividende_je_Aktie!A$3:AM$103,17,FALSE)&lt;&gt;"",VLOOKUP(A98,Dividende_je_Aktie!A$3:AM$103,17,FALSE)/VLOOKUP(A98,Schlußkurse!A$5:AU$105,45,FALSE),""),"")</f>
        <v>#N/A</v>
      </c>
      <c r="N98" s="71" t="e">
        <f>IF(VLOOKUP(A98,Schlußkurse!A$5:AU$105,46,FALSE)&gt;0,IF(VLOOKUP(A98,Dividende_je_Aktie!A$3:AM$103,18,FALSE)&lt;&gt;"",VLOOKUP(A98,Dividende_je_Aktie!A$3:AM$103,18,FALSE)/VLOOKUP(A98,Schlußkurse!A$5:AU$105,46,FALSE),""),"")</f>
        <v>#N/A</v>
      </c>
      <c r="O98" s="71" t="e">
        <f>IF(VLOOKUP(A98,Schlußkurse!A$5:AU$105,47,FALSE)&gt;0,IF(VLOOKUP(A98,Dividende_je_Aktie!A$3:AM$103,19,FALSE)&lt;&gt;"",VLOOKUP(A98,Dividende_je_Aktie!A$3:AM$103,19,FALSE)/VLOOKUP(A98,Schlußkurse!A$5:AU$105,47,FALSE),""),"")</f>
        <v>#N/A</v>
      </c>
      <c r="P98" s="71" t="e">
        <f t="shared" si="4"/>
        <v>#N/A</v>
      </c>
      <c r="Q98" s="5" t="e">
        <f>VLOOKUP(A98,Dividende_je_Aktie!A$3:AM$103,24,FALSE)/VLOOKUP(A98,Schlußkurse!A$5:AU$105,35,FALSE)</f>
        <v>#N/A</v>
      </c>
      <c r="R98" s="5" t="e">
        <f t="shared" si="5"/>
        <v>#N/A</v>
      </c>
    </row>
    <row r="99" spans="2:18">
      <c r="B99" s="38"/>
      <c r="C99" s="71" t="e">
        <f>IF(VLOOKUP(A99,Schlußkurse!A$5:AU$105,35,FALSE)&gt;0,IF(VLOOKUP(A99,Dividende_je_Aktie!A$3:AM$103,7,FALSE)&lt;&gt;"",VLOOKUP(A99,Dividende_je_Aktie!A$3:AM$103,7,FALSE)/VLOOKUP(A99,Schlußkurse!A$5:AU$105,35,FALSE),""),"")</f>
        <v>#N/A</v>
      </c>
      <c r="D99" s="71" t="e">
        <f>IF(VLOOKUP(A99,Schlußkurse!A$5:AU$105,36,FALSE)&gt;0,IF(VLOOKUP(A99,Dividende_je_Aktie!A$3:AM$103,8,FALSE)&lt;&gt;"",VLOOKUP(A99,Dividende_je_Aktie!A$3:AM$103,8,FALSE)/VLOOKUP(A99,Schlußkurse!A$5:AU$105,36,FALSE),""),"")</f>
        <v>#N/A</v>
      </c>
      <c r="E99" s="71" t="e">
        <f>IF(VLOOKUP(A99,Schlußkurse!A$5:AU$105,37,FALSE)&gt;0,IF(VLOOKUP(A99,Dividende_je_Aktie!A$3:AM$103,9,FALSE)&lt;&gt;"",VLOOKUP(A99,Dividende_je_Aktie!A$3:AM$103,9,FALSE)/VLOOKUP(A99,Schlußkurse!A$5:AU$105,37,FALSE),""),"")</f>
        <v>#N/A</v>
      </c>
      <c r="F99" s="71" t="e">
        <f>IF(VLOOKUP(A99,Schlußkurse!A$5:AU$105,38,FALSE)&gt;0,IF(VLOOKUP(A99,Dividende_je_Aktie!A$3:AM$103,10,FALSE)&lt;&gt;"",VLOOKUP(A99,Dividende_je_Aktie!A$3:AM$103,10,FALSE)/VLOOKUP(A99,Schlußkurse!A$5:AU$105,38,FALSE),""),"")</f>
        <v>#N/A</v>
      </c>
      <c r="G99" s="71" t="e">
        <f>IF(VLOOKUP(A99,Schlußkurse!A$5:AU$105,39,FALSE)&gt;0,IF(VLOOKUP(A99,Dividende_je_Aktie!A$3:AM$103,11,FALSE)&lt;&gt;"",VLOOKUP(A99,Dividende_je_Aktie!A$3:AM$103,11,FALSE)/VLOOKUP(A99,Schlußkurse!A$5:AU$105,39,FALSE),""),"")</f>
        <v>#N/A</v>
      </c>
      <c r="H99" s="71" t="e">
        <f>IF(VLOOKUP(A99,Schlußkurse!A$5:AU$105,40,FALSE)&gt;0,IF(VLOOKUP(A99,Dividende_je_Aktie!A$3:AM$103,12,FALSE)&lt;&gt;"",VLOOKUP(A99,Dividende_je_Aktie!A$3:AM$103,12,FALSE)/VLOOKUP(A99,Schlußkurse!A$5:AU$105,40,FALSE),""),"")</f>
        <v>#N/A</v>
      </c>
      <c r="I99" s="71" t="e">
        <f>IF(VLOOKUP(A99,Schlußkurse!A$5:AU$105,41,FALSE)&gt;0,IF(VLOOKUP(A99,Dividende_je_Aktie!A$3:AM$103,13,FALSE)&lt;&gt;"",VLOOKUP(A99,Dividende_je_Aktie!A$3:AM$103,13,FALSE)/VLOOKUP(A99,Schlußkurse!A$5:AU$105,41,FALSE),""),"")</f>
        <v>#N/A</v>
      </c>
      <c r="J99" s="71" t="e">
        <f>IF(VLOOKUP(A99,Schlußkurse!A$5:AU$105,42,FALSE)&gt;0,IF(VLOOKUP(A99,Dividende_je_Aktie!A$3:AM$103,14,FALSE)&lt;&gt;"",VLOOKUP(A99,Dividende_je_Aktie!A$3:AM$103,14,FALSE)/VLOOKUP(A99,Schlußkurse!A$5:AU$105,42,FALSE),""),"")</f>
        <v>#N/A</v>
      </c>
      <c r="K99" s="71" t="e">
        <f>IF(VLOOKUP(A99,Schlußkurse!A$5:AU$105,43,FALSE)&gt;0,IF(VLOOKUP(A99,Dividende_je_Aktie!A$3:AM$103,15,FALSE)&lt;&gt;"",VLOOKUP(A99,Dividende_je_Aktie!A$3:AM$103,15,FALSE)/VLOOKUP(A99,Schlußkurse!A$5:AU$105,43,FALSE),""),"")</f>
        <v>#N/A</v>
      </c>
      <c r="L99" s="71" t="e">
        <f>IF(VLOOKUP(A99,Schlußkurse!A$5:AU$105,44,FALSE)&gt;0,IF(VLOOKUP(A99,Dividende_je_Aktie!A$3:AM$103,16,FALSE)&lt;&gt;"",VLOOKUP(A99,Dividende_je_Aktie!A$3:AM$103,16,FALSE)/VLOOKUP(A99,Schlußkurse!A$5:AU$105,44,FALSE),""),"")</f>
        <v>#N/A</v>
      </c>
      <c r="M99" s="71" t="e">
        <f>IF(VLOOKUP(A99,Schlußkurse!A$5:AU$105,45,FALSE)&gt;0,IF(VLOOKUP(A99,Dividende_je_Aktie!A$3:AM$103,17,FALSE)&lt;&gt;"",VLOOKUP(A99,Dividende_je_Aktie!A$3:AM$103,17,FALSE)/VLOOKUP(A99,Schlußkurse!A$5:AU$105,45,FALSE),""),"")</f>
        <v>#N/A</v>
      </c>
      <c r="N99" s="71" t="e">
        <f>IF(VLOOKUP(A99,Schlußkurse!A$5:AU$105,46,FALSE)&gt;0,IF(VLOOKUP(A99,Dividende_je_Aktie!A$3:AM$103,18,FALSE)&lt;&gt;"",VLOOKUP(A99,Dividende_je_Aktie!A$3:AM$103,18,FALSE)/VLOOKUP(A99,Schlußkurse!A$5:AU$105,46,FALSE),""),"")</f>
        <v>#N/A</v>
      </c>
      <c r="O99" s="71" t="e">
        <f>IF(VLOOKUP(A99,Schlußkurse!A$5:AU$105,47,FALSE)&gt;0,IF(VLOOKUP(A99,Dividende_je_Aktie!A$3:AM$103,19,FALSE)&lt;&gt;"",VLOOKUP(A99,Dividende_je_Aktie!A$3:AM$103,19,FALSE)/VLOOKUP(A99,Schlußkurse!A$5:AU$105,47,FALSE),""),"")</f>
        <v>#N/A</v>
      </c>
      <c r="P99" s="71" t="e">
        <f t="shared" si="4"/>
        <v>#N/A</v>
      </c>
      <c r="Q99" s="5" t="e">
        <f>VLOOKUP(A99,Dividende_je_Aktie!A$3:AM$103,24,FALSE)/VLOOKUP(A99,Schlußkurse!A$5:AU$105,35,FALSE)</f>
        <v>#N/A</v>
      </c>
      <c r="R99" s="5" t="e">
        <f t="shared" si="5"/>
        <v>#N/A</v>
      </c>
    </row>
    <row r="100" spans="2:18">
      <c r="B100" s="38"/>
      <c r="C100" s="71" t="e">
        <f>IF(VLOOKUP(A100,Schlußkurse!A$5:AU$105,35,FALSE)&gt;0,IF(VLOOKUP(A100,Dividende_je_Aktie!A$3:AM$103,7,FALSE)&lt;&gt;"",VLOOKUP(A100,Dividende_je_Aktie!A$3:AM$103,7,FALSE)/VLOOKUP(A100,Schlußkurse!A$5:AU$105,35,FALSE),""),"")</f>
        <v>#N/A</v>
      </c>
      <c r="D100" s="71" t="e">
        <f>IF(VLOOKUP(A100,Schlußkurse!A$5:AU$105,36,FALSE)&gt;0,IF(VLOOKUP(A100,Dividende_je_Aktie!A$3:AM$103,8,FALSE)&lt;&gt;"",VLOOKUP(A100,Dividende_je_Aktie!A$3:AM$103,8,FALSE)/VLOOKUP(A100,Schlußkurse!A$5:AU$105,36,FALSE),""),"")</f>
        <v>#N/A</v>
      </c>
      <c r="E100" s="71" t="e">
        <f>IF(VLOOKUP(A100,Schlußkurse!A$5:AU$105,37,FALSE)&gt;0,IF(VLOOKUP(A100,Dividende_je_Aktie!A$3:AM$103,9,FALSE)&lt;&gt;"",VLOOKUP(A100,Dividende_je_Aktie!A$3:AM$103,9,FALSE)/VLOOKUP(A100,Schlußkurse!A$5:AU$105,37,FALSE),""),"")</f>
        <v>#N/A</v>
      </c>
      <c r="F100" s="71" t="e">
        <f>IF(VLOOKUP(A100,Schlußkurse!A$5:AU$105,38,FALSE)&gt;0,IF(VLOOKUP(A100,Dividende_je_Aktie!A$3:AM$103,10,FALSE)&lt;&gt;"",VLOOKUP(A100,Dividende_je_Aktie!A$3:AM$103,10,FALSE)/VLOOKUP(A100,Schlußkurse!A$5:AU$105,38,FALSE),""),"")</f>
        <v>#N/A</v>
      </c>
      <c r="G100" s="71" t="e">
        <f>IF(VLOOKUP(A100,Schlußkurse!A$5:AU$105,39,FALSE)&gt;0,IF(VLOOKUP(A100,Dividende_je_Aktie!A$3:AM$103,11,FALSE)&lt;&gt;"",VLOOKUP(A100,Dividende_je_Aktie!A$3:AM$103,11,FALSE)/VLOOKUP(A100,Schlußkurse!A$5:AU$105,39,FALSE),""),"")</f>
        <v>#N/A</v>
      </c>
      <c r="H100" s="71" t="e">
        <f>IF(VLOOKUP(A100,Schlußkurse!A$5:AU$105,40,FALSE)&gt;0,IF(VLOOKUP(A100,Dividende_je_Aktie!A$3:AM$103,12,FALSE)&lt;&gt;"",VLOOKUP(A100,Dividende_je_Aktie!A$3:AM$103,12,FALSE)/VLOOKUP(A100,Schlußkurse!A$5:AU$105,40,FALSE),""),"")</f>
        <v>#N/A</v>
      </c>
      <c r="I100" s="71" t="e">
        <f>IF(VLOOKUP(A100,Schlußkurse!A$5:AU$105,41,FALSE)&gt;0,IF(VLOOKUP(A100,Dividende_je_Aktie!A$3:AM$103,13,FALSE)&lt;&gt;"",VLOOKUP(A100,Dividende_je_Aktie!A$3:AM$103,13,FALSE)/VLOOKUP(A100,Schlußkurse!A$5:AU$105,41,FALSE),""),"")</f>
        <v>#N/A</v>
      </c>
      <c r="J100" s="71" t="e">
        <f>IF(VLOOKUP(A100,Schlußkurse!A$5:AU$105,42,FALSE)&gt;0,IF(VLOOKUP(A100,Dividende_je_Aktie!A$3:AM$103,14,FALSE)&lt;&gt;"",VLOOKUP(A100,Dividende_je_Aktie!A$3:AM$103,14,FALSE)/VLOOKUP(A100,Schlußkurse!A$5:AU$105,42,FALSE),""),"")</f>
        <v>#N/A</v>
      </c>
      <c r="K100" s="71" t="e">
        <f>IF(VLOOKUP(A100,Schlußkurse!A$5:AU$105,43,FALSE)&gt;0,IF(VLOOKUP(A100,Dividende_je_Aktie!A$3:AM$103,15,FALSE)&lt;&gt;"",VLOOKUP(A100,Dividende_je_Aktie!A$3:AM$103,15,FALSE)/VLOOKUP(A100,Schlußkurse!A$5:AU$105,43,FALSE),""),"")</f>
        <v>#N/A</v>
      </c>
      <c r="L100" s="71" t="e">
        <f>IF(VLOOKUP(A100,Schlußkurse!A$5:AU$105,44,FALSE)&gt;0,IF(VLOOKUP(A100,Dividende_je_Aktie!A$3:AM$103,16,FALSE)&lt;&gt;"",VLOOKUP(A100,Dividende_je_Aktie!A$3:AM$103,16,FALSE)/VLOOKUP(A100,Schlußkurse!A$5:AU$105,44,FALSE),""),"")</f>
        <v>#N/A</v>
      </c>
      <c r="M100" s="71" t="e">
        <f>IF(VLOOKUP(A100,Schlußkurse!A$5:AU$105,45,FALSE)&gt;0,IF(VLOOKUP(A100,Dividende_je_Aktie!A$3:AM$103,17,FALSE)&lt;&gt;"",VLOOKUP(A100,Dividende_je_Aktie!A$3:AM$103,17,FALSE)/VLOOKUP(A100,Schlußkurse!A$5:AU$105,45,FALSE),""),"")</f>
        <v>#N/A</v>
      </c>
      <c r="N100" s="71" t="e">
        <f>IF(VLOOKUP(A100,Schlußkurse!A$5:AU$105,46,FALSE)&gt;0,IF(VLOOKUP(A100,Dividende_je_Aktie!A$3:AM$103,18,FALSE)&lt;&gt;"",VLOOKUP(A100,Dividende_je_Aktie!A$3:AM$103,18,FALSE)/VLOOKUP(A100,Schlußkurse!A$5:AU$105,46,FALSE),""),"")</f>
        <v>#N/A</v>
      </c>
      <c r="O100" s="71" t="e">
        <f>IF(VLOOKUP(A100,Schlußkurse!A$5:AU$105,47,FALSE)&gt;0,IF(VLOOKUP(A100,Dividende_je_Aktie!A$3:AM$103,19,FALSE)&lt;&gt;"",VLOOKUP(A100,Dividende_je_Aktie!A$3:AM$103,19,FALSE)/VLOOKUP(A100,Schlußkurse!A$5:AU$105,47,FALSE),""),"")</f>
        <v>#N/A</v>
      </c>
      <c r="P100" s="71" t="e">
        <f t="shared" ref="P100:P103" si="6">AVERAGE(C100:O100)</f>
        <v>#N/A</v>
      </c>
      <c r="Q100" s="5" t="e">
        <f>VLOOKUP(A100,Dividende_je_Aktie!A$3:AM$103,24,FALSE)/VLOOKUP(A100,Schlußkurse!A$5:AU$105,35,FALSE)</f>
        <v>#N/A</v>
      </c>
      <c r="R100" s="5" t="e">
        <f t="shared" ref="R100:R103" si="7">IF(P100=0,0,(Q100/P100)-1)</f>
        <v>#N/A</v>
      </c>
    </row>
    <row r="101" spans="2:18">
      <c r="B101" s="38"/>
      <c r="C101" s="71" t="e">
        <f>IF(VLOOKUP(A101,Schlußkurse!A$5:AU$105,35,FALSE)&gt;0,IF(VLOOKUP(A101,Dividende_je_Aktie!A$3:AM$103,7,FALSE)&lt;&gt;"",VLOOKUP(A101,Dividende_je_Aktie!A$3:AM$103,7,FALSE)/VLOOKUP(A101,Schlußkurse!A$5:AU$105,35,FALSE),""),"")</f>
        <v>#N/A</v>
      </c>
      <c r="D101" s="71" t="e">
        <f>IF(VLOOKUP(A101,Schlußkurse!A$5:AU$105,36,FALSE)&gt;0,IF(VLOOKUP(A101,Dividende_je_Aktie!A$3:AM$103,8,FALSE)&lt;&gt;"",VLOOKUP(A101,Dividende_je_Aktie!A$3:AM$103,8,FALSE)/VLOOKUP(A101,Schlußkurse!A$5:AU$105,36,FALSE),""),"")</f>
        <v>#N/A</v>
      </c>
      <c r="E101" s="71" t="e">
        <f>IF(VLOOKUP(A101,Schlußkurse!A$5:AU$105,37,FALSE)&gt;0,IF(VLOOKUP(A101,Dividende_je_Aktie!A$3:AM$103,9,FALSE)&lt;&gt;"",VLOOKUP(A101,Dividende_je_Aktie!A$3:AM$103,9,FALSE)/VLOOKUP(A101,Schlußkurse!A$5:AU$105,37,FALSE),""),"")</f>
        <v>#N/A</v>
      </c>
      <c r="F101" s="71" t="e">
        <f>IF(VLOOKUP(A101,Schlußkurse!A$5:AU$105,38,FALSE)&gt;0,IF(VLOOKUP(A101,Dividende_je_Aktie!A$3:AM$103,10,FALSE)&lt;&gt;"",VLOOKUP(A101,Dividende_je_Aktie!A$3:AM$103,10,FALSE)/VLOOKUP(A101,Schlußkurse!A$5:AU$105,38,FALSE),""),"")</f>
        <v>#N/A</v>
      </c>
      <c r="G101" s="71" t="e">
        <f>IF(VLOOKUP(A101,Schlußkurse!A$5:AU$105,39,FALSE)&gt;0,IF(VLOOKUP(A101,Dividende_je_Aktie!A$3:AM$103,11,FALSE)&lt;&gt;"",VLOOKUP(A101,Dividende_je_Aktie!A$3:AM$103,11,FALSE)/VLOOKUP(A101,Schlußkurse!A$5:AU$105,39,FALSE),""),"")</f>
        <v>#N/A</v>
      </c>
      <c r="H101" s="71" t="e">
        <f>IF(VLOOKUP(A101,Schlußkurse!A$5:AU$105,40,FALSE)&gt;0,IF(VLOOKUP(A101,Dividende_je_Aktie!A$3:AM$103,12,FALSE)&lt;&gt;"",VLOOKUP(A101,Dividende_je_Aktie!A$3:AM$103,12,FALSE)/VLOOKUP(A101,Schlußkurse!A$5:AU$105,40,FALSE),""),"")</f>
        <v>#N/A</v>
      </c>
      <c r="I101" s="71" t="e">
        <f>IF(VLOOKUP(A101,Schlußkurse!A$5:AU$105,41,FALSE)&gt;0,IF(VLOOKUP(A101,Dividende_je_Aktie!A$3:AM$103,13,FALSE)&lt;&gt;"",VLOOKUP(A101,Dividende_je_Aktie!A$3:AM$103,13,FALSE)/VLOOKUP(A101,Schlußkurse!A$5:AU$105,41,FALSE),""),"")</f>
        <v>#N/A</v>
      </c>
      <c r="J101" s="71" t="e">
        <f>IF(VLOOKUP(A101,Schlußkurse!A$5:AU$105,42,FALSE)&gt;0,IF(VLOOKUP(A101,Dividende_je_Aktie!A$3:AM$103,14,FALSE)&lt;&gt;"",VLOOKUP(A101,Dividende_je_Aktie!A$3:AM$103,14,FALSE)/VLOOKUP(A101,Schlußkurse!A$5:AU$105,42,FALSE),""),"")</f>
        <v>#N/A</v>
      </c>
      <c r="K101" s="71" t="e">
        <f>IF(VLOOKUP(A101,Schlußkurse!A$5:AU$105,43,FALSE)&gt;0,IF(VLOOKUP(A101,Dividende_je_Aktie!A$3:AM$103,15,FALSE)&lt;&gt;"",VLOOKUP(A101,Dividende_je_Aktie!A$3:AM$103,15,FALSE)/VLOOKUP(A101,Schlußkurse!A$5:AU$105,43,FALSE),""),"")</f>
        <v>#N/A</v>
      </c>
      <c r="L101" s="71" t="e">
        <f>IF(VLOOKUP(A101,Schlußkurse!A$5:AU$105,44,FALSE)&gt;0,IF(VLOOKUP(A101,Dividende_je_Aktie!A$3:AM$103,16,FALSE)&lt;&gt;"",VLOOKUP(A101,Dividende_je_Aktie!A$3:AM$103,16,FALSE)/VLOOKUP(A101,Schlußkurse!A$5:AU$105,44,FALSE),""),"")</f>
        <v>#N/A</v>
      </c>
      <c r="M101" s="71" t="e">
        <f>IF(VLOOKUP(A101,Schlußkurse!A$5:AU$105,45,FALSE)&gt;0,IF(VLOOKUP(A101,Dividende_je_Aktie!A$3:AM$103,17,FALSE)&lt;&gt;"",VLOOKUP(A101,Dividende_je_Aktie!A$3:AM$103,17,FALSE)/VLOOKUP(A101,Schlußkurse!A$5:AU$105,45,FALSE),""),"")</f>
        <v>#N/A</v>
      </c>
      <c r="N101" s="71" t="e">
        <f>IF(VLOOKUP(A101,Schlußkurse!A$5:AU$105,46,FALSE)&gt;0,IF(VLOOKUP(A101,Dividende_je_Aktie!A$3:AM$103,18,FALSE)&lt;&gt;"",VLOOKUP(A101,Dividende_je_Aktie!A$3:AM$103,18,FALSE)/VLOOKUP(A101,Schlußkurse!A$5:AU$105,46,FALSE),""),"")</f>
        <v>#N/A</v>
      </c>
      <c r="O101" s="71" t="e">
        <f>IF(VLOOKUP(A101,Schlußkurse!A$5:AU$105,47,FALSE)&gt;0,IF(VLOOKUP(A101,Dividende_je_Aktie!A$3:AM$103,19,FALSE)&lt;&gt;"",VLOOKUP(A101,Dividende_je_Aktie!A$3:AM$103,19,FALSE)/VLOOKUP(A101,Schlußkurse!A$5:AU$105,47,FALSE),""),"")</f>
        <v>#N/A</v>
      </c>
      <c r="P101" s="71" t="e">
        <f t="shared" si="6"/>
        <v>#N/A</v>
      </c>
      <c r="Q101" s="5" t="e">
        <f>VLOOKUP(A101,Dividende_je_Aktie!A$3:AM$103,24,FALSE)/VLOOKUP(A101,Schlußkurse!A$5:AU$105,35,FALSE)</f>
        <v>#N/A</v>
      </c>
      <c r="R101" s="5" t="e">
        <f t="shared" si="7"/>
        <v>#N/A</v>
      </c>
    </row>
    <row r="102" spans="2:18">
      <c r="B102" s="38"/>
      <c r="C102" s="71" t="e">
        <f>IF(VLOOKUP(A102,Schlußkurse!A$5:AU$105,35,FALSE)&gt;0,IF(VLOOKUP(A102,Dividende_je_Aktie!A$3:AM$103,7,FALSE)&lt;&gt;"",VLOOKUP(A102,Dividende_je_Aktie!A$3:AM$103,7,FALSE)/VLOOKUP(A102,Schlußkurse!A$5:AU$105,35,FALSE),""),"")</f>
        <v>#N/A</v>
      </c>
      <c r="D102" s="71" t="e">
        <f>IF(VLOOKUP(A102,Schlußkurse!A$5:AU$105,36,FALSE)&gt;0,IF(VLOOKUP(A102,Dividende_je_Aktie!A$3:AM$103,8,FALSE)&lt;&gt;"",VLOOKUP(A102,Dividende_je_Aktie!A$3:AM$103,8,FALSE)/VLOOKUP(A102,Schlußkurse!A$5:AU$105,36,FALSE),""),"")</f>
        <v>#N/A</v>
      </c>
      <c r="E102" s="71" t="e">
        <f>IF(VLOOKUP(A102,Schlußkurse!A$5:AU$105,37,FALSE)&gt;0,IF(VLOOKUP(A102,Dividende_je_Aktie!A$3:AM$103,9,FALSE)&lt;&gt;"",VLOOKUP(A102,Dividende_je_Aktie!A$3:AM$103,9,FALSE)/VLOOKUP(A102,Schlußkurse!A$5:AU$105,37,FALSE),""),"")</f>
        <v>#N/A</v>
      </c>
      <c r="F102" s="71" t="e">
        <f>IF(VLOOKUP(A102,Schlußkurse!A$5:AU$105,38,FALSE)&gt;0,IF(VLOOKUP(A102,Dividende_je_Aktie!A$3:AM$103,10,FALSE)&lt;&gt;"",VLOOKUP(A102,Dividende_je_Aktie!A$3:AM$103,10,FALSE)/VLOOKUP(A102,Schlußkurse!A$5:AU$105,38,FALSE),""),"")</f>
        <v>#N/A</v>
      </c>
      <c r="G102" s="71" t="e">
        <f>IF(VLOOKUP(A102,Schlußkurse!A$5:AU$105,39,FALSE)&gt;0,IF(VLOOKUP(A102,Dividende_je_Aktie!A$3:AM$103,11,FALSE)&lt;&gt;"",VLOOKUP(A102,Dividende_je_Aktie!A$3:AM$103,11,FALSE)/VLOOKUP(A102,Schlußkurse!A$5:AU$105,39,FALSE),""),"")</f>
        <v>#N/A</v>
      </c>
      <c r="H102" s="71" t="e">
        <f>IF(VLOOKUP(A102,Schlußkurse!A$5:AU$105,40,FALSE)&gt;0,IF(VLOOKUP(A102,Dividende_je_Aktie!A$3:AM$103,12,FALSE)&lt;&gt;"",VLOOKUP(A102,Dividende_je_Aktie!A$3:AM$103,12,FALSE)/VLOOKUP(A102,Schlußkurse!A$5:AU$105,40,FALSE),""),"")</f>
        <v>#N/A</v>
      </c>
      <c r="I102" s="71" t="e">
        <f>IF(VLOOKUP(A102,Schlußkurse!A$5:AU$105,41,FALSE)&gt;0,IF(VLOOKUP(A102,Dividende_je_Aktie!A$3:AM$103,13,FALSE)&lt;&gt;"",VLOOKUP(A102,Dividende_je_Aktie!A$3:AM$103,13,FALSE)/VLOOKUP(A102,Schlußkurse!A$5:AU$105,41,FALSE),""),"")</f>
        <v>#N/A</v>
      </c>
      <c r="J102" s="71" t="e">
        <f>IF(VLOOKUP(A102,Schlußkurse!A$5:AU$105,42,FALSE)&gt;0,IF(VLOOKUP(A102,Dividende_je_Aktie!A$3:AM$103,14,FALSE)&lt;&gt;"",VLOOKUP(A102,Dividende_je_Aktie!A$3:AM$103,14,FALSE)/VLOOKUP(A102,Schlußkurse!A$5:AU$105,42,FALSE),""),"")</f>
        <v>#N/A</v>
      </c>
      <c r="K102" s="71" t="e">
        <f>IF(VLOOKUP(A102,Schlußkurse!A$5:AU$105,43,FALSE)&gt;0,IF(VLOOKUP(A102,Dividende_je_Aktie!A$3:AM$103,15,FALSE)&lt;&gt;"",VLOOKUP(A102,Dividende_je_Aktie!A$3:AM$103,15,FALSE)/VLOOKUP(A102,Schlußkurse!A$5:AU$105,43,FALSE),""),"")</f>
        <v>#N/A</v>
      </c>
      <c r="L102" s="71" t="e">
        <f>IF(VLOOKUP(A102,Schlußkurse!A$5:AU$105,44,FALSE)&gt;0,IF(VLOOKUP(A102,Dividende_je_Aktie!A$3:AM$103,16,FALSE)&lt;&gt;"",VLOOKUP(A102,Dividende_je_Aktie!A$3:AM$103,16,FALSE)/VLOOKUP(A102,Schlußkurse!A$5:AU$105,44,FALSE),""),"")</f>
        <v>#N/A</v>
      </c>
      <c r="M102" s="71" t="e">
        <f>IF(VLOOKUP(A102,Schlußkurse!A$5:AU$105,45,FALSE)&gt;0,IF(VLOOKUP(A102,Dividende_je_Aktie!A$3:AM$103,17,FALSE)&lt;&gt;"",VLOOKUP(A102,Dividende_je_Aktie!A$3:AM$103,17,FALSE)/VLOOKUP(A102,Schlußkurse!A$5:AU$105,45,FALSE),""),"")</f>
        <v>#N/A</v>
      </c>
      <c r="N102" s="71" t="e">
        <f>IF(VLOOKUP(A102,Schlußkurse!A$5:AU$105,46,FALSE)&gt;0,IF(VLOOKUP(A102,Dividende_je_Aktie!A$3:AM$103,18,FALSE)&lt;&gt;"",VLOOKUP(A102,Dividende_je_Aktie!A$3:AM$103,18,FALSE)/VLOOKUP(A102,Schlußkurse!A$5:AU$105,46,FALSE),""),"")</f>
        <v>#N/A</v>
      </c>
      <c r="O102" s="71" t="e">
        <f>IF(VLOOKUP(A102,Schlußkurse!A$5:AU$105,47,FALSE)&gt;0,IF(VLOOKUP(A102,Dividende_je_Aktie!A$3:AM$103,19,FALSE)&lt;&gt;"",VLOOKUP(A102,Dividende_je_Aktie!A$3:AM$103,19,FALSE)/VLOOKUP(A102,Schlußkurse!A$5:AU$105,47,FALSE),""),"")</f>
        <v>#N/A</v>
      </c>
      <c r="P102" s="71" t="e">
        <f t="shared" si="6"/>
        <v>#N/A</v>
      </c>
      <c r="Q102" s="5" t="e">
        <f>VLOOKUP(A102,Dividende_je_Aktie!A$3:AM$103,24,FALSE)/VLOOKUP(A102,Schlußkurse!A$5:AU$105,35,FALSE)</f>
        <v>#N/A</v>
      </c>
      <c r="R102" s="5" t="e">
        <f t="shared" si="7"/>
        <v>#N/A</v>
      </c>
    </row>
    <row r="103" spans="2:18">
      <c r="B103" s="38"/>
      <c r="C103" s="71" t="e">
        <f>IF(VLOOKUP(A103,Schlußkurse!A$5:AU$105,35,FALSE)&gt;0,IF(VLOOKUP(A103,Dividende_je_Aktie!A$3:AM$103,7,FALSE)&lt;&gt;"",VLOOKUP(A103,Dividende_je_Aktie!A$3:AM$103,7,FALSE)/VLOOKUP(A103,Schlußkurse!A$5:AU$105,35,FALSE),""),"")</f>
        <v>#N/A</v>
      </c>
      <c r="D103" s="71" t="e">
        <f>IF(VLOOKUP(A103,Schlußkurse!A$5:AU$105,36,FALSE)&gt;0,IF(VLOOKUP(A103,Dividende_je_Aktie!A$3:AM$103,8,FALSE)&lt;&gt;"",VLOOKUP(A103,Dividende_je_Aktie!A$3:AM$103,8,FALSE)/VLOOKUP(A103,Schlußkurse!A$5:AU$105,36,FALSE),""),"")</f>
        <v>#N/A</v>
      </c>
      <c r="E103" s="71" t="e">
        <f>IF(VLOOKUP(A103,Schlußkurse!A$5:AU$105,37,FALSE)&gt;0,IF(VLOOKUP(A103,Dividende_je_Aktie!A$3:AM$103,9,FALSE)&lt;&gt;"",VLOOKUP(A103,Dividende_je_Aktie!A$3:AM$103,9,FALSE)/VLOOKUP(A103,Schlußkurse!A$5:AU$105,37,FALSE),""),"")</f>
        <v>#N/A</v>
      </c>
      <c r="F103" s="71" t="e">
        <f>IF(VLOOKUP(A103,Schlußkurse!A$5:AU$105,38,FALSE)&gt;0,IF(VLOOKUP(A103,Dividende_je_Aktie!A$3:AM$103,10,FALSE)&lt;&gt;"",VLOOKUP(A103,Dividende_je_Aktie!A$3:AM$103,10,FALSE)/VLOOKUP(A103,Schlußkurse!A$5:AU$105,38,FALSE),""),"")</f>
        <v>#N/A</v>
      </c>
      <c r="G103" s="71" t="e">
        <f>IF(VLOOKUP(A103,Schlußkurse!A$5:AU$105,39,FALSE)&gt;0,IF(VLOOKUP(A103,Dividende_je_Aktie!A$3:AM$103,11,FALSE)&lt;&gt;"",VLOOKUP(A103,Dividende_je_Aktie!A$3:AM$103,11,FALSE)/VLOOKUP(A103,Schlußkurse!A$5:AU$105,39,FALSE),""),"")</f>
        <v>#N/A</v>
      </c>
      <c r="H103" s="71" t="e">
        <f>IF(VLOOKUP(A103,Schlußkurse!A$5:AU$105,40,FALSE)&gt;0,IF(VLOOKUP(A103,Dividende_je_Aktie!A$3:AM$103,12,FALSE)&lt;&gt;"",VLOOKUP(A103,Dividende_je_Aktie!A$3:AM$103,12,FALSE)/VLOOKUP(A103,Schlußkurse!A$5:AU$105,40,FALSE),""),"")</f>
        <v>#N/A</v>
      </c>
      <c r="I103" s="71" t="e">
        <f>IF(VLOOKUP(A103,Schlußkurse!A$5:AU$105,41,FALSE)&gt;0,IF(VLOOKUP(A103,Dividende_je_Aktie!A$3:AM$103,13,FALSE)&lt;&gt;"",VLOOKUP(A103,Dividende_je_Aktie!A$3:AM$103,13,FALSE)/VLOOKUP(A103,Schlußkurse!A$5:AU$105,41,FALSE),""),"")</f>
        <v>#N/A</v>
      </c>
      <c r="J103" s="71" t="e">
        <f>IF(VLOOKUP(A103,Schlußkurse!A$5:AU$105,42,FALSE)&gt;0,IF(VLOOKUP(A103,Dividende_je_Aktie!A$3:AM$103,14,FALSE)&lt;&gt;"",VLOOKUP(A103,Dividende_je_Aktie!A$3:AM$103,14,FALSE)/VLOOKUP(A103,Schlußkurse!A$5:AU$105,42,FALSE),""),"")</f>
        <v>#N/A</v>
      </c>
      <c r="K103" s="71" t="e">
        <f>IF(VLOOKUP(A103,Schlußkurse!A$5:AU$105,43,FALSE)&gt;0,IF(VLOOKUP(A103,Dividende_je_Aktie!A$3:AM$103,15,FALSE)&lt;&gt;"",VLOOKUP(A103,Dividende_je_Aktie!A$3:AM$103,15,FALSE)/VLOOKUP(A103,Schlußkurse!A$5:AU$105,43,FALSE),""),"")</f>
        <v>#N/A</v>
      </c>
      <c r="L103" s="71" t="e">
        <f>IF(VLOOKUP(A103,Schlußkurse!A$5:AU$105,44,FALSE)&gt;0,IF(VLOOKUP(A103,Dividende_je_Aktie!A$3:AM$103,16,FALSE)&lt;&gt;"",VLOOKUP(A103,Dividende_je_Aktie!A$3:AM$103,16,FALSE)/VLOOKUP(A103,Schlußkurse!A$5:AU$105,44,FALSE),""),"")</f>
        <v>#N/A</v>
      </c>
      <c r="M103" s="71" t="e">
        <f>IF(VLOOKUP(A103,Schlußkurse!A$5:AU$105,45,FALSE)&gt;0,IF(VLOOKUP(A103,Dividende_je_Aktie!A$3:AM$103,17,FALSE)&lt;&gt;"",VLOOKUP(A103,Dividende_je_Aktie!A$3:AM$103,17,FALSE)/VLOOKUP(A103,Schlußkurse!A$5:AU$105,45,FALSE),""),"")</f>
        <v>#N/A</v>
      </c>
      <c r="N103" s="71" t="e">
        <f>IF(VLOOKUP(A103,Schlußkurse!A$5:AU$105,46,FALSE)&gt;0,IF(VLOOKUP(A103,Dividende_je_Aktie!A$3:AM$103,18,FALSE)&lt;&gt;"",VLOOKUP(A103,Dividende_je_Aktie!A$3:AM$103,18,FALSE)/VLOOKUP(A103,Schlußkurse!A$5:AU$105,46,FALSE),""),"")</f>
        <v>#N/A</v>
      </c>
      <c r="O103" s="71" t="e">
        <f>IF(VLOOKUP(A103,Schlußkurse!A$5:AU$105,47,FALSE)&gt;0,IF(VLOOKUP(A103,Dividende_je_Aktie!A$3:AM$103,19,FALSE)&lt;&gt;"",VLOOKUP(A103,Dividende_je_Aktie!A$3:AM$103,19,FALSE)/VLOOKUP(A103,Schlußkurse!A$5:AU$105,47,FALSE),""),"")</f>
        <v>#N/A</v>
      </c>
      <c r="P103" s="71" t="e">
        <f t="shared" si="6"/>
        <v>#N/A</v>
      </c>
      <c r="Q103" s="5" t="e">
        <f>VLOOKUP(A103,Dividende_je_Aktie!A$3:AM$103,24,FALSE)/VLOOKUP(A103,Schlußkurse!A$5:AU$105,35,FALSE)</f>
        <v>#N/A</v>
      </c>
      <c r="R103" s="5" t="e">
        <f t="shared" si="7"/>
        <v>#N/A</v>
      </c>
    </row>
    <row r="104" spans="2:18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2:18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2:18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2:18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</row>
  </sheetData>
  <autoFilter ref="A3:R3">
    <sortState ref="A4:R103">
      <sortCondition ref="B3"/>
    </sortState>
  </autoFilter>
  <mergeCells count="1">
    <mergeCell ref="C1:O1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bestFit="1" customWidth="1"/>
    <col min="2" max="2" width="20.85546875" bestFit="1" customWidth="1"/>
    <col min="3" max="3" width="15.140625" bestFit="1" customWidth="1"/>
    <col min="4" max="4" width="14.42578125" bestFit="1" customWidth="1"/>
    <col min="5" max="12" width="14.85546875" bestFit="1" customWidth="1"/>
    <col min="13" max="13" width="15.85546875" bestFit="1" customWidth="1"/>
    <col min="14" max="14" width="15.140625" bestFit="1" customWidth="1"/>
    <col min="15" max="15" width="14.42578125" bestFit="1" customWidth="1"/>
    <col min="16" max="23" width="14.85546875" bestFit="1" customWidth="1"/>
    <col min="24" max="24" width="15.85546875" bestFit="1" customWidth="1"/>
  </cols>
  <sheetData>
    <row r="1" spans="1:24">
      <c r="A1" s="1"/>
      <c r="B1" s="1"/>
      <c r="C1" s="111" t="s">
        <v>305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0" t="s">
        <v>306</v>
      </c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>
      <c r="A2" s="1"/>
      <c r="B2" s="1"/>
      <c r="C2" s="1">
        <v>2016</v>
      </c>
      <c r="D2" s="1">
        <v>2015</v>
      </c>
      <c r="E2" s="37">
        <v>2014</v>
      </c>
      <c r="F2" s="37">
        <v>2013</v>
      </c>
      <c r="G2" s="37">
        <v>2012</v>
      </c>
      <c r="H2" s="37">
        <v>2011</v>
      </c>
      <c r="I2" s="37">
        <v>2010</v>
      </c>
      <c r="J2" s="37">
        <v>2009</v>
      </c>
      <c r="K2" s="37">
        <v>2008</v>
      </c>
      <c r="L2" s="37">
        <v>2007</v>
      </c>
      <c r="M2" s="37">
        <v>2006</v>
      </c>
      <c r="N2" s="1">
        <v>2016</v>
      </c>
      <c r="O2" s="1">
        <v>2015</v>
      </c>
      <c r="P2" s="37">
        <v>2014</v>
      </c>
      <c r="Q2" s="37">
        <v>2013</v>
      </c>
      <c r="R2" s="37">
        <v>2012</v>
      </c>
      <c r="S2" s="37">
        <v>2011</v>
      </c>
      <c r="T2" s="37">
        <v>2010</v>
      </c>
      <c r="U2" s="37">
        <v>2009</v>
      </c>
      <c r="V2" s="37">
        <v>2008</v>
      </c>
      <c r="W2" s="37">
        <v>2007</v>
      </c>
      <c r="X2" s="37">
        <v>2006</v>
      </c>
    </row>
    <row r="3" spans="1:24">
      <c r="A3" s="1" t="s">
        <v>0</v>
      </c>
      <c r="B3" s="1" t="s">
        <v>1</v>
      </c>
      <c r="C3" s="1" t="s">
        <v>107</v>
      </c>
      <c r="D3" s="37" t="s">
        <v>96</v>
      </c>
      <c r="E3" s="37" t="s">
        <v>97</v>
      </c>
      <c r="F3" s="37" t="s">
        <v>98</v>
      </c>
      <c r="G3" s="37" t="s">
        <v>99</v>
      </c>
      <c r="H3" s="37" t="s">
        <v>100</v>
      </c>
      <c r="I3" s="37" t="s">
        <v>101</v>
      </c>
      <c r="J3" s="37" t="s">
        <v>102</v>
      </c>
      <c r="K3" s="37" t="s">
        <v>103</v>
      </c>
      <c r="L3" s="37" t="s">
        <v>104</v>
      </c>
      <c r="M3" s="37" t="s">
        <v>105</v>
      </c>
      <c r="N3" s="1" t="s">
        <v>107</v>
      </c>
      <c r="O3" s="37" t="s">
        <v>96</v>
      </c>
      <c r="P3" s="37" t="s">
        <v>97</v>
      </c>
      <c r="Q3" s="37" t="s">
        <v>98</v>
      </c>
      <c r="R3" s="37" t="s">
        <v>99</v>
      </c>
      <c r="S3" s="37" t="s">
        <v>100</v>
      </c>
      <c r="T3" s="37" t="s">
        <v>101</v>
      </c>
      <c r="U3" s="37" t="s">
        <v>102</v>
      </c>
      <c r="V3" s="37" t="s">
        <v>103</v>
      </c>
      <c r="W3" s="37" t="s">
        <v>104</v>
      </c>
      <c r="X3" s="37" t="s">
        <v>105</v>
      </c>
    </row>
    <row r="4" spans="1:24">
      <c r="A4" t="s">
        <v>78</v>
      </c>
      <c r="B4" t="s">
        <v>159</v>
      </c>
      <c r="C4" s="13">
        <f>IF(VLOOKUP(A4,Aktien_im_Umlauf_splitbereinigt!A$3:AM$103,4,FALSE)&lt;&gt;"",IF(VLOOKUP(A4,Aktien_im_Umlauf_splitbereinigt!A$3:AM$103,3,FALSE)&lt;&gt;"",IF(VLOOKUP(A4,Schlußkurse!A$5:AU$105,36,FALSE)&gt;0,((VLOOKUP(A4,Aktien_im_Umlauf_splitbereinigt!A$3:AM$103,4,FALSE)-VLOOKUP(A4,Aktien_im_Umlauf_splitbereinigt!A$3:AM$103,3,FALSE))*VLOOKUP(A4,Schlußkurse!A$5:AU$105,36,FALSE))/VLOOKUP(A4,Aktien_im_Umlauf_splitbereinigt!A$3:AM$103,3,FALSE),0),0),0)</f>
        <v>0</v>
      </c>
      <c r="D4" s="97">
        <f>IF(VLOOKUP(A4,Aktien_im_Umlauf_splitbereinigt!A$3:AM$103,5,FALSE)&lt;&gt;"",IF(VLOOKUP(A4,Aktien_im_Umlauf_splitbereinigt!A$3:AM$103,4,FALSE)&lt;&gt;"",IF(VLOOKUP(A4,Schlußkurse!A$5:AU$105,37,FALSE)&gt;0,((VLOOKUP(A4,Aktien_im_Umlauf_splitbereinigt!A$3:AM$103,5,FALSE)-VLOOKUP(A4,Aktien_im_Umlauf_splitbereinigt!A$3:AM$103,4,FALSE))*VLOOKUP(A4,Schlußkurse!A$5:AU$105,37,FALSE))/VLOOKUP(A4,Aktien_im_Umlauf_splitbereinigt!A$3:AM$103,4,FALSE),0),0),0)</f>
        <v>-0.51305556504687055</v>
      </c>
      <c r="E4" s="97">
        <f>IF(VLOOKUP(A4,Aktien_im_Umlauf_splitbereinigt!A$3:AM$103,6,FALSE)&lt;&gt;"",IF(VLOOKUP(A4,Aktien_im_Umlauf_splitbereinigt!A$3:AM$103,5,FALSE)&lt;&gt;"",IF(VLOOKUP(A4,Schlußkurse!A$5:AU$105,38,FALSE)&gt;0,((VLOOKUP(A4,Aktien_im_Umlauf_splitbereinigt!A$3:AM$103,6,FALSE)-VLOOKUP(A4,Aktien_im_Umlauf_splitbereinigt!A$3:AM$103,5,FALSE))*VLOOKUP(A4,Schlußkurse!A$5:AU$105,38,FALSE))/VLOOKUP(A4,Aktien_im_Umlauf_splitbereinigt!A$3:AM$103,5,FALSE),0),0),0)</f>
        <v>0.31615273838098512</v>
      </c>
      <c r="F4" s="97">
        <f>IF(VLOOKUP(A4,Aktien_im_Umlauf_splitbereinigt!A$3:AM$103,7,FALSE)&lt;&gt;"",IF(VLOOKUP(A4,Aktien_im_Umlauf_splitbereinigt!A$3:AM$103,6,FALSE)&lt;&gt;"",IF(VLOOKUP(A4,Schlußkurse!A$5:AU$105,39,FALSE)&gt;0,((VLOOKUP(A4,Aktien_im_Umlauf_splitbereinigt!A$3:AM$103,7,FALSE)-VLOOKUP(A4,Aktien_im_Umlauf_splitbereinigt!A$3:AM$103,6,FALSE))*VLOOKUP(A4,Schlußkurse!A$5:AU$105,39,FALSE))/VLOOKUP(A4,Aktien_im_Umlauf_splitbereinigt!A$3:AM$103,6,FALSE),0),0),0)</f>
        <v>-4.3475705722093083E-2</v>
      </c>
      <c r="G4" s="97">
        <f>IF(VLOOKUP(A4,Aktien_im_Umlauf_splitbereinigt!A$3:AM$103,8,FALSE)&lt;&gt;"",IF(VLOOKUP(A4,Aktien_im_Umlauf_splitbereinigt!A$3:AM$103,7,FALSE)&lt;&gt;"",IF(VLOOKUP(A4,Schlußkurse!A$5:AU$105,40,FALSE)&gt;0,((VLOOKUP(A4,Aktien_im_Umlauf_splitbereinigt!A$3:AM$103,8,FALSE)-VLOOKUP(A4,Aktien_im_Umlauf_splitbereinigt!A$3:AM$103,7,FALSE))*VLOOKUP(A4,Schlußkurse!A$5:AU$105,40,FALSE))/VLOOKUP(A4,Aktien_im_Umlauf_splitbereinigt!A$3:AM$103,7,FALSE),0),0),0)</f>
        <v>-2.1386118901242424</v>
      </c>
      <c r="H4" s="97">
        <f>IF(VLOOKUP(A4,Aktien_im_Umlauf_splitbereinigt!A$3:AM$103,9,FALSE)&lt;&gt;"",IF(VLOOKUP(A4,Aktien_im_Umlauf_splitbereinigt!A$3:AM$103,8,FALSE)&lt;&gt;"",IF(VLOOKUP(A4,Schlußkurse!A$5:AU$105,41,FALSE)&gt;0,((VLOOKUP(A4,Aktien_im_Umlauf_splitbereinigt!A$3:AM$103,9,FALSE)-VLOOKUP(A4,Aktien_im_Umlauf_splitbereinigt!A$3:AM$103,8,FALSE))*VLOOKUP(A4,Schlußkurse!A$5:AU$105,41,FALSE))/VLOOKUP(A4,Aktien_im_Umlauf_splitbereinigt!A$3:AM$103,8,FALSE),0),0),0)</f>
        <v>3.0493958904109677</v>
      </c>
      <c r="I4" s="97">
        <f>IF(VLOOKUP(A4,Aktien_im_Umlauf_splitbereinigt!A$3:AM$103,10,FALSE)&lt;&gt;"",IF(VLOOKUP(A4,Aktien_im_Umlauf_splitbereinigt!A$3:AM$103,9,FALSE)&lt;&gt;"",IF(VLOOKUP(A4,Schlußkurse!A$5:AU$105,42,FALSE)&gt;0,((VLOOKUP(A4,Aktien_im_Umlauf_splitbereinigt!A$3:AM$103,10,FALSE)-VLOOKUP(A4,Aktien_im_Umlauf_splitbereinigt!A$3:AM$103,9,FALSE))*VLOOKUP(A4,Schlußkurse!A$5:AU$105,42,FALSE))/VLOOKUP(A4,Aktien_im_Umlauf_splitbereinigt!A$3:AM$103,9,FALSE),0),0),0)</f>
        <v>7.6197930585683027</v>
      </c>
      <c r="J4" s="97">
        <f>IF(VLOOKUP(A4,Aktien_im_Umlauf_splitbereinigt!A$3:AM$103,11,FALSE)&lt;&gt;"",IF(VLOOKUP(A4,Aktien_im_Umlauf_splitbereinigt!A$3:AM$103,10,FALSE)&lt;&gt;"",IF(VLOOKUP(A4,Schlußkurse!A$5:AU$105,43,FALSE)&gt;0,((VLOOKUP(A4,Aktien_im_Umlauf_splitbereinigt!A$3:AM$103,11,FALSE)-VLOOKUP(A4,Aktien_im_Umlauf_splitbereinigt!A$3:AM$103,10,FALSE))*VLOOKUP(A4,Schlußkurse!A$5:AU$105,43,FALSE))/VLOOKUP(A4,Aktien_im_Umlauf_splitbereinigt!A$3:AM$103,10,FALSE),0),0),0)</f>
        <v>6.8218009725158888</v>
      </c>
      <c r="K4" s="97">
        <f>IF(VLOOKUP(A4,Aktien_im_Umlauf_splitbereinigt!A$3:AM$103,12,FALSE)&lt;&gt;"",IF(VLOOKUP(A4,Aktien_im_Umlauf_splitbereinigt!A$3:AM$103,11,FALSE)&lt;&gt;"",IF(VLOOKUP(A4,Schlußkurse!A$5:AU$105,44,FALSE)&gt;0,((VLOOKUP(A4,Aktien_im_Umlauf_splitbereinigt!A$3:AM$103,12,FALSE)-VLOOKUP(A4,Aktien_im_Umlauf_splitbereinigt!A$3:AM$103,11,FALSE))*VLOOKUP(A4,Schlußkurse!A$5:AU$105,44,FALSE))/VLOOKUP(A4,Aktien_im_Umlauf_splitbereinigt!A$3:AM$103,11,FALSE),0),0),0)</f>
        <v>7.5284634055727384</v>
      </c>
      <c r="L4" s="97">
        <f>IF(VLOOKUP(A4,Aktien_im_Umlauf_splitbereinigt!A$3:AM$103,13,FALSE)&lt;&gt;"",IF(VLOOKUP(A4,Aktien_im_Umlauf_splitbereinigt!A$3:AM$103,12,FALSE)&lt;&gt;"",IF(VLOOKUP(A4,Schlußkurse!A$5:AU$105,45,FALSE)&gt;0,((VLOOKUP(A4,Aktien_im_Umlauf_splitbereinigt!A$3:AM$103,13,FALSE)-VLOOKUP(A4,Aktien_im_Umlauf_splitbereinigt!A$3:AM$103,12,FALSE))*VLOOKUP(A4,Schlußkurse!A$5:AU$105,45,FALSE))/VLOOKUP(A4,Aktien_im_Umlauf_splitbereinigt!A$3:AM$103,12,FALSE),0),0),0)</f>
        <v>8.0807476190476262</v>
      </c>
      <c r="M4" s="97">
        <f>IF(VLOOKUP(A4,Aktien_im_Umlauf_splitbereinigt!A$3:AM$103,14,FALSE)&lt;&gt;"",IF(VLOOKUP(A4,Aktien_im_Umlauf_splitbereinigt!A$3:AM$103,13,FALSE)&lt;&gt;"",IF(VLOOKUP(A4,Schlußkurse!A$5:AU$105,46,FALSE)&gt;0,((VLOOKUP(A4,Aktien_im_Umlauf_splitbereinigt!A$3:AM$103,14,FALSE)-VLOOKUP(A4,Aktien_im_Umlauf_splitbereinigt!A$3:AM$103,13,FALSE))*VLOOKUP(A4,Schlußkurse!A$5:AU$105,46,FALSE))/VLOOKUP(A4,Aktien_im_Umlauf_splitbereinigt!A$3:AM$103,13,FALSE),0),0),0)</f>
        <v>4.2935236153846255</v>
      </c>
      <c r="N4" s="13">
        <f>IF(C4&gt;0,IF(VLOOKUP(A4,Dividende_je_Aktie!A$3:AM$103,8,FALSE)&lt;&gt;"",C4+VLOOKUP(A4,Dividende_je_Aktie!A$3:AM$103,8,FALSE),C4),IF(VLOOKUP(A4,Dividende_je_Aktie!A$3:AM$103,8,FALSE)&lt;&gt;"",VLOOKUP(A4,Dividende_je_Aktie!A$3:AM$103,8,FALSE),""))</f>
        <v>12.1</v>
      </c>
      <c r="O4" s="13">
        <f>IF(D4&gt;0,IF(VLOOKUP(A4,Dividende_je_Aktie!A$3:AM$103,9,FALSE)&lt;&gt;"",D4+VLOOKUP(A4,Dividende_je_Aktie!A$3:AM$103,9,FALSE),D4),IF(VLOOKUP(A4,Dividende_je_Aktie!A$3:AM$103,9,FALSE)&lt;&gt;"",VLOOKUP(A4,Dividende_je_Aktie!A$3:AM$103,9,FALSE),""))</f>
        <v>11</v>
      </c>
      <c r="P4" s="13">
        <f>IF(E4&gt;0,IF(VLOOKUP(A4,Dividende_je_Aktie!A$3:AM$103,10,FALSE)&lt;&gt;"",E4+VLOOKUP(A4,Dividende_je_Aktie!A$3:AM$103,10,FALSE),E4),IF(VLOOKUP(A4,Dividende_je_Aktie!A$3:AM$103,10,FALSE)&lt;&gt;"",VLOOKUP(A4,Dividende_je_Aktie!A$3:AM$103,10,FALSE),""))</f>
        <v>11.436152738380985</v>
      </c>
      <c r="Q4" s="13">
        <f>IF(F4&gt;0,IF(VLOOKUP(A4,Dividende_je_Aktie!A$3:AM$103,11,FALSE)&lt;&gt;"",F4+VLOOKUP(A4,Dividende_je_Aktie!A$3:AM$103,11,FALSE),F4),IF(VLOOKUP(A4,Dividende_je_Aktie!A$3:AM$103,11,FALSE)&lt;&gt;"",VLOOKUP(A4,Dividende_je_Aktie!A$3:AM$103,11,FALSE),""))</f>
        <v>11.25</v>
      </c>
      <c r="R4" s="13">
        <f>IF(G4&gt;0,IF(VLOOKUP(A4,Dividende_je_Aktie!A$3:AM$103,12,FALSE)&lt;&gt;"",G4+VLOOKUP(A4,Dividende_je_Aktie!A$3:AM$103,12,FALSE),G4),IF(VLOOKUP(A4,Dividende_je_Aktie!A$3:AM$103,12,FALSE)&lt;&gt;"",VLOOKUP(A4,Dividende_je_Aktie!A$3:AM$103,12,FALSE),""))</f>
        <v>10.38</v>
      </c>
      <c r="S4" s="13">
        <f>IF(H4&gt;0,IF(VLOOKUP(A4,Dividende_je_Aktie!A$3:AM$103,13,FALSE)&lt;&gt;"",H4+VLOOKUP(A4,Dividende_je_Aktie!A$3:AM$103,13,FALSE),H4),IF(VLOOKUP(A4,Dividende_je_Aktie!A$3:AM$103,13,FALSE)&lt;&gt;"",VLOOKUP(A4,Dividende_je_Aktie!A$3:AM$103,13,FALSE),""))</f>
        <v>11.869395890410967</v>
      </c>
      <c r="T4" s="13">
        <f>IF(I4&gt;0,IF(VLOOKUP(A4,Dividende_je_Aktie!A$3:AM$103,14,FALSE)&lt;&gt;"",I4+VLOOKUP(A4,Dividende_je_Aktie!A$3:AM$103,14,FALSE),I4),IF(VLOOKUP(A4,Dividende_je_Aktie!A$3:AM$103,14,FALSE)&lt;&gt;"",VLOOKUP(A4,Dividende_je_Aktie!A$3:AM$103,14,FALSE),""))</f>
        <v>15.259793058568302</v>
      </c>
      <c r="U4" s="13">
        <f>IF(J4&gt;0,IF(VLOOKUP(A4,Dividende_je_Aktie!A$3:AM$103,15,FALSE)&lt;&gt;"",J4+VLOOKUP(A4,Dividende_je_Aktie!A$3:AM$103,15,FALSE),J4),IF(VLOOKUP(A4,Dividende_je_Aktie!A$3:AM$103,15,FALSE)&lt;&gt;"",VLOOKUP(A4,Dividende_je_Aktie!A$3:AM$103,15,FALSE),""))</f>
        <v>12.431800972515889</v>
      </c>
      <c r="V4" s="13">
        <f>IF(K4&gt;0,IF(VLOOKUP(A4,Dividende_je_Aktie!A$3:AM$103,16,FALSE)&lt;&gt;"",K4+VLOOKUP(A4,Dividende_je_Aktie!A$3:AM$103,16,FALSE),K4),IF(VLOOKUP(A4,Dividende_je_Aktie!A$3:AM$103,16,FALSE)&lt;&gt;"",VLOOKUP(A4,Dividende_je_Aktie!A$3:AM$103,16,FALSE),""))</f>
        <v>12.798463405572738</v>
      </c>
      <c r="W4" s="13">
        <f>IF(L4&gt;0,IF(VLOOKUP(A4,Dividende_je_Aktie!A$3:AM$103,17,FALSE)&lt;&gt;"",L4+VLOOKUP(A4,Dividende_je_Aktie!A$3:AM$103,17,FALSE),L4),IF(VLOOKUP(A4,Dividende_je_Aktie!A$3:AM$103,17,FALSE)&lt;&gt;"",VLOOKUP(A4,Dividende_je_Aktie!A$3:AM$103,17,FALSE),""))</f>
        <v>12.840747619047626</v>
      </c>
      <c r="X4" s="13">
        <f>IF(M4&gt;0,IF(VLOOKUP(A4,Dividende_je_Aktie!A$3:AM$103,18,FALSE)&lt;&gt;"",M4+VLOOKUP(A4,Dividende_je_Aktie!A$3:AM$103,18,FALSE),M4),IF(VLOOKUP(A4,Dividende_je_Aktie!A$3:AM$103,18,FALSE)&lt;&gt;"",VLOOKUP(A4,Dividende_je_Aktie!A$3:AM$103,18,FALSE),""))</f>
        <v>6.933523615384626</v>
      </c>
    </row>
    <row r="5" spans="1:24">
      <c r="A5" t="s">
        <v>2</v>
      </c>
      <c r="B5" t="s">
        <v>3</v>
      </c>
      <c r="C5" s="13">
        <f>IF(VLOOKUP(A5,Aktien_im_Umlauf_splitbereinigt!A$3:AM$103,4,FALSE)&lt;&gt;"",IF(VLOOKUP(A5,Aktien_im_Umlauf_splitbereinigt!A$3:AM$103,3,FALSE)&lt;&gt;"",IF(VLOOKUP(A5,Schlußkurse!A$5:AU$105,36,FALSE)&gt;0,((VLOOKUP(A5,Aktien_im_Umlauf_splitbereinigt!A$3:AM$103,4,FALSE)-VLOOKUP(A5,Aktien_im_Umlauf_splitbereinigt!A$3:AM$103,3,FALSE))*VLOOKUP(A5,Schlußkurse!A$5:AU$105,36,FALSE))/VLOOKUP(A5,Aktien_im_Umlauf_splitbereinigt!A$3:AM$103,3,FALSE),0),0),0)</f>
        <v>0</v>
      </c>
      <c r="D5" s="97">
        <f>IF(VLOOKUP(A5,Aktien_im_Umlauf_splitbereinigt!A$3:AM$103,5,FALSE)&lt;&gt;"",IF(VLOOKUP(A5,Aktien_im_Umlauf_splitbereinigt!A$3:AM$103,4,FALSE)&lt;&gt;"",IF(VLOOKUP(A5,Schlußkurse!A$5:AU$105,37,FALSE)&gt;0,((VLOOKUP(A5,Aktien_im_Umlauf_splitbereinigt!A$3:AM$103,5,FALSE)-VLOOKUP(A5,Aktien_im_Umlauf_splitbereinigt!A$3:AM$103,4,FALSE))*VLOOKUP(A5,Schlußkurse!A$5:AU$105,37,FALSE))/VLOOKUP(A5,Aktien_im_Umlauf_splitbereinigt!A$3:AM$103,4,FALSE),0),0),0)</f>
        <v>0.91430673967986509</v>
      </c>
      <c r="E5" s="97">
        <f>IF(VLOOKUP(A5,Aktien_im_Umlauf_splitbereinigt!A$3:AM$103,6,FALSE)&lt;&gt;"",IF(VLOOKUP(A5,Aktien_im_Umlauf_splitbereinigt!A$3:AM$103,5,FALSE)&lt;&gt;"",IF(VLOOKUP(A5,Schlußkurse!A$5:AU$105,38,FALSE)&gt;0,((VLOOKUP(A5,Aktien_im_Umlauf_splitbereinigt!A$3:AM$103,6,FALSE)-VLOOKUP(A5,Aktien_im_Umlauf_splitbereinigt!A$3:AM$103,5,FALSE))*VLOOKUP(A5,Schlußkurse!A$5:AU$105,38,FALSE))/VLOOKUP(A5,Aktien_im_Umlauf_splitbereinigt!A$3:AM$103,5,FALSE),0),0),0)</f>
        <v>1.0458146686119216</v>
      </c>
      <c r="F5" s="97">
        <f>IF(VLOOKUP(A5,Aktien_im_Umlauf_splitbereinigt!A$3:AM$103,7,FALSE)&lt;&gt;"",IF(VLOOKUP(A5,Aktien_im_Umlauf_splitbereinigt!A$3:AM$103,6,FALSE)&lt;&gt;"",IF(VLOOKUP(A5,Schlußkurse!A$5:AU$105,39,FALSE)&gt;0,((VLOOKUP(A5,Aktien_im_Umlauf_splitbereinigt!A$3:AM$103,7,FALSE)-VLOOKUP(A5,Aktien_im_Umlauf_splitbereinigt!A$3:AM$103,6,FALSE))*VLOOKUP(A5,Schlußkurse!A$5:AU$105,39,FALSE))/VLOOKUP(A5,Aktien_im_Umlauf_splitbereinigt!A$3:AM$103,6,FALSE),0),0),0)</f>
        <v>9.2284122011541641</v>
      </c>
      <c r="G5" s="97">
        <f>IF(VLOOKUP(A5,Aktien_im_Umlauf_splitbereinigt!A$3:AM$103,8,FALSE)&lt;&gt;"",IF(VLOOKUP(A5,Aktien_im_Umlauf_splitbereinigt!A$3:AM$103,7,FALSE)&lt;&gt;"",IF(VLOOKUP(A5,Schlußkurse!A$5:AU$105,40,FALSE)&gt;0,((VLOOKUP(A5,Aktien_im_Umlauf_splitbereinigt!A$3:AM$103,8,FALSE)-VLOOKUP(A5,Aktien_im_Umlauf_splitbereinigt!A$3:AM$103,7,FALSE))*VLOOKUP(A5,Schlußkurse!A$5:AU$105,40,FALSE))/VLOOKUP(A5,Aktien_im_Umlauf_splitbereinigt!A$3:AM$103,7,FALSE),0),0),0)</f>
        <v>0.9275223946784924</v>
      </c>
      <c r="H5" s="97">
        <f>IF(VLOOKUP(A5,Aktien_im_Umlauf_splitbereinigt!A$3:AM$103,9,FALSE)&lt;&gt;"",IF(VLOOKUP(A5,Aktien_im_Umlauf_splitbereinigt!A$3:AM$103,8,FALSE)&lt;&gt;"",IF(VLOOKUP(A5,Schlußkurse!A$5:AU$105,41,FALSE)&gt;0,((VLOOKUP(A5,Aktien_im_Umlauf_splitbereinigt!A$3:AM$103,9,FALSE)-VLOOKUP(A5,Aktien_im_Umlauf_splitbereinigt!A$3:AM$103,8,FALSE))*VLOOKUP(A5,Schlußkurse!A$5:AU$105,41,FALSE))/VLOOKUP(A5,Aktien_im_Umlauf_splitbereinigt!A$3:AM$103,8,FALSE),0),0),0)</f>
        <v>-2.2495098179169699</v>
      </c>
      <c r="I5" s="97">
        <f>IF(VLOOKUP(A5,Aktien_im_Umlauf_splitbereinigt!A$3:AM$103,10,FALSE)&lt;&gt;"",IF(VLOOKUP(A5,Aktien_im_Umlauf_splitbereinigt!A$3:AM$103,9,FALSE)&lt;&gt;"",IF(VLOOKUP(A5,Schlußkurse!A$5:AU$105,42,FALSE)&gt;0,((VLOOKUP(A5,Aktien_im_Umlauf_splitbereinigt!A$3:AM$103,10,FALSE)-VLOOKUP(A5,Aktien_im_Umlauf_splitbereinigt!A$3:AM$103,9,FALSE))*VLOOKUP(A5,Schlußkurse!A$5:AU$105,42,FALSE))/VLOOKUP(A5,Aktien_im_Umlauf_splitbereinigt!A$3:AM$103,9,FALSE),0),0),0)</f>
        <v>0</v>
      </c>
      <c r="J5" s="97">
        <f>IF(VLOOKUP(A5,Aktien_im_Umlauf_splitbereinigt!A$3:AM$103,11,FALSE)&lt;&gt;"",IF(VLOOKUP(A5,Aktien_im_Umlauf_splitbereinigt!A$3:AM$103,10,FALSE)&lt;&gt;"",IF(VLOOKUP(A5,Schlußkurse!A$5:AU$105,43,FALSE)&gt;0,((VLOOKUP(A5,Aktien_im_Umlauf_splitbereinigt!A$3:AM$103,11,FALSE)-VLOOKUP(A5,Aktien_im_Umlauf_splitbereinigt!A$3:AM$103,10,FALSE))*VLOOKUP(A5,Schlußkurse!A$5:AU$105,43,FALSE))/VLOOKUP(A5,Aktien_im_Umlauf_splitbereinigt!A$3:AM$103,10,FALSE),0),0),0)</f>
        <v>0.12403442001516302</v>
      </c>
      <c r="K5" s="97">
        <f>IF(VLOOKUP(A5,Aktien_im_Umlauf_splitbereinigt!A$3:AM$103,12,FALSE)&lt;&gt;"",IF(VLOOKUP(A5,Aktien_im_Umlauf_splitbereinigt!A$3:AM$103,11,FALSE)&lt;&gt;"",IF(VLOOKUP(A5,Schlußkurse!A$5:AU$105,44,FALSE)&gt;0,((VLOOKUP(A5,Aktien_im_Umlauf_splitbereinigt!A$3:AM$103,12,FALSE)-VLOOKUP(A5,Aktien_im_Umlauf_splitbereinigt!A$3:AM$103,11,FALSE))*VLOOKUP(A5,Schlußkurse!A$5:AU$105,44,FALSE))/VLOOKUP(A5,Aktien_im_Umlauf_splitbereinigt!A$3:AM$103,11,FALSE),0),0),0)</f>
        <v>1.5813787065052953</v>
      </c>
      <c r="L5" s="97">
        <f>IF(VLOOKUP(A5,Aktien_im_Umlauf_splitbereinigt!A$3:AM$103,13,FALSE)&lt;&gt;"",IF(VLOOKUP(A5,Aktien_im_Umlauf_splitbereinigt!A$3:AM$103,12,FALSE)&lt;&gt;"",IF(VLOOKUP(A5,Schlußkurse!A$5:AU$105,45,FALSE)&gt;0,((VLOOKUP(A5,Aktien_im_Umlauf_splitbereinigt!A$3:AM$103,13,FALSE)-VLOOKUP(A5,Aktien_im_Umlauf_splitbereinigt!A$3:AM$103,12,FALSE))*VLOOKUP(A5,Schlußkurse!A$5:AU$105,45,FALSE))/VLOOKUP(A5,Aktien_im_Umlauf_splitbereinigt!A$3:AM$103,12,FALSE),0),0),0)</f>
        <v>0</v>
      </c>
      <c r="M5" s="97">
        <f>IF(VLOOKUP(A5,Aktien_im_Umlauf_splitbereinigt!A$3:AM$103,14,FALSE)&lt;&gt;"",IF(VLOOKUP(A5,Aktien_im_Umlauf_splitbereinigt!A$3:AM$103,13,FALSE)&lt;&gt;"",IF(VLOOKUP(A5,Schlußkurse!A$5:AU$105,46,FALSE)&gt;0,((VLOOKUP(A5,Aktien_im_Umlauf_splitbereinigt!A$3:AM$103,14,FALSE)-VLOOKUP(A5,Aktien_im_Umlauf_splitbereinigt!A$3:AM$103,13,FALSE))*VLOOKUP(A5,Schlußkurse!A$5:AU$105,46,FALSE))/VLOOKUP(A5,Aktien_im_Umlauf_splitbereinigt!A$3:AM$103,13,FALSE),0),0),0)</f>
        <v>0.21126484060095271</v>
      </c>
      <c r="N5" s="13">
        <f>IF(C5&gt;0,IF(VLOOKUP(A5,Dividende_je_Aktie!A$3:AM$103,8,FALSE)&lt;&gt;"",C5+VLOOKUP(A5,Dividende_je_Aktie!A$3:AM$103,8,FALSE),C5),IF(VLOOKUP(A5,Dividende_je_Aktie!A$3:AM$103,8,FALSE)&lt;&gt;"",VLOOKUP(A5,Dividende_je_Aktie!A$3:AM$103,8,FALSE),""))</f>
        <v>2.84</v>
      </c>
      <c r="O5" s="13">
        <f>IF(D5&gt;0,IF(VLOOKUP(A5,Dividende_je_Aktie!A$3:AM$103,9,FALSE)&lt;&gt;"",D5+VLOOKUP(A5,Dividende_je_Aktie!A$3:AM$103,9,FALSE),D5),IF(VLOOKUP(A5,Dividende_je_Aktie!A$3:AM$103,9,FALSE)&lt;&gt;"",VLOOKUP(A5,Dividende_je_Aktie!A$3:AM$103,9,FALSE),""))</f>
        <v>3.5743067396798653</v>
      </c>
      <c r="P5" s="13">
        <f>IF(E5&gt;0,IF(VLOOKUP(A5,Dividende_je_Aktie!A$3:AM$103,10,FALSE)&lt;&gt;"",E5+VLOOKUP(A5,Dividende_je_Aktie!A$3:AM$103,10,FALSE),E5),IF(VLOOKUP(A5,Dividende_je_Aktie!A$3:AM$103,10,FALSE)&lt;&gt;"",VLOOKUP(A5,Dividende_je_Aktie!A$3:AM$103,10,FALSE),""))</f>
        <v>3.6758146686119213</v>
      </c>
      <c r="Q5" s="13">
        <f>IF(F5&gt;0,IF(VLOOKUP(A5,Dividende_je_Aktie!A$3:AM$103,11,FALSE)&lt;&gt;"",F5+VLOOKUP(A5,Dividende_je_Aktie!A$3:AM$103,11,FALSE),F5),IF(VLOOKUP(A5,Dividende_je_Aktie!A$3:AM$103,11,FALSE)&lt;&gt;"",VLOOKUP(A5,Dividende_je_Aktie!A$3:AM$103,11,FALSE),""))</f>
        <v>11.998412201154164</v>
      </c>
      <c r="R5" s="13">
        <f>IF(G5&gt;0,IF(VLOOKUP(A5,Dividende_je_Aktie!A$3:AM$103,12,FALSE)&lt;&gt;"",G5+VLOOKUP(A5,Dividende_je_Aktie!A$3:AM$103,12,FALSE),G5),IF(VLOOKUP(A5,Dividende_je_Aktie!A$3:AM$103,12,FALSE)&lt;&gt;"",VLOOKUP(A5,Dividende_je_Aktie!A$3:AM$103,12,FALSE),""))</f>
        <v>3.3975223946784925</v>
      </c>
      <c r="S5" s="13">
        <f>IF(H5&gt;0,IF(VLOOKUP(A5,Dividende_je_Aktie!A$3:AM$103,13,FALSE)&lt;&gt;"",H5+VLOOKUP(A5,Dividende_je_Aktie!A$3:AM$103,13,FALSE),H5),IF(VLOOKUP(A5,Dividende_je_Aktie!A$3:AM$103,13,FALSE)&lt;&gt;"",VLOOKUP(A5,Dividende_je_Aktie!A$3:AM$103,13,FALSE),""))</f>
        <v>2.42</v>
      </c>
      <c r="T5" s="13">
        <f>IF(I5&gt;0,IF(VLOOKUP(A5,Dividende_je_Aktie!A$3:AM$103,14,FALSE)&lt;&gt;"",I5+VLOOKUP(A5,Dividende_je_Aktie!A$3:AM$103,14,FALSE),I5),IF(VLOOKUP(A5,Dividende_je_Aktie!A$3:AM$103,14,FALSE)&lt;&gt;"",VLOOKUP(A5,Dividende_je_Aktie!A$3:AM$103,14,FALSE),""))</f>
        <v>2.34</v>
      </c>
      <c r="U5" s="13">
        <f>IF(J5&gt;0,IF(VLOOKUP(A5,Dividende_je_Aktie!A$3:AM$103,15,FALSE)&lt;&gt;"",J5+VLOOKUP(A5,Dividende_je_Aktie!A$3:AM$103,15,FALSE),J5),IF(VLOOKUP(A5,Dividende_je_Aktie!A$3:AM$103,15,FALSE)&lt;&gt;"",VLOOKUP(A5,Dividende_je_Aktie!A$3:AM$103,15,FALSE),""))</f>
        <v>2.1440344200151631</v>
      </c>
      <c r="V5" s="13">
        <f>IF(K5&gt;0,IF(VLOOKUP(A5,Dividende_je_Aktie!A$3:AM$103,16,FALSE)&lt;&gt;"",K5+VLOOKUP(A5,Dividende_je_Aktie!A$3:AM$103,16,FALSE),K5),IF(VLOOKUP(A5,Dividende_je_Aktie!A$3:AM$103,16,FALSE)&lt;&gt;"",VLOOKUP(A5,Dividende_je_Aktie!A$3:AM$103,16,FALSE),""))</f>
        <v>3.4713787065052952</v>
      </c>
      <c r="W5" s="13">
        <f>IF(L5&gt;0,IF(VLOOKUP(A5,Dividende_je_Aktie!A$3:AM$103,17,FALSE)&lt;&gt;"",L5+VLOOKUP(A5,Dividende_je_Aktie!A$3:AM$103,17,FALSE),L5),IF(VLOOKUP(A5,Dividende_je_Aktie!A$3:AM$103,17,FALSE)&lt;&gt;"",VLOOKUP(A5,Dividende_je_Aktie!A$3:AM$103,17,FALSE),""))</f>
        <v>1.42</v>
      </c>
      <c r="X5" s="13">
        <f>IF(M5&gt;0,IF(VLOOKUP(A5,Dividende_je_Aktie!A$3:AM$103,18,FALSE)&lt;&gt;"",M5+VLOOKUP(A5,Dividende_je_Aktie!A$3:AM$103,18,FALSE),M5),IF(VLOOKUP(A5,Dividende_je_Aktie!A$3:AM$103,18,FALSE)&lt;&gt;"",VLOOKUP(A5,Dividende_je_Aktie!A$3:AM$103,18,FALSE),""))</f>
        <v>1.3212648406009528</v>
      </c>
    </row>
    <row r="6" spans="1:24">
      <c r="A6" t="s">
        <v>4</v>
      </c>
      <c r="B6" t="s">
        <v>5</v>
      </c>
      <c r="C6" s="13">
        <f>IF(VLOOKUP(A6,Aktien_im_Umlauf_splitbereinigt!A$3:AM$103,4,FALSE)&lt;&gt;"",IF(VLOOKUP(A6,Aktien_im_Umlauf_splitbereinigt!A$3:AM$103,3,FALSE)&lt;&gt;"",IF(VLOOKUP(A6,Schlußkurse!A$5:AU$105,36,FALSE)&gt;0,((VLOOKUP(A6,Aktien_im_Umlauf_splitbereinigt!A$3:AM$103,4,FALSE)-VLOOKUP(A6,Aktien_im_Umlauf_splitbereinigt!A$3:AM$103,3,FALSE))*VLOOKUP(A6,Schlußkurse!A$5:AU$105,36,FALSE))/VLOOKUP(A6,Aktien_im_Umlauf_splitbereinigt!A$3:AM$103,3,FALSE),0),0),0)</f>
        <v>0</v>
      </c>
      <c r="D6" s="97">
        <f>IF(VLOOKUP(A6,Aktien_im_Umlauf_splitbereinigt!A$3:AM$103,5,FALSE)&lt;&gt;"",IF(VLOOKUP(A6,Aktien_im_Umlauf_splitbereinigt!A$3:AM$103,4,FALSE)&lt;&gt;"",IF(VLOOKUP(A6,Schlußkurse!A$5:AU$105,37,FALSE)&gt;0,((VLOOKUP(A6,Aktien_im_Umlauf_splitbereinigt!A$3:AM$103,5,FALSE)-VLOOKUP(A6,Aktien_im_Umlauf_splitbereinigt!A$3:AM$103,4,FALSE))*VLOOKUP(A6,Schlußkurse!A$5:AU$105,37,FALSE))/VLOOKUP(A6,Aktien_im_Umlauf_splitbereinigt!A$3:AM$103,4,FALSE),0),0),0)</f>
        <v>0</v>
      </c>
      <c r="E6" s="97">
        <f>IF(VLOOKUP(A6,Aktien_im_Umlauf_splitbereinigt!A$3:AM$103,6,FALSE)&lt;&gt;"",IF(VLOOKUP(A6,Aktien_im_Umlauf_splitbereinigt!A$3:AM$103,5,FALSE)&lt;&gt;"",IF(VLOOKUP(A6,Schlußkurse!A$5:AU$105,38,FALSE)&gt;0,((VLOOKUP(A6,Aktien_im_Umlauf_splitbereinigt!A$3:AM$103,6,FALSE)-VLOOKUP(A6,Aktien_im_Umlauf_splitbereinigt!A$3:AM$103,5,FALSE))*VLOOKUP(A6,Schlußkurse!A$5:AU$105,38,FALSE))/VLOOKUP(A6,Aktien_im_Umlauf_splitbereinigt!A$3:AM$103,5,FALSE),0),0),0)</f>
        <v>0</v>
      </c>
      <c r="F6" s="97">
        <f>IF(VLOOKUP(A6,Aktien_im_Umlauf_splitbereinigt!A$3:AM$103,7,FALSE)&lt;&gt;"",IF(VLOOKUP(A6,Aktien_im_Umlauf_splitbereinigt!A$3:AM$103,6,FALSE)&lt;&gt;"",IF(VLOOKUP(A6,Schlußkurse!A$5:AU$105,39,FALSE)&gt;0,((VLOOKUP(A6,Aktien_im_Umlauf_splitbereinigt!A$3:AM$103,7,FALSE)-VLOOKUP(A6,Aktien_im_Umlauf_splitbereinigt!A$3:AM$103,6,FALSE))*VLOOKUP(A6,Schlußkurse!A$5:AU$105,39,FALSE))/VLOOKUP(A6,Aktien_im_Umlauf_splitbereinigt!A$3:AM$103,6,FALSE),0),0),0)</f>
        <v>0</v>
      </c>
      <c r="G6" s="97">
        <f>IF(VLOOKUP(A6,Aktien_im_Umlauf_splitbereinigt!A$3:AM$103,8,FALSE)&lt;&gt;"",IF(VLOOKUP(A6,Aktien_im_Umlauf_splitbereinigt!A$3:AM$103,7,FALSE)&lt;&gt;"",IF(VLOOKUP(A6,Schlußkurse!A$5:AU$105,40,FALSE)&gt;0,((VLOOKUP(A6,Aktien_im_Umlauf_splitbereinigt!A$3:AM$103,8,FALSE)-VLOOKUP(A6,Aktien_im_Umlauf_splitbereinigt!A$3:AM$103,7,FALSE))*VLOOKUP(A6,Schlußkurse!A$5:AU$105,40,FALSE))/VLOOKUP(A6,Aktien_im_Umlauf_splitbereinigt!A$3:AM$103,7,FALSE),0),0),0)</f>
        <v>0</v>
      </c>
      <c r="H6" s="97">
        <f>IF(VLOOKUP(A6,Aktien_im_Umlauf_splitbereinigt!A$3:AM$103,9,FALSE)&lt;&gt;"",IF(VLOOKUP(A6,Aktien_im_Umlauf_splitbereinigt!A$3:AM$103,8,FALSE)&lt;&gt;"",IF(VLOOKUP(A6,Schlußkurse!A$5:AU$105,41,FALSE)&gt;0,((VLOOKUP(A6,Aktien_im_Umlauf_splitbereinigt!A$3:AM$103,9,FALSE)-VLOOKUP(A6,Aktien_im_Umlauf_splitbereinigt!A$3:AM$103,8,FALSE))*VLOOKUP(A6,Schlußkurse!A$5:AU$105,41,FALSE))/VLOOKUP(A6,Aktien_im_Umlauf_splitbereinigt!A$3:AM$103,8,FALSE),0),0),0)</f>
        <v>0</v>
      </c>
      <c r="I6" s="97">
        <f>IF(VLOOKUP(A6,Aktien_im_Umlauf_splitbereinigt!A$3:AM$103,10,FALSE)&lt;&gt;"",IF(VLOOKUP(A6,Aktien_im_Umlauf_splitbereinigt!A$3:AM$103,9,FALSE)&lt;&gt;"",IF(VLOOKUP(A6,Schlußkurse!A$5:AU$105,42,FALSE)&gt;0,((VLOOKUP(A6,Aktien_im_Umlauf_splitbereinigt!A$3:AM$103,10,FALSE)-VLOOKUP(A6,Aktien_im_Umlauf_splitbereinigt!A$3:AM$103,9,FALSE))*VLOOKUP(A6,Schlußkurse!A$5:AU$105,42,FALSE))/VLOOKUP(A6,Aktien_im_Umlauf_splitbereinigt!A$3:AM$103,9,FALSE),0),0),0)</f>
        <v>0</v>
      </c>
      <c r="J6" s="97">
        <f>IF(VLOOKUP(A6,Aktien_im_Umlauf_splitbereinigt!A$3:AM$103,11,FALSE)&lt;&gt;"",IF(VLOOKUP(A6,Aktien_im_Umlauf_splitbereinigt!A$3:AM$103,10,FALSE)&lt;&gt;"",IF(VLOOKUP(A6,Schlußkurse!A$5:AU$105,43,FALSE)&gt;0,((VLOOKUP(A6,Aktien_im_Umlauf_splitbereinigt!A$3:AM$103,11,FALSE)-VLOOKUP(A6,Aktien_im_Umlauf_splitbereinigt!A$3:AM$103,10,FALSE))*VLOOKUP(A6,Schlußkurse!A$5:AU$105,43,FALSE))/VLOOKUP(A6,Aktien_im_Umlauf_splitbereinigt!A$3:AM$103,10,FALSE),0),0),0)</f>
        <v>0</v>
      </c>
      <c r="K6" s="97">
        <f>IF(VLOOKUP(A6,Aktien_im_Umlauf_splitbereinigt!A$3:AM$103,12,FALSE)&lt;&gt;"",IF(VLOOKUP(A6,Aktien_im_Umlauf_splitbereinigt!A$3:AM$103,11,FALSE)&lt;&gt;"",IF(VLOOKUP(A6,Schlußkurse!A$5:AU$105,44,FALSE)&gt;0,((VLOOKUP(A6,Aktien_im_Umlauf_splitbereinigt!A$3:AM$103,12,FALSE)-VLOOKUP(A6,Aktien_im_Umlauf_splitbereinigt!A$3:AM$103,11,FALSE))*VLOOKUP(A6,Schlußkurse!A$5:AU$105,44,FALSE))/VLOOKUP(A6,Aktien_im_Umlauf_splitbereinigt!A$3:AM$103,11,FALSE),0),0),0)</f>
        <v>7.5357076609309064E-3</v>
      </c>
      <c r="L6" s="97">
        <f>IF(VLOOKUP(A6,Aktien_im_Umlauf_splitbereinigt!A$3:AM$103,13,FALSE)&lt;&gt;"",IF(VLOOKUP(A6,Aktien_im_Umlauf_splitbereinigt!A$3:AM$103,12,FALSE)&lt;&gt;"",IF(VLOOKUP(A6,Schlußkurse!A$5:AU$105,45,FALSE)&gt;0,((VLOOKUP(A6,Aktien_im_Umlauf_splitbereinigt!A$3:AM$103,13,FALSE)-VLOOKUP(A6,Aktien_im_Umlauf_splitbereinigt!A$3:AM$103,12,FALSE))*VLOOKUP(A6,Schlußkurse!A$5:AU$105,45,FALSE))/VLOOKUP(A6,Aktien_im_Umlauf_splitbereinigt!A$3:AM$103,12,FALSE),0),0),0)</f>
        <v>0</v>
      </c>
      <c r="M6" s="97">
        <f>IF(VLOOKUP(A6,Aktien_im_Umlauf_splitbereinigt!A$3:AM$103,14,FALSE)&lt;&gt;"",IF(VLOOKUP(A6,Aktien_im_Umlauf_splitbereinigt!A$3:AM$103,13,FALSE)&lt;&gt;"",IF(VLOOKUP(A6,Schlußkurse!A$5:AU$105,46,FALSE)&gt;0,((VLOOKUP(A6,Aktien_im_Umlauf_splitbereinigt!A$3:AM$103,14,FALSE)-VLOOKUP(A6,Aktien_im_Umlauf_splitbereinigt!A$3:AM$103,13,FALSE))*VLOOKUP(A6,Schlußkurse!A$5:AU$105,46,FALSE))/VLOOKUP(A6,Aktien_im_Umlauf_splitbereinigt!A$3:AM$103,13,FALSE),0),0),0)</f>
        <v>0</v>
      </c>
      <c r="N6" s="13">
        <f>IF(C6&gt;0,IF(VLOOKUP(A6,Dividende_je_Aktie!A$3:AM$103,8,FALSE)&lt;&gt;"",C6+VLOOKUP(A6,Dividende_je_Aktie!A$3:AM$103,8,FALSE),C6),IF(VLOOKUP(A6,Dividende_je_Aktie!A$3:AM$103,8,FALSE)&lt;&gt;"",VLOOKUP(A6,Dividende_je_Aktie!A$3:AM$103,8,FALSE),""))</f>
        <v>8.56</v>
      </c>
      <c r="O6" s="13">
        <f>IF(D6&gt;0,IF(VLOOKUP(A6,Dividende_je_Aktie!A$3:AM$103,9,FALSE)&lt;&gt;"",D6+VLOOKUP(A6,Dividende_je_Aktie!A$3:AM$103,9,FALSE),D6),IF(VLOOKUP(A6,Dividende_je_Aktie!A$3:AM$103,9,FALSE)&lt;&gt;"",VLOOKUP(A6,Dividende_je_Aktie!A$3:AM$103,9,FALSE),""))</f>
        <v>8.1</v>
      </c>
      <c r="P6" s="13">
        <f>IF(E6&gt;0,IF(VLOOKUP(A6,Dividende_je_Aktie!A$3:AM$103,10,FALSE)&lt;&gt;"",E6+VLOOKUP(A6,Dividende_je_Aktie!A$3:AM$103,10,FALSE),E6),IF(VLOOKUP(A6,Dividende_je_Aktie!A$3:AM$103,10,FALSE)&lt;&gt;"",VLOOKUP(A6,Dividende_je_Aktie!A$3:AM$103,10,FALSE),""))</f>
        <v>8</v>
      </c>
      <c r="Q6" s="13">
        <f>IF(F6&gt;0,IF(VLOOKUP(A6,Dividende_je_Aktie!A$3:AM$103,11,FALSE)&lt;&gt;"",F6+VLOOKUP(A6,Dividende_je_Aktie!A$3:AM$103,11,FALSE),F6),IF(VLOOKUP(A6,Dividende_je_Aktie!A$3:AM$103,11,FALSE)&lt;&gt;"",VLOOKUP(A6,Dividende_je_Aktie!A$3:AM$103,11,FALSE),""))</f>
        <v>7.8</v>
      </c>
      <c r="R6" s="13">
        <f>IF(G6&gt;0,IF(VLOOKUP(A6,Dividende_je_Aktie!A$3:AM$103,12,FALSE)&lt;&gt;"",G6+VLOOKUP(A6,Dividende_je_Aktie!A$3:AM$103,12,FALSE),G6),IF(VLOOKUP(A6,Dividende_je_Aktie!A$3:AM$103,12,FALSE)&lt;&gt;"",VLOOKUP(A6,Dividende_je_Aktie!A$3:AM$103,12,FALSE),""))</f>
        <v>7.35</v>
      </c>
      <c r="S6" s="13">
        <f>IF(H6&gt;0,IF(VLOOKUP(A6,Dividende_je_Aktie!A$3:AM$103,13,FALSE)&lt;&gt;"",H6+VLOOKUP(A6,Dividende_je_Aktie!A$3:AM$103,13,FALSE),H6),IF(VLOOKUP(A6,Dividende_je_Aktie!A$3:AM$103,13,FALSE)&lt;&gt;"",VLOOKUP(A6,Dividende_je_Aktie!A$3:AM$103,13,FALSE),""))</f>
        <v>6.8</v>
      </c>
      <c r="T6" s="13">
        <f>IF(I6&gt;0,IF(VLOOKUP(A6,Dividende_je_Aktie!A$3:AM$103,14,FALSE)&lt;&gt;"",I6+VLOOKUP(A6,Dividende_je_Aktie!A$3:AM$103,14,FALSE),I6),IF(VLOOKUP(A6,Dividende_je_Aktie!A$3:AM$103,14,FALSE)&lt;&gt;"",VLOOKUP(A6,Dividende_je_Aktie!A$3:AM$103,14,FALSE),""))</f>
        <v>6.6</v>
      </c>
      <c r="U6" s="13">
        <f>IF(J6&gt;0,IF(VLOOKUP(A6,Dividende_je_Aktie!A$3:AM$103,15,FALSE)&lt;&gt;"",J6+VLOOKUP(A6,Dividende_je_Aktie!A$3:AM$103,15,FALSE),J6),IF(VLOOKUP(A6,Dividende_je_Aktie!A$3:AM$103,15,FALSE)&lt;&gt;"",VLOOKUP(A6,Dividende_je_Aktie!A$3:AM$103,15,FALSE),""))</f>
        <v>6</v>
      </c>
      <c r="V6" s="13">
        <f>IF(K6&gt;0,IF(VLOOKUP(A6,Dividende_je_Aktie!A$3:AM$103,16,FALSE)&lt;&gt;"",K6+VLOOKUP(A6,Dividende_je_Aktie!A$3:AM$103,16,FALSE),K6),IF(VLOOKUP(A6,Dividende_je_Aktie!A$3:AM$103,16,FALSE)&lt;&gt;"",VLOOKUP(A6,Dividende_je_Aktie!A$3:AM$103,16,FALSE),""))</f>
        <v>5.0075357076609306</v>
      </c>
      <c r="W6" s="13">
        <f>IF(L6&gt;0,IF(VLOOKUP(A6,Dividende_je_Aktie!A$3:AM$103,17,FALSE)&lt;&gt;"",L6+VLOOKUP(A6,Dividende_je_Aktie!A$3:AM$103,17,FALSE),L6),IF(VLOOKUP(A6,Dividende_je_Aktie!A$3:AM$103,17,FALSE)&lt;&gt;"",VLOOKUP(A6,Dividende_je_Aktie!A$3:AM$103,17,FALSE),""))</f>
        <v>4.5999999999999996</v>
      </c>
      <c r="X6" s="13">
        <f>IF(M6&gt;0,IF(VLOOKUP(A6,Dividende_je_Aktie!A$3:AM$103,18,FALSE)&lt;&gt;"",M6+VLOOKUP(A6,Dividende_je_Aktie!A$3:AM$103,18,FALSE),M6),IF(VLOOKUP(A6,Dividende_je_Aktie!A$3:AM$103,18,FALSE)&lt;&gt;"",VLOOKUP(A6,Dividende_je_Aktie!A$3:AM$103,18,FALSE),""))</f>
        <v>3.4</v>
      </c>
    </row>
    <row r="7" spans="1:24">
      <c r="A7" t="s">
        <v>6</v>
      </c>
      <c r="B7" t="s">
        <v>7</v>
      </c>
      <c r="C7" s="13">
        <f>IF(VLOOKUP(A7,Aktien_im_Umlauf_splitbereinigt!A$3:AM$103,4,FALSE)&lt;&gt;"",IF(VLOOKUP(A7,Aktien_im_Umlauf_splitbereinigt!A$3:AM$103,3,FALSE)&lt;&gt;"",IF(VLOOKUP(A7,Schlußkurse!A$5:AU$105,36,FALSE)&gt;0,((VLOOKUP(A7,Aktien_im_Umlauf_splitbereinigt!A$3:AM$103,4,FALSE)-VLOOKUP(A7,Aktien_im_Umlauf_splitbereinigt!A$3:AM$103,3,FALSE))*VLOOKUP(A7,Schlußkurse!A$5:AU$105,36,FALSE))/VLOOKUP(A7,Aktien_im_Umlauf_splitbereinigt!A$3:AM$103,3,FALSE),0),0),0)</f>
        <v>0</v>
      </c>
      <c r="D7" s="97">
        <f>IF(VLOOKUP(A7,Aktien_im_Umlauf_splitbereinigt!A$3:AM$103,5,FALSE)&lt;&gt;"",IF(VLOOKUP(A7,Aktien_im_Umlauf_splitbereinigt!A$3:AM$103,4,FALSE)&lt;&gt;"",IF(VLOOKUP(A7,Schlußkurse!A$5:AU$105,37,FALSE)&gt;0,((VLOOKUP(A7,Aktien_im_Umlauf_splitbereinigt!A$3:AM$103,5,FALSE)-VLOOKUP(A7,Aktien_im_Umlauf_splitbereinigt!A$3:AM$103,4,FALSE))*VLOOKUP(A7,Schlußkurse!A$5:AU$105,37,FALSE))/VLOOKUP(A7,Aktien_im_Umlauf_splitbereinigt!A$3:AM$103,4,FALSE),0),0),0)</f>
        <v>0.86522898368883305</v>
      </c>
      <c r="E7" s="97">
        <f>IF(VLOOKUP(A7,Aktien_im_Umlauf_splitbereinigt!A$3:AM$103,6,FALSE)&lt;&gt;"",IF(VLOOKUP(A7,Aktien_im_Umlauf_splitbereinigt!A$3:AM$103,5,FALSE)&lt;&gt;"",IF(VLOOKUP(A7,Schlußkurse!A$5:AU$105,38,FALSE)&gt;0,((VLOOKUP(A7,Aktien_im_Umlauf_splitbereinigt!A$3:AM$103,6,FALSE)-VLOOKUP(A7,Aktien_im_Umlauf_splitbereinigt!A$3:AM$103,5,FALSE))*VLOOKUP(A7,Schlußkurse!A$5:AU$105,38,FALSE))/VLOOKUP(A7,Aktien_im_Umlauf_splitbereinigt!A$3:AM$103,5,FALSE),0),0),0)</f>
        <v>0</v>
      </c>
      <c r="F7" s="97">
        <f>IF(VLOOKUP(A7,Aktien_im_Umlauf_splitbereinigt!A$3:AM$103,7,FALSE)&lt;&gt;"",IF(VLOOKUP(A7,Aktien_im_Umlauf_splitbereinigt!A$3:AM$103,6,FALSE)&lt;&gt;"",IF(VLOOKUP(A7,Schlußkurse!A$5:AU$105,39,FALSE)&gt;0,((VLOOKUP(A7,Aktien_im_Umlauf_splitbereinigt!A$3:AM$103,7,FALSE)-VLOOKUP(A7,Aktien_im_Umlauf_splitbereinigt!A$3:AM$103,6,FALSE))*VLOOKUP(A7,Schlußkurse!A$5:AU$105,39,FALSE))/VLOOKUP(A7,Aktien_im_Umlauf_splitbereinigt!A$3:AM$103,6,FALSE),0),0),0)</f>
        <v>0</v>
      </c>
      <c r="G7" s="97">
        <f>IF(VLOOKUP(A7,Aktien_im_Umlauf_splitbereinigt!A$3:AM$103,8,FALSE)&lt;&gt;"",IF(VLOOKUP(A7,Aktien_im_Umlauf_splitbereinigt!A$3:AM$103,7,FALSE)&lt;&gt;"",IF(VLOOKUP(A7,Schlußkurse!A$5:AU$105,40,FALSE)&gt;0,((VLOOKUP(A7,Aktien_im_Umlauf_splitbereinigt!A$3:AM$103,8,FALSE)-VLOOKUP(A7,Aktien_im_Umlauf_splitbereinigt!A$3:AM$103,7,FALSE))*VLOOKUP(A7,Schlußkurse!A$5:AU$105,40,FALSE))/VLOOKUP(A7,Aktien_im_Umlauf_splitbereinigt!A$3:AM$103,7,FALSE),0),0),0)</f>
        <v>1.386046511627907</v>
      </c>
      <c r="H7" s="97">
        <f>IF(VLOOKUP(A7,Aktien_im_Umlauf_splitbereinigt!A$3:AM$103,9,FALSE)&lt;&gt;"",IF(VLOOKUP(A7,Aktien_im_Umlauf_splitbereinigt!A$3:AM$103,8,FALSE)&lt;&gt;"",IF(VLOOKUP(A7,Schlußkurse!A$5:AU$105,41,FALSE)&gt;0,((VLOOKUP(A7,Aktien_im_Umlauf_splitbereinigt!A$3:AM$103,9,FALSE)-VLOOKUP(A7,Aktien_im_Umlauf_splitbereinigt!A$3:AM$103,8,FALSE))*VLOOKUP(A7,Schlußkurse!A$5:AU$105,41,FALSE))/VLOOKUP(A7,Aktien_im_Umlauf_splitbereinigt!A$3:AM$103,8,FALSE),0),0),0)</f>
        <v>2.7</v>
      </c>
      <c r="I7" s="97">
        <f>IF(VLOOKUP(A7,Aktien_im_Umlauf_splitbereinigt!A$3:AM$103,10,FALSE)&lt;&gt;"",IF(VLOOKUP(A7,Aktien_im_Umlauf_splitbereinigt!A$3:AM$103,9,FALSE)&lt;&gt;"",IF(VLOOKUP(A7,Schlußkurse!A$5:AU$105,42,FALSE)&gt;0,((VLOOKUP(A7,Aktien_im_Umlauf_splitbereinigt!A$3:AM$103,10,FALSE)-VLOOKUP(A7,Aktien_im_Umlauf_splitbereinigt!A$3:AM$103,9,FALSE))*VLOOKUP(A7,Schlußkurse!A$5:AU$105,42,FALSE))/VLOOKUP(A7,Aktien_im_Umlauf_splitbereinigt!A$3:AM$103,9,FALSE),0),0),0)</f>
        <v>2.9231601731601731</v>
      </c>
      <c r="J7" s="97">
        <f>IF(VLOOKUP(A7,Aktien_im_Umlauf_splitbereinigt!A$3:AM$103,11,FALSE)&lt;&gt;"",IF(VLOOKUP(A7,Aktien_im_Umlauf_splitbereinigt!A$3:AM$103,10,FALSE)&lt;&gt;"",IF(VLOOKUP(A7,Schlußkurse!A$5:AU$105,43,FALSE)&gt;0,((VLOOKUP(A7,Aktien_im_Umlauf_splitbereinigt!A$3:AM$103,11,FALSE)-VLOOKUP(A7,Aktien_im_Umlauf_splitbereinigt!A$3:AM$103,10,FALSE))*VLOOKUP(A7,Schlußkurse!A$5:AU$105,43,FALSE))/VLOOKUP(A7,Aktien_im_Umlauf_splitbereinigt!A$3:AM$103,10,FALSE),0),0),0)</f>
        <v>2.4756164383561643</v>
      </c>
      <c r="K7" s="97">
        <f>IF(VLOOKUP(A7,Aktien_im_Umlauf_splitbereinigt!A$3:AM$103,12,FALSE)&lt;&gt;"",IF(VLOOKUP(A7,Aktien_im_Umlauf_splitbereinigt!A$3:AM$103,11,FALSE)&lt;&gt;"",IF(VLOOKUP(A7,Schlußkurse!A$5:AU$105,44,FALSE)&gt;0,((VLOOKUP(A7,Aktien_im_Umlauf_splitbereinigt!A$3:AM$103,12,FALSE)-VLOOKUP(A7,Aktien_im_Umlauf_splitbereinigt!A$3:AM$103,11,FALSE))*VLOOKUP(A7,Schlußkurse!A$5:AU$105,44,FALSE))/VLOOKUP(A7,Aktien_im_Umlauf_splitbereinigt!A$3:AM$103,11,FALSE),0),0),0)</f>
        <v>1.0970234986945171</v>
      </c>
      <c r="L7" s="97">
        <f>IF(VLOOKUP(A7,Aktien_im_Umlauf_splitbereinigt!A$3:AM$103,13,FALSE)&lt;&gt;"",IF(VLOOKUP(A7,Aktien_im_Umlauf_splitbereinigt!A$3:AM$103,12,FALSE)&lt;&gt;"",IF(VLOOKUP(A7,Schlußkurse!A$5:AU$105,45,FALSE)&gt;0,((VLOOKUP(A7,Aktien_im_Umlauf_splitbereinigt!A$3:AM$103,13,FALSE)-VLOOKUP(A7,Aktien_im_Umlauf_splitbereinigt!A$3:AM$103,12,FALSE))*VLOOKUP(A7,Schlußkurse!A$5:AU$105,45,FALSE))/VLOOKUP(A7,Aktien_im_Umlauf_splitbereinigt!A$3:AM$103,12,FALSE),0),0),0)</f>
        <v>1.0053421521241415</v>
      </c>
      <c r="M7" s="97">
        <f>IF(VLOOKUP(A7,Aktien_im_Umlauf_splitbereinigt!A$3:AM$103,14,FALSE)&lt;&gt;"",IF(VLOOKUP(A7,Aktien_im_Umlauf_splitbereinigt!A$3:AM$103,13,FALSE)&lt;&gt;"",IF(VLOOKUP(A7,Schlußkurse!A$5:AU$105,46,FALSE)&gt;0,((VLOOKUP(A7,Aktien_im_Umlauf_splitbereinigt!A$3:AM$103,14,FALSE)-VLOOKUP(A7,Aktien_im_Umlauf_splitbereinigt!A$3:AM$103,13,FALSE))*VLOOKUP(A7,Schlußkurse!A$5:AU$105,46,FALSE))/VLOOKUP(A7,Aktien_im_Umlauf_splitbereinigt!A$3:AM$103,13,FALSE),0),0),0)</f>
        <v>0.3025705016221612</v>
      </c>
      <c r="N7" s="13">
        <f>IF(C7&gt;0,IF(VLOOKUP(A7,Dividende_je_Aktie!A$3:AM$103,8,FALSE)&lt;&gt;"",C7+VLOOKUP(A7,Dividende_je_Aktie!A$3:AM$103,8,FALSE),C7),IF(VLOOKUP(A7,Dividende_je_Aktie!A$3:AM$103,8,FALSE)&lt;&gt;"",VLOOKUP(A7,Dividende_je_Aktie!A$3:AM$103,8,FALSE),""))</f>
        <v>2.3199999999999998</v>
      </c>
      <c r="O7" s="13">
        <f>IF(D7&gt;0,IF(VLOOKUP(A7,Dividende_je_Aktie!A$3:AM$103,9,FALSE)&lt;&gt;"",D7+VLOOKUP(A7,Dividende_je_Aktie!A$3:AM$103,9,FALSE),D7),IF(VLOOKUP(A7,Dividende_je_Aktie!A$3:AM$103,9,FALSE)&lt;&gt;"",VLOOKUP(A7,Dividende_je_Aktie!A$3:AM$103,9,FALSE),""))</f>
        <v>3.1152289836888332</v>
      </c>
      <c r="P7" s="13">
        <f>IF(E7&gt;0,IF(VLOOKUP(A7,Dividende_je_Aktie!A$3:AM$103,10,FALSE)&lt;&gt;"",E7+VLOOKUP(A7,Dividende_je_Aktie!A$3:AM$103,10,FALSE),E7),IF(VLOOKUP(A7,Dividende_je_Aktie!A$3:AM$103,10,FALSE)&lt;&gt;"",VLOOKUP(A7,Dividende_je_Aktie!A$3:AM$103,10,FALSE),""))</f>
        <v>2.2000000000000002</v>
      </c>
      <c r="Q7" s="13">
        <f>IF(F7&gt;0,IF(VLOOKUP(A7,Dividende_je_Aktie!A$3:AM$103,11,FALSE)&lt;&gt;"",F7+VLOOKUP(A7,Dividende_je_Aktie!A$3:AM$103,11,FALSE),F7),IF(VLOOKUP(A7,Dividende_je_Aktie!A$3:AM$103,11,FALSE)&lt;&gt;"",VLOOKUP(A7,Dividende_je_Aktie!A$3:AM$103,11,FALSE),""))</f>
        <v>2.15</v>
      </c>
      <c r="R7" s="13">
        <f>IF(G7&gt;0,IF(VLOOKUP(A7,Dividende_je_Aktie!A$3:AM$103,12,FALSE)&lt;&gt;"",G7+VLOOKUP(A7,Dividende_je_Aktie!A$3:AM$103,12,FALSE),G7),IF(VLOOKUP(A7,Dividende_je_Aktie!A$3:AM$103,12,FALSE)&lt;&gt;"",VLOOKUP(A7,Dividende_je_Aktie!A$3:AM$103,12,FALSE),""))</f>
        <v>3.4360465116279069</v>
      </c>
      <c r="S7" s="13">
        <f>IF(H7&gt;0,IF(VLOOKUP(A7,Dividende_je_Aktie!A$3:AM$103,13,FALSE)&lt;&gt;"",H7+VLOOKUP(A7,Dividende_je_Aktie!A$3:AM$103,13,FALSE),H7),IF(VLOOKUP(A7,Dividende_je_Aktie!A$3:AM$103,13,FALSE)&lt;&gt;"",VLOOKUP(A7,Dividende_je_Aktie!A$3:AM$103,13,FALSE),""))</f>
        <v>4.6500000000000004</v>
      </c>
      <c r="T7" s="13">
        <f>IF(I7&gt;0,IF(VLOOKUP(A7,Dividende_je_Aktie!A$3:AM$103,14,FALSE)&lt;&gt;"",I7+VLOOKUP(A7,Dividende_je_Aktie!A$3:AM$103,14,FALSE),I7),IF(VLOOKUP(A7,Dividende_je_Aktie!A$3:AM$103,14,FALSE)&lt;&gt;"",VLOOKUP(A7,Dividende_je_Aktie!A$3:AM$103,14,FALSE),""))</f>
        <v>4.7731601731601732</v>
      </c>
      <c r="U7" s="13">
        <f>IF(J7&gt;0,IF(VLOOKUP(A7,Dividende_je_Aktie!A$3:AM$103,15,FALSE)&lt;&gt;"",J7+VLOOKUP(A7,Dividende_je_Aktie!A$3:AM$103,15,FALSE),J7),IF(VLOOKUP(A7,Dividende_je_Aktie!A$3:AM$103,15,FALSE)&lt;&gt;"",VLOOKUP(A7,Dividende_je_Aktie!A$3:AM$103,15,FALSE),""))</f>
        <v>4.0756164383561639</v>
      </c>
      <c r="V7" s="13">
        <f>IF(K7&gt;0,IF(VLOOKUP(A7,Dividende_je_Aktie!A$3:AM$103,16,FALSE)&lt;&gt;"",K7+VLOOKUP(A7,Dividende_je_Aktie!A$3:AM$103,16,FALSE),K7),IF(VLOOKUP(A7,Dividende_je_Aktie!A$3:AM$103,16,FALSE)&lt;&gt;"",VLOOKUP(A7,Dividende_je_Aktie!A$3:AM$103,16,FALSE),""))</f>
        <v>2.4970234986945172</v>
      </c>
      <c r="W7" s="13">
        <f>IF(L7&gt;0,IF(VLOOKUP(A7,Dividende_je_Aktie!A$3:AM$103,17,FALSE)&lt;&gt;"",L7+VLOOKUP(A7,Dividende_je_Aktie!A$3:AM$103,17,FALSE),L7),IF(VLOOKUP(A7,Dividende_je_Aktie!A$3:AM$103,17,FALSE)&lt;&gt;"",VLOOKUP(A7,Dividende_je_Aktie!A$3:AM$103,17,FALSE),""))</f>
        <v>2.2253421521241412</v>
      </c>
      <c r="X7" s="13">
        <f>IF(M7&gt;0,IF(VLOOKUP(A7,Dividende_je_Aktie!A$3:AM$103,18,FALSE)&lt;&gt;"",M7+VLOOKUP(A7,Dividende_je_Aktie!A$3:AM$103,18,FALSE),M7),IF(VLOOKUP(A7,Dividende_je_Aktie!A$3:AM$103,18,FALSE)&lt;&gt;"",VLOOKUP(A7,Dividende_je_Aktie!A$3:AM$103,18,FALSE),""))</f>
        <v>1.3425705016221612</v>
      </c>
    </row>
    <row r="8" spans="1:24">
      <c r="A8" t="s">
        <v>8</v>
      </c>
      <c r="B8" t="s">
        <v>9</v>
      </c>
      <c r="C8" s="13">
        <f>IF(VLOOKUP(A8,Aktien_im_Umlauf_splitbereinigt!A$3:AM$103,4,FALSE)&lt;&gt;"",IF(VLOOKUP(A8,Aktien_im_Umlauf_splitbereinigt!A$3:AM$103,3,FALSE)&lt;&gt;"",IF(VLOOKUP(A8,Schlußkurse!A$5:AU$105,36,FALSE)&gt;0,((VLOOKUP(A8,Aktien_im_Umlauf_splitbereinigt!A$3:AM$103,4,FALSE)-VLOOKUP(A8,Aktien_im_Umlauf_splitbereinigt!A$3:AM$103,3,FALSE))*VLOOKUP(A8,Schlußkurse!A$5:AU$105,36,FALSE))/VLOOKUP(A8,Aktien_im_Umlauf_splitbereinigt!A$3:AM$103,3,FALSE),0),0),0)</f>
        <v>0</v>
      </c>
      <c r="D8" s="97">
        <f>IF(VLOOKUP(A8,Aktien_im_Umlauf_splitbereinigt!A$3:AM$103,5,FALSE)&lt;&gt;"",IF(VLOOKUP(A8,Aktien_im_Umlauf_splitbereinigt!A$3:AM$103,4,FALSE)&lt;&gt;"",IF(VLOOKUP(A8,Schlußkurse!A$5:AU$105,37,FALSE)&gt;0,((VLOOKUP(A8,Aktien_im_Umlauf_splitbereinigt!A$3:AM$103,5,FALSE)-VLOOKUP(A8,Aktien_im_Umlauf_splitbereinigt!A$3:AM$103,4,FALSE))*VLOOKUP(A8,Schlußkurse!A$5:AU$105,37,FALSE))/VLOOKUP(A8,Aktien_im_Umlauf_splitbereinigt!A$3:AM$103,4,FALSE),0),0),0)</f>
        <v>0</v>
      </c>
      <c r="E8" s="97">
        <f>IF(VLOOKUP(A8,Aktien_im_Umlauf_splitbereinigt!A$3:AM$103,6,FALSE)&lt;&gt;"",IF(VLOOKUP(A8,Aktien_im_Umlauf_splitbereinigt!A$3:AM$103,5,FALSE)&lt;&gt;"",IF(VLOOKUP(A8,Schlußkurse!A$5:AU$105,38,FALSE)&gt;0,((VLOOKUP(A8,Aktien_im_Umlauf_splitbereinigt!A$3:AM$103,6,FALSE)-VLOOKUP(A8,Aktien_im_Umlauf_splitbereinigt!A$3:AM$103,5,FALSE))*VLOOKUP(A8,Schlußkurse!A$5:AU$105,38,FALSE))/VLOOKUP(A8,Aktien_im_Umlauf_splitbereinigt!A$3:AM$103,5,FALSE),0),0),0)</f>
        <v>0</v>
      </c>
      <c r="F8" s="97">
        <f>IF(VLOOKUP(A8,Aktien_im_Umlauf_splitbereinigt!A$3:AM$103,7,FALSE)&lt;&gt;"",IF(VLOOKUP(A8,Aktien_im_Umlauf_splitbereinigt!A$3:AM$103,6,FALSE)&lt;&gt;"",IF(VLOOKUP(A8,Schlußkurse!A$5:AU$105,39,FALSE)&gt;0,((VLOOKUP(A8,Aktien_im_Umlauf_splitbereinigt!A$3:AM$103,7,FALSE)-VLOOKUP(A8,Aktien_im_Umlauf_splitbereinigt!A$3:AM$103,6,FALSE))*VLOOKUP(A8,Schlußkurse!A$5:AU$105,39,FALSE))/VLOOKUP(A8,Aktien_im_Umlauf_splitbereinigt!A$3:AM$103,6,FALSE),0),0),0)</f>
        <v>0</v>
      </c>
      <c r="G8" s="97">
        <f>IF(VLOOKUP(A8,Aktien_im_Umlauf_splitbereinigt!A$3:AM$103,8,FALSE)&lt;&gt;"",IF(VLOOKUP(A8,Aktien_im_Umlauf_splitbereinigt!A$3:AM$103,7,FALSE)&lt;&gt;"",IF(VLOOKUP(A8,Schlußkurse!A$5:AU$105,40,FALSE)&gt;0,((VLOOKUP(A8,Aktien_im_Umlauf_splitbereinigt!A$3:AM$103,8,FALSE)-VLOOKUP(A8,Aktien_im_Umlauf_splitbereinigt!A$3:AM$103,7,FALSE))*VLOOKUP(A8,Schlußkurse!A$5:AU$105,40,FALSE))/VLOOKUP(A8,Aktien_im_Umlauf_splitbereinigt!A$3:AM$103,7,FALSE),0),0),0)</f>
        <v>0</v>
      </c>
      <c r="H8" s="97">
        <f>IF(VLOOKUP(A8,Aktien_im_Umlauf_splitbereinigt!A$3:AM$103,9,FALSE)&lt;&gt;"",IF(VLOOKUP(A8,Aktien_im_Umlauf_splitbereinigt!A$3:AM$103,8,FALSE)&lt;&gt;"",IF(VLOOKUP(A8,Schlußkurse!A$5:AU$105,41,FALSE)&gt;0,((VLOOKUP(A8,Aktien_im_Umlauf_splitbereinigt!A$3:AM$103,9,FALSE)-VLOOKUP(A8,Aktien_im_Umlauf_splitbereinigt!A$3:AM$103,8,FALSE))*VLOOKUP(A8,Schlußkurse!A$5:AU$105,41,FALSE))/VLOOKUP(A8,Aktien_im_Umlauf_splitbereinigt!A$3:AM$103,8,FALSE),0),0),0)</f>
        <v>0</v>
      </c>
      <c r="I8" s="97">
        <f>IF(VLOOKUP(A8,Aktien_im_Umlauf_splitbereinigt!A$3:AM$103,10,FALSE)&lt;&gt;"",IF(VLOOKUP(A8,Aktien_im_Umlauf_splitbereinigt!A$3:AM$103,9,FALSE)&lt;&gt;"",IF(VLOOKUP(A8,Schlußkurse!A$5:AU$105,42,FALSE)&gt;0,((VLOOKUP(A8,Aktien_im_Umlauf_splitbereinigt!A$3:AM$103,10,FALSE)-VLOOKUP(A8,Aktien_im_Umlauf_splitbereinigt!A$3:AM$103,9,FALSE))*VLOOKUP(A8,Schlußkurse!A$5:AU$105,42,FALSE))/VLOOKUP(A8,Aktien_im_Umlauf_splitbereinigt!A$3:AM$103,9,FALSE),0),0),0)</f>
        <v>0</v>
      </c>
      <c r="J8" s="97">
        <f>IF(VLOOKUP(A8,Aktien_im_Umlauf_splitbereinigt!A$3:AM$103,11,FALSE)&lt;&gt;"",IF(VLOOKUP(A8,Aktien_im_Umlauf_splitbereinigt!A$3:AM$103,10,FALSE)&lt;&gt;"",IF(VLOOKUP(A8,Schlußkurse!A$5:AU$105,43,FALSE)&gt;0,((VLOOKUP(A8,Aktien_im_Umlauf_splitbereinigt!A$3:AM$103,11,FALSE)-VLOOKUP(A8,Aktien_im_Umlauf_splitbereinigt!A$3:AM$103,10,FALSE))*VLOOKUP(A8,Schlußkurse!A$5:AU$105,43,FALSE))/VLOOKUP(A8,Aktien_im_Umlauf_splitbereinigt!A$3:AM$103,10,FALSE),0),0),0)</f>
        <v>0</v>
      </c>
      <c r="K8" s="97">
        <f>IF(VLOOKUP(A8,Aktien_im_Umlauf_splitbereinigt!A$3:AM$103,12,FALSE)&lt;&gt;"",IF(VLOOKUP(A8,Aktien_im_Umlauf_splitbereinigt!A$3:AM$103,11,FALSE)&lt;&gt;"",IF(VLOOKUP(A8,Schlußkurse!A$5:AU$105,44,FALSE)&gt;0,((VLOOKUP(A8,Aktien_im_Umlauf_splitbereinigt!A$3:AM$103,12,FALSE)-VLOOKUP(A8,Aktien_im_Umlauf_splitbereinigt!A$3:AM$103,11,FALSE))*VLOOKUP(A8,Schlußkurse!A$5:AU$105,44,FALSE))/VLOOKUP(A8,Aktien_im_Umlauf_splitbereinigt!A$3:AM$103,11,FALSE),0),0),0)</f>
        <v>0</v>
      </c>
      <c r="L8" s="97">
        <f>IF(VLOOKUP(A8,Aktien_im_Umlauf_splitbereinigt!A$3:AM$103,13,FALSE)&lt;&gt;"",IF(VLOOKUP(A8,Aktien_im_Umlauf_splitbereinigt!A$3:AM$103,12,FALSE)&lt;&gt;"",IF(VLOOKUP(A8,Schlußkurse!A$5:AU$105,45,FALSE)&gt;0,((VLOOKUP(A8,Aktien_im_Umlauf_splitbereinigt!A$3:AM$103,13,FALSE)-VLOOKUP(A8,Aktien_im_Umlauf_splitbereinigt!A$3:AM$103,12,FALSE))*VLOOKUP(A8,Schlußkurse!A$5:AU$105,45,FALSE))/VLOOKUP(A8,Aktien_im_Umlauf_splitbereinigt!A$3:AM$103,12,FALSE),0),0),0)</f>
        <v>0</v>
      </c>
      <c r="M8" s="97">
        <f>IF(VLOOKUP(A8,Aktien_im_Umlauf_splitbereinigt!A$3:AM$103,14,FALSE)&lt;&gt;"",IF(VLOOKUP(A8,Aktien_im_Umlauf_splitbereinigt!A$3:AM$103,13,FALSE)&lt;&gt;"",IF(VLOOKUP(A8,Schlußkurse!A$5:AU$105,46,FALSE)&gt;0,((VLOOKUP(A8,Aktien_im_Umlauf_splitbereinigt!A$3:AM$103,14,FALSE)-VLOOKUP(A8,Aktien_im_Umlauf_splitbereinigt!A$3:AM$103,13,FALSE))*VLOOKUP(A8,Schlußkurse!A$5:AU$105,46,FALSE))/VLOOKUP(A8,Aktien_im_Umlauf_splitbereinigt!A$3:AM$103,13,FALSE),0),0),0)</f>
        <v>0</v>
      </c>
      <c r="N8" s="13">
        <f>IF(C8&gt;0,IF(VLOOKUP(A8,Dividende_je_Aktie!A$3:AM$103,8,FALSE)&lt;&gt;"",C8+VLOOKUP(A8,Dividende_je_Aktie!A$3:AM$103,8,FALSE),C8),IF(VLOOKUP(A8,Dividende_je_Aktie!A$3:AM$103,8,FALSE)&lt;&gt;"",VLOOKUP(A8,Dividende_je_Aktie!A$3:AM$103,8,FALSE),""))</f>
        <v>0.73</v>
      </c>
      <c r="O8" s="13">
        <f>IF(D8&gt;0,IF(VLOOKUP(A8,Dividende_je_Aktie!A$3:AM$103,9,FALSE)&lt;&gt;"",D8+VLOOKUP(A8,Dividende_je_Aktie!A$3:AM$103,9,FALSE),D8),IF(VLOOKUP(A8,Dividende_je_Aktie!A$3:AM$103,9,FALSE)&lt;&gt;"",VLOOKUP(A8,Dividende_je_Aktie!A$3:AM$103,9,FALSE),""))</f>
        <v>0.7</v>
      </c>
      <c r="P8" s="13">
        <f>IF(E8&gt;0,IF(VLOOKUP(A8,Dividende_je_Aktie!A$3:AM$103,10,FALSE)&lt;&gt;"",E8+VLOOKUP(A8,Dividende_je_Aktie!A$3:AM$103,10,FALSE),E8),IF(VLOOKUP(A8,Dividende_je_Aktie!A$3:AM$103,10,FALSE)&lt;&gt;"",VLOOKUP(A8,Dividende_je_Aktie!A$3:AM$103,10,FALSE),""))</f>
        <v>0.7</v>
      </c>
      <c r="Q8" s="13">
        <f>IF(F8&gt;0,IF(VLOOKUP(A8,Dividende_je_Aktie!A$3:AM$103,11,FALSE)&lt;&gt;"",F8+VLOOKUP(A8,Dividende_je_Aktie!A$3:AM$103,11,FALSE),F8),IF(VLOOKUP(A8,Dividende_je_Aktie!A$3:AM$103,11,FALSE)&lt;&gt;"",VLOOKUP(A8,Dividende_je_Aktie!A$3:AM$103,11,FALSE),""))</f>
        <v>0.7</v>
      </c>
      <c r="R8" s="13">
        <f>IF(G8&gt;0,IF(VLOOKUP(A8,Dividende_je_Aktie!A$3:AM$103,12,FALSE)&lt;&gt;"",G8+VLOOKUP(A8,Dividende_je_Aktie!A$3:AM$103,12,FALSE),G8),IF(VLOOKUP(A8,Dividende_je_Aktie!A$3:AM$103,12,FALSE)&lt;&gt;"",VLOOKUP(A8,Dividende_je_Aktie!A$3:AM$103,12,FALSE),""))</f>
        <v>0.7</v>
      </c>
      <c r="S8" s="13">
        <f>IF(H8&gt;0,IF(VLOOKUP(A8,Dividende_je_Aktie!A$3:AM$103,13,FALSE)&lt;&gt;"",H8+VLOOKUP(A8,Dividende_je_Aktie!A$3:AM$103,13,FALSE),H8),IF(VLOOKUP(A8,Dividende_je_Aktie!A$3:AM$103,13,FALSE)&lt;&gt;"",VLOOKUP(A8,Dividende_je_Aktie!A$3:AM$103,13,FALSE),""))</f>
        <v>0.7</v>
      </c>
      <c r="T8" s="13">
        <f>IF(I8&gt;0,IF(VLOOKUP(A8,Dividende_je_Aktie!A$3:AM$103,14,FALSE)&lt;&gt;"",I8+VLOOKUP(A8,Dividende_je_Aktie!A$3:AM$103,14,FALSE),I8),IF(VLOOKUP(A8,Dividende_je_Aktie!A$3:AM$103,14,FALSE)&lt;&gt;"",VLOOKUP(A8,Dividende_je_Aktie!A$3:AM$103,14,FALSE),""))</f>
        <v>0.7</v>
      </c>
      <c r="U8" s="13">
        <f>IF(J8&gt;0,IF(VLOOKUP(A8,Dividende_je_Aktie!A$3:AM$103,15,FALSE)&lt;&gt;"",J8+VLOOKUP(A8,Dividende_je_Aktie!A$3:AM$103,15,FALSE),J8),IF(VLOOKUP(A8,Dividende_je_Aktie!A$3:AM$103,15,FALSE)&lt;&gt;"",VLOOKUP(A8,Dividende_je_Aktie!A$3:AM$103,15,FALSE),""))</f>
        <v>0.7</v>
      </c>
      <c r="V8" s="13">
        <f>IF(K8&gt;0,IF(VLOOKUP(A8,Dividende_je_Aktie!A$3:AM$103,16,FALSE)&lt;&gt;"",K8+VLOOKUP(A8,Dividende_je_Aktie!A$3:AM$103,16,FALSE),K8),IF(VLOOKUP(A8,Dividende_je_Aktie!A$3:AM$103,16,FALSE)&lt;&gt;"",VLOOKUP(A8,Dividende_je_Aktie!A$3:AM$103,16,FALSE),""))</f>
        <v>0.7</v>
      </c>
      <c r="W8" s="13">
        <f>IF(L8&gt;0,IF(VLOOKUP(A8,Dividende_je_Aktie!A$3:AM$103,17,FALSE)&lt;&gt;"",L8+VLOOKUP(A8,Dividende_je_Aktie!A$3:AM$103,17,FALSE),L8),IF(VLOOKUP(A8,Dividende_je_Aktie!A$3:AM$103,17,FALSE)&lt;&gt;"",VLOOKUP(A8,Dividende_je_Aktie!A$3:AM$103,17,FALSE),""))</f>
        <v>0.7</v>
      </c>
      <c r="X8" s="13">
        <f>IF(M8&gt;0,IF(VLOOKUP(A8,Dividende_je_Aktie!A$3:AM$103,18,FALSE)&lt;&gt;"",M8+VLOOKUP(A8,Dividende_je_Aktie!A$3:AM$103,18,FALSE),M8),IF(VLOOKUP(A8,Dividende_je_Aktie!A$3:AM$103,18,FALSE)&lt;&gt;"",VLOOKUP(A8,Dividende_je_Aktie!A$3:AM$103,18,FALSE),""))</f>
        <v>0.6</v>
      </c>
    </row>
    <row r="9" spans="1:24">
      <c r="A9" t="s">
        <v>10</v>
      </c>
      <c r="B9" t="s">
        <v>11</v>
      </c>
      <c r="C9" s="13">
        <f>IF(VLOOKUP(A9,Aktien_im_Umlauf_splitbereinigt!A$3:AM$103,4,FALSE)&lt;&gt;"",IF(VLOOKUP(A9,Aktien_im_Umlauf_splitbereinigt!A$3:AM$103,3,FALSE)&lt;&gt;"",IF(VLOOKUP(A9,Schlußkurse!A$5:AU$105,36,FALSE)&gt;0,((VLOOKUP(A9,Aktien_im_Umlauf_splitbereinigt!A$3:AM$103,4,FALSE)-VLOOKUP(A9,Aktien_im_Umlauf_splitbereinigt!A$3:AM$103,3,FALSE))*VLOOKUP(A9,Schlußkurse!A$5:AU$105,36,FALSE))/VLOOKUP(A9,Aktien_im_Umlauf_splitbereinigt!A$3:AM$103,3,FALSE),0),0),0)</f>
        <v>0</v>
      </c>
      <c r="D9" s="97">
        <f>IF(VLOOKUP(A9,Aktien_im_Umlauf_splitbereinigt!A$3:AM$103,5,FALSE)&lt;&gt;"",IF(VLOOKUP(A9,Aktien_im_Umlauf_splitbereinigt!A$3:AM$103,4,FALSE)&lt;&gt;"",IF(VLOOKUP(A9,Schlußkurse!A$5:AU$105,37,FALSE)&gt;0,((VLOOKUP(A9,Aktien_im_Umlauf_splitbereinigt!A$3:AM$103,5,FALSE)-VLOOKUP(A9,Aktien_im_Umlauf_splitbereinigt!A$3:AM$103,4,FALSE))*VLOOKUP(A9,Schlußkurse!A$5:AU$105,37,FALSE))/VLOOKUP(A9,Aktien_im_Umlauf_splitbereinigt!A$3:AM$103,4,FALSE),0),0),0)</f>
        <v>-4.2794723825226706E-2</v>
      </c>
      <c r="E9" s="97">
        <f>IF(VLOOKUP(A9,Aktien_im_Umlauf_splitbereinigt!A$3:AM$103,6,FALSE)&lt;&gt;"",IF(VLOOKUP(A9,Aktien_im_Umlauf_splitbereinigt!A$3:AM$103,5,FALSE)&lt;&gt;"",IF(VLOOKUP(A9,Schlußkurse!A$5:AU$105,38,FALSE)&gt;0,((VLOOKUP(A9,Aktien_im_Umlauf_splitbereinigt!A$3:AM$103,6,FALSE)-VLOOKUP(A9,Aktien_im_Umlauf_splitbereinigt!A$3:AM$103,5,FALSE))*VLOOKUP(A9,Schlußkurse!A$5:AU$105,38,FALSE))/VLOOKUP(A9,Aktien_im_Umlauf_splitbereinigt!A$3:AM$103,5,FALSE),0),0),0)</f>
        <v>-4.466556564822461E-2</v>
      </c>
      <c r="F9" s="97">
        <f>IF(VLOOKUP(A9,Aktien_im_Umlauf_splitbereinigt!A$3:AM$103,7,FALSE)&lt;&gt;"",IF(VLOOKUP(A9,Aktien_im_Umlauf_splitbereinigt!A$3:AM$103,6,FALSE)&lt;&gt;"",IF(VLOOKUP(A9,Schlußkurse!A$5:AU$105,39,FALSE)&gt;0,((VLOOKUP(A9,Aktien_im_Umlauf_splitbereinigt!A$3:AM$103,7,FALSE)-VLOOKUP(A9,Aktien_im_Umlauf_splitbereinigt!A$3:AM$103,6,FALSE))*VLOOKUP(A9,Schlußkurse!A$5:AU$105,39,FALSE))/VLOOKUP(A9,Aktien_im_Umlauf_splitbereinigt!A$3:AM$103,6,FALSE),0),0),0)</f>
        <v>0</v>
      </c>
      <c r="G9" s="97">
        <f>IF(VLOOKUP(A9,Aktien_im_Umlauf_splitbereinigt!A$3:AM$103,8,FALSE)&lt;&gt;"",IF(VLOOKUP(A9,Aktien_im_Umlauf_splitbereinigt!A$3:AM$103,7,FALSE)&lt;&gt;"",IF(VLOOKUP(A9,Schlußkurse!A$5:AU$105,40,FALSE)&gt;0,((VLOOKUP(A9,Aktien_im_Umlauf_splitbereinigt!A$3:AM$103,8,FALSE)-VLOOKUP(A9,Aktien_im_Umlauf_splitbereinigt!A$3:AM$103,7,FALSE))*VLOOKUP(A9,Schlußkurse!A$5:AU$105,40,FALSE))/VLOOKUP(A9,Aktien_im_Umlauf_splitbereinigt!A$3:AM$103,7,FALSE),0),0),0)</f>
        <v>0</v>
      </c>
      <c r="H9" s="97">
        <f>IF(VLOOKUP(A9,Aktien_im_Umlauf_splitbereinigt!A$3:AM$103,9,FALSE)&lt;&gt;"",IF(VLOOKUP(A9,Aktien_im_Umlauf_splitbereinigt!A$3:AM$103,8,FALSE)&lt;&gt;"",IF(VLOOKUP(A9,Schlußkurse!A$5:AU$105,41,FALSE)&gt;0,((VLOOKUP(A9,Aktien_im_Umlauf_splitbereinigt!A$3:AM$103,9,FALSE)-VLOOKUP(A9,Aktien_im_Umlauf_splitbereinigt!A$3:AM$103,8,FALSE))*VLOOKUP(A9,Schlußkurse!A$5:AU$105,41,FALSE))/VLOOKUP(A9,Aktien_im_Umlauf_splitbereinigt!A$3:AM$103,8,FALSE),0),0),0)</f>
        <v>0</v>
      </c>
      <c r="I9" s="97">
        <f>IF(VLOOKUP(A9,Aktien_im_Umlauf_splitbereinigt!A$3:AM$103,10,FALSE)&lt;&gt;"",IF(VLOOKUP(A9,Aktien_im_Umlauf_splitbereinigt!A$3:AM$103,9,FALSE)&lt;&gt;"",IF(VLOOKUP(A9,Schlußkurse!A$5:AU$105,42,FALSE)&gt;0,((VLOOKUP(A9,Aktien_im_Umlauf_splitbereinigt!A$3:AM$103,10,FALSE)-VLOOKUP(A9,Aktien_im_Umlauf_splitbereinigt!A$3:AM$103,9,FALSE))*VLOOKUP(A9,Schlußkurse!A$5:AU$105,42,FALSE))/VLOOKUP(A9,Aktien_im_Umlauf_splitbereinigt!A$3:AM$103,9,FALSE),0),0),0)</f>
        <v>0</v>
      </c>
      <c r="J9" s="97">
        <f>IF(VLOOKUP(A9,Aktien_im_Umlauf_splitbereinigt!A$3:AM$103,11,FALSE)&lt;&gt;"",IF(VLOOKUP(A9,Aktien_im_Umlauf_splitbereinigt!A$3:AM$103,10,FALSE)&lt;&gt;"",IF(VLOOKUP(A9,Schlußkurse!A$5:AU$105,43,FALSE)&gt;0,((VLOOKUP(A9,Aktien_im_Umlauf_splitbereinigt!A$3:AM$103,11,FALSE)-VLOOKUP(A9,Aktien_im_Umlauf_splitbereinigt!A$3:AM$103,10,FALSE))*VLOOKUP(A9,Schlußkurse!A$5:AU$105,43,FALSE))/VLOOKUP(A9,Aktien_im_Umlauf_splitbereinigt!A$3:AM$103,10,FALSE),0),0),0)</f>
        <v>0</v>
      </c>
      <c r="K9" s="97">
        <f>IF(VLOOKUP(A9,Aktien_im_Umlauf_splitbereinigt!A$3:AM$103,12,FALSE)&lt;&gt;"",IF(VLOOKUP(A9,Aktien_im_Umlauf_splitbereinigt!A$3:AM$103,11,FALSE)&lt;&gt;"",IF(VLOOKUP(A9,Schlußkurse!A$5:AU$105,44,FALSE)&gt;0,((VLOOKUP(A9,Aktien_im_Umlauf_splitbereinigt!A$3:AM$103,12,FALSE)-VLOOKUP(A9,Aktien_im_Umlauf_splitbereinigt!A$3:AM$103,11,FALSE))*VLOOKUP(A9,Schlußkurse!A$5:AU$105,44,FALSE))/VLOOKUP(A9,Aktien_im_Umlauf_splitbereinigt!A$3:AM$103,11,FALSE),0),0),0)</f>
        <v>-9.8511166253101735E-3</v>
      </c>
      <c r="L9" s="97">
        <f>IF(VLOOKUP(A9,Aktien_im_Umlauf_splitbereinigt!A$3:AM$103,13,FALSE)&lt;&gt;"",IF(VLOOKUP(A9,Aktien_im_Umlauf_splitbereinigt!A$3:AM$103,12,FALSE)&lt;&gt;"",IF(VLOOKUP(A9,Schlußkurse!A$5:AU$105,45,FALSE)&gt;0,((VLOOKUP(A9,Aktien_im_Umlauf_splitbereinigt!A$3:AM$103,13,FALSE)-VLOOKUP(A9,Aktien_im_Umlauf_splitbereinigt!A$3:AM$103,12,FALSE))*VLOOKUP(A9,Schlußkurse!A$5:AU$105,45,FALSE))/VLOOKUP(A9,Aktien_im_Umlauf_splitbereinigt!A$3:AM$103,12,FALSE),0),0),0)</f>
        <v>-0.11677152317880794</v>
      </c>
      <c r="M9" s="97">
        <f>IF(VLOOKUP(A9,Aktien_im_Umlauf_splitbereinigt!A$3:AM$103,14,FALSE)&lt;&gt;"",IF(VLOOKUP(A9,Aktien_im_Umlauf_splitbereinigt!A$3:AM$103,13,FALSE)&lt;&gt;"",IF(VLOOKUP(A9,Schlußkurse!A$5:AU$105,46,FALSE)&gt;0,((VLOOKUP(A9,Aktien_im_Umlauf_splitbereinigt!A$3:AM$103,14,FALSE)-VLOOKUP(A9,Aktien_im_Umlauf_splitbereinigt!A$3:AM$103,13,FALSE))*VLOOKUP(A9,Schlußkurse!A$5:AU$105,46,FALSE))/VLOOKUP(A9,Aktien_im_Umlauf_splitbereinigt!A$3:AM$103,13,FALSE),0),0),0)</f>
        <v>-0.17101497504159735</v>
      </c>
      <c r="N9" s="13">
        <f>IF(C9&gt;0,IF(VLOOKUP(A9,Dividende_je_Aktie!A$3:AM$103,8,FALSE)&lt;&gt;"",C9+VLOOKUP(A9,Dividende_je_Aktie!A$3:AM$103,8,FALSE),C9),IF(VLOOKUP(A9,Dividende_je_Aktie!A$3:AM$103,8,FALSE)&lt;&gt;"",VLOOKUP(A9,Dividende_je_Aktie!A$3:AM$103,8,FALSE),""))</f>
        <v>0.96</v>
      </c>
      <c r="O9" s="13">
        <f>IF(D9&gt;0,IF(VLOOKUP(A9,Dividende_je_Aktie!A$3:AM$103,9,FALSE)&lt;&gt;"",D9+VLOOKUP(A9,Dividende_je_Aktie!A$3:AM$103,9,FALSE),D9),IF(VLOOKUP(A9,Dividende_je_Aktie!A$3:AM$103,9,FALSE)&lt;&gt;"",VLOOKUP(A9,Dividende_je_Aktie!A$3:AM$103,9,FALSE),""))</f>
        <v>0.85</v>
      </c>
      <c r="P9" s="13">
        <f>IF(E9&gt;0,IF(VLOOKUP(A9,Dividende_je_Aktie!A$3:AM$103,10,FALSE)&lt;&gt;"",E9+VLOOKUP(A9,Dividende_je_Aktie!A$3:AM$103,10,FALSE),E9),IF(VLOOKUP(A9,Dividende_je_Aktie!A$3:AM$103,10,FALSE)&lt;&gt;"",VLOOKUP(A9,Dividende_je_Aktie!A$3:AM$103,10,FALSE),""))</f>
        <v>0.85</v>
      </c>
      <c r="Q9" s="13">
        <f>IF(F9&gt;0,IF(VLOOKUP(A9,Dividende_je_Aktie!A$3:AM$103,11,FALSE)&lt;&gt;"",F9+VLOOKUP(A9,Dividende_je_Aktie!A$3:AM$103,11,FALSE),F9),IF(VLOOKUP(A9,Dividende_je_Aktie!A$3:AM$103,11,FALSE)&lt;&gt;"",VLOOKUP(A9,Dividende_je_Aktie!A$3:AM$103,11,FALSE),""))</f>
        <v>0.8</v>
      </c>
      <c r="R9" s="13">
        <f>IF(G9&gt;0,IF(VLOOKUP(A9,Dividende_je_Aktie!A$3:AM$103,12,FALSE)&lt;&gt;"",G9+VLOOKUP(A9,Dividende_je_Aktie!A$3:AM$103,12,FALSE),G9),IF(VLOOKUP(A9,Dividende_je_Aktie!A$3:AM$103,12,FALSE)&lt;&gt;"",VLOOKUP(A9,Dividende_je_Aktie!A$3:AM$103,12,FALSE),""))</f>
        <v>0.7</v>
      </c>
      <c r="S9" s="13">
        <f>IF(H9&gt;0,IF(VLOOKUP(A9,Dividende_je_Aktie!A$3:AM$103,13,FALSE)&lt;&gt;"",H9+VLOOKUP(A9,Dividende_je_Aktie!A$3:AM$103,13,FALSE),H9),IF(VLOOKUP(A9,Dividende_je_Aktie!A$3:AM$103,13,FALSE)&lt;&gt;"",VLOOKUP(A9,Dividende_je_Aktie!A$3:AM$103,13,FALSE),""))</f>
        <v>0.7</v>
      </c>
      <c r="T9" s="13">
        <f>IF(I9&gt;0,IF(VLOOKUP(A9,Dividende_je_Aktie!A$3:AM$103,14,FALSE)&lt;&gt;"",I9+VLOOKUP(A9,Dividende_je_Aktie!A$3:AM$103,14,FALSE),I9),IF(VLOOKUP(A9,Dividende_je_Aktie!A$3:AM$103,14,FALSE)&lt;&gt;"",VLOOKUP(A9,Dividende_je_Aktie!A$3:AM$103,14,FALSE),""))</f>
        <v>0.65</v>
      </c>
      <c r="U9" s="13">
        <f>IF(J9&gt;0,IF(VLOOKUP(A9,Dividende_je_Aktie!A$3:AM$103,15,FALSE)&lt;&gt;"",J9+VLOOKUP(A9,Dividende_je_Aktie!A$3:AM$103,15,FALSE),J9),IF(VLOOKUP(A9,Dividende_je_Aktie!A$3:AM$103,15,FALSE)&lt;&gt;"",VLOOKUP(A9,Dividende_je_Aktie!A$3:AM$103,15,FALSE),""))</f>
        <v>0.6</v>
      </c>
      <c r="V9" s="13">
        <f>IF(K9&gt;0,IF(VLOOKUP(A9,Dividende_je_Aktie!A$3:AM$103,16,FALSE)&lt;&gt;"",K9+VLOOKUP(A9,Dividende_je_Aktie!A$3:AM$103,16,FALSE),K9),IF(VLOOKUP(A9,Dividende_je_Aktie!A$3:AM$103,16,FALSE)&lt;&gt;"",VLOOKUP(A9,Dividende_je_Aktie!A$3:AM$103,16,FALSE),""))</f>
        <v>0.6</v>
      </c>
      <c r="W9" s="13">
        <f>IF(L9&gt;0,IF(VLOOKUP(A9,Dividende_je_Aktie!A$3:AM$103,17,FALSE)&lt;&gt;"",L9+VLOOKUP(A9,Dividende_je_Aktie!A$3:AM$103,17,FALSE),L9),IF(VLOOKUP(A9,Dividende_je_Aktie!A$3:AM$103,17,FALSE)&lt;&gt;"",VLOOKUP(A9,Dividende_je_Aktie!A$3:AM$103,17,FALSE),""))</f>
        <v>0.9</v>
      </c>
      <c r="X9" s="13">
        <f>IF(M9&gt;0,IF(VLOOKUP(A9,Dividende_je_Aktie!A$3:AM$103,18,FALSE)&lt;&gt;"",M9+VLOOKUP(A9,Dividende_je_Aktie!A$3:AM$103,18,FALSE),M9),IF(VLOOKUP(A9,Dividende_je_Aktie!A$3:AM$103,18,FALSE)&lt;&gt;"",VLOOKUP(A9,Dividende_je_Aktie!A$3:AM$103,18,FALSE),""))</f>
        <v>0.75</v>
      </c>
    </row>
    <row r="10" spans="1:24">
      <c r="A10" t="s">
        <v>12</v>
      </c>
      <c r="B10" t="s">
        <v>13</v>
      </c>
      <c r="C10" s="13">
        <f>IF(VLOOKUP(A10,Aktien_im_Umlauf_splitbereinigt!A$3:AM$103,4,FALSE)&lt;&gt;"",IF(VLOOKUP(A10,Aktien_im_Umlauf_splitbereinigt!A$3:AM$103,3,FALSE)&lt;&gt;"",IF(VLOOKUP(A10,Schlußkurse!A$5:AU$105,36,FALSE)&gt;0,((VLOOKUP(A10,Aktien_im_Umlauf_splitbereinigt!A$3:AM$103,4,FALSE)-VLOOKUP(A10,Aktien_im_Umlauf_splitbereinigt!A$3:AM$103,3,FALSE))*VLOOKUP(A10,Schlußkurse!A$5:AU$105,36,FALSE))/VLOOKUP(A10,Aktien_im_Umlauf_splitbereinigt!A$3:AM$103,3,FALSE),0),0),0)</f>
        <v>0</v>
      </c>
      <c r="D10" s="97">
        <f>IF(VLOOKUP(A10,Aktien_im_Umlauf_splitbereinigt!A$3:AM$103,5,FALSE)&lt;&gt;"",IF(VLOOKUP(A10,Aktien_im_Umlauf_splitbereinigt!A$3:AM$103,4,FALSE)&lt;&gt;"",IF(VLOOKUP(A10,Schlußkurse!A$5:AU$105,37,FALSE)&gt;0,((VLOOKUP(A10,Aktien_im_Umlauf_splitbereinigt!A$3:AM$103,5,FALSE)-VLOOKUP(A10,Aktien_im_Umlauf_splitbereinigt!A$3:AM$103,4,FALSE))*VLOOKUP(A10,Schlußkurse!A$5:AU$105,37,FALSE))/VLOOKUP(A10,Aktien_im_Umlauf_splitbereinigt!A$3:AM$103,4,FALSE),0),0),0)</f>
        <v>-0.2572151074451921</v>
      </c>
      <c r="E10" s="97">
        <f>IF(VLOOKUP(A10,Aktien_im_Umlauf_splitbereinigt!A$3:AM$103,6,FALSE)&lt;&gt;"",IF(VLOOKUP(A10,Aktien_im_Umlauf_splitbereinigt!A$3:AM$103,5,FALSE)&lt;&gt;"",IF(VLOOKUP(A10,Schlußkurse!A$5:AU$105,38,FALSE)&gt;0,((VLOOKUP(A10,Aktien_im_Umlauf_splitbereinigt!A$3:AM$103,6,FALSE)-VLOOKUP(A10,Aktien_im_Umlauf_splitbereinigt!A$3:AM$103,5,FALSE))*VLOOKUP(A10,Schlußkurse!A$5:AU$105,38,FALSE))/VLOOKUP(A10,Aktien_im_Umlauf_splitbereinigt!A$3:AM$103,5,FALSE),0),0),0)</f>
        <v>-0.24829144620811289</v>
      </c>
      <c r="F10" s="97">
        <f>IF(VLOOKUP(A10,Aktien_im_Umlauf_splitbereinigt!A$3:AM$103,7,FALSE)&lt;&gt;"",IF(VLOOKUP(A10,Aktien_im_Umlauf_splitbereinigt!A$3:AM$103,6,FALSE)&lt;&gt;"",IF(VLOOKUP(A10,Schlußkurse!A$5:AU$105,39,FALSE)&gt;0,((VLOOKUP(A10,Aktien_im_Umlauf_splitbereinigt!A$3:AM$103,7,FALSE)-VLOOKUP(A10,Aktien_im_Umlauf_splitbereinigt!A$3:AM$103,6,FALSE))*VLOOKUP(A10,Schlußkurse!A$5:AU$105,39,FALSE))/VLOOKUP(A10,Aktien_im_Umlauf_splitbereinigt!A$3:AM$103,6,FALSE),0),0),0)</f>
        <v>-0.36304201303077954</v>
      </c>
      <c r="G10" s="97">
        <f>IF(VLOOKUP(A10,Aktien_im_Umlauf_splitbereinigt!A$3:AM$103,8,FALSE)&lt;&gt;"",IF(VLOOKUP(A10,Aktien_im_Umlauf_splitbereinigt!A$3:AM$103,7,FALSE)&lt;&gt;"",IF(VLOOKUP(A10,Schlußkurse!A$5:AU$105,40,FALSE)&gt;0,((VLOOKUP(A10,Aktien_im_Umlauf_splitbereinigt!A$3:AM$103,8,FALSE)-VLOOKUP(A10,Aktien_im_Umlauf_splitbereinigt!A$3:AM$103,7,FALSE))*VLOOKUP(A10,Schlußkurse!A$5:AU$105,40,FALSE))/VLOOKUP(A10,Aktien_im_Umlauf_splitbereinigt!A$3:AM$103,7,FALSE),0),0),0)</f>
        <v>0</v>
      </c>
      <c r="H10" s="97">
        <f>IF(VLOOKUP(A10,Aktien_im_Umlauf_splitbereinigt!A$3:AM$103,9,FALSE)&lt;&gt;"",IF(VLOOKUP(A10,Aktien_im_Umlauf_splitbereinigt!A$3:AM$103,8,FALSE)&lt;&gt;"",IF(VLOOKUP(A10,Schlußkurse!A$5:AU$105,41,FALSE)&gt;0,((VLOOKUP(A10,Aktien_im_Umlauf_splitbereinigt!A$3:AM$103,9,FALSE)-VLOOKUP(A10,Aktien_im_Umlauf_splitbereinigt!A$3:AM$103,8,FALSE))*VLOOKUP(A10,Schlußkurse!A$5:AU$105,41,FALSE))/VLOOKUP(A10,Aktien_im_Umlauf_splitbereinigt!A$3:AM$103,8,FALSE),0),0),0)</f>
        <v>0</v>
      </c>
      <c r="I10" s="97">
        <f>IF(VLOOKUP(A10,Aktien_im_Umlauf_splitbereinigt!A$3:AM$103,10,FALSE)&lt;&gt;"",IF(VLOOKUP(A10,Aktien_im_Umlauf_splitbereinigt!A$3:AM$103,9,FALSE)&lt;&gt;"",IF(VLOOKUP(A10,Schlußkurse!A$5:AU$105,42,FALSE)&gt;0,((VLOOKUP(A10,Aktien_im_Umlauf_splitbereinigt!A$3:AM$103,10,FALSE)-VLOOKUP(A10,Aktien_im_Umlauf_splitbereinigt!A$3:AM$103,9,FALSE))*VLOOKUP(A10,Schlußkurse!A$5:AU$105,42,FALSE))/VLOOKUP(A10,Aktien_im_Umlauf_splitbereinigt!A$3:AM$103,9,FALSE),0),0),0)</f>
        <v>8.937745892154593E-2</v>
      </c>
      <c r="J10" s="97">
        <f>IF(VLOOKUP(A10,Aktien_im_Umlauf_splitbereinigt!A$3:AM$103,11,FALSE)&lt;&gt;"",IF(VLOOKUP(A10,Aktien_im_Umlauf_splitbereinigt!A$3:AM$103,10,FALSE)&lt;&gt;"",IF(VLOOKUP(A10,Schlußkurse!A$5:AU$105,43,FALSE)&gt;0,((VLOOKUP(A10,Aktien_im_Umlauf_splitbereinigt!A$3:AM$103,11,FALSE)-VLOOKUP(A10,Aktien_im_Umlauf_splitbereinigt!A$3:AM$103,10,FALSE))*VLOOKUP(A10,Schlußkurse!A$5:AU$105,43,FALSE))/VLOOKUP(A10,Aktien_im_Umlauf_splitbereinigt!A$3:AM$103,10,FALSE),0),0),0)</f>
        <v>0</v>
      </c>
      <c r="K10" s="97">
        <f>IF(VLOOKUP(A10,Aktien_im_Umlauf_splitbereinigt!A$3:AM$103,12,FALSE)&lt;&gt;"",IF(VLOOKUP(A10,Aktien_im_Umlauf_splitbereinigt!A$3:AM$103,11,FALSE)&lt;&gt;"",IF(VLOOKUP(A10,Schlußkurse!A$5:AU$105,44,FALSE)&gt;0,((VLOOKUP(A10,Aktien_im_Umlauf_splitbereinigt!A$3:AM$103,12,FALSE)-VLOOKUP(A10,Aktien_im_Umlauf_splitbereinigt!A$3:AM$103,11,FALSE))*VLOOKUP(A10,Schlußkurse!A$5:AU$105,44,FALSE))/VLOOKUP(A10,Aktien_im_Umlauf_splitbereinigt!A$3:AM$103,11,FALSE),0),0),0)</f>
        <v>0</v>
      </c>
      <c r="L10" s="97">
        <f>IF(VLOOKUP(A10,Aktien_im_Umlauf_splitbereinigt!A$3:AM$103,13,FALSE)&lt;&gt;"",IF(VLOOKUP(A10,Aktien_im_Umlauf_splitbereinigt!A$3:AM$103,12,FALSE)&lt;&gt;"",IF(VLOOKUP(A10,Schlußkurse!A$5:AU$105,45,FALSE)&gt;0,((VLOOKUP(A10,Aktien_im_Umlauf_splitbereinigt!A$3:AM$103,13,FALSE)-VLOOKUP(A10,Aktien_im_Umlauf_splitbereinigt!A$3:AM$103,12,FALSE))*VLOOKUP(A10,Schlußkurse!A$5:AU$105,45,FALSE))/VLOOKUP(A10,Aktien_im_Umlauf_splitbereinigt!A$3:AM$103,12,FALSE),0),0),0)</f>
        <v>0</v>
      </c>
      <c r="M10" s="97">
        <f>IF(VLOOKUP(A10,Aktien_im_Umlauf_splitbereinigt!A$3:AM$103,14,FALSE)&lt;&gt;"",IF(VLOOKUP(A10,Aktien_im_Umlauf_splitbereinigt!A$3:AM$103,13,FALSE)&lt;&gt;"",IF(VLOOKUP(A10,Schlußkurse!A$5:AU$105,46,FALSE)&gt;0,((VLOOKUP(A10,Aktien_im_Umlauf_splitbereinigt!A$3:AM$103,14,FALSE)-VLOOKUP(A10,Aktien_im_Umlauf_splitbereinigt!A$3:AM$103,13,FALSE))*VLOOKUP(A10,Schlußkurse!A$5:AU$105,46,FALSE))/VLOOKUP(A10,Aktien_im_Umlauf_splitbereinigt!A$3:AM$103,13,FALSE),0),0),0)</f>
        <v>-0.51729419857830772</v>
      </c>
      <c r="N10" s="13">
        <f>IF(C10&gt;0,IF(VLOOKUP(A10,Dividende_je_Aktie!A$3:AM$103,8,FALSE)&lt;&gt;"",C10+VLOOKUP(A10,Dividende_je_Aktie!A$3:AM$103,8,FALSE),C10),IF(VLOOKUP(A10,Dividende_je_Aktie!A$3:AM$103,8,FALSE)&lt;&gt;"",VLOOKUP(A10,Dividende_je_Aktie!A$3:AM$103,8,FALSE),""))</f>
        <v>0.59</v>
      </c>
      <c r="O10" s="13">
        <f>IF(D10&gt;0,IF(VLOOKUP(A10,Dividende_je_Aktie!A$3:AM$103,9,FALSE)&lt;&gt;"",D10+VLOOKUP(A10,Dividende_je_Aktie!A$3:AM$103,9,FALSE),D10),IF(VLOOKUP(A10,Dividende_je_Aktie!A$3:AM$103,9,FALSE)&lt;&gt;"",VLOOKUP(A10,Dividende_je_Aktie!A$3:AM$103,9,FALSE),""))</f>
        <v>0.55000000000000004</v>
      </c>
      <c r="P10" s="13">
        <f>IF(E10&gt;0,IF(VLOOKUP(A10,Dividende_je_Aktie!A$3:AM$103,10,FALSE)&lt;&gt;"",E10+VLOOKUP(A10,Dividende_je_Aktie!A$3:AM$103,10,FALSE),E10),IF(VLOOKUP(A10,Dividende_je_Aktie!A$3:AM$103,10,FALSE)&lt;&gt;"",VLOOKUP(A10,Dividende_je_Aktie!A$3:AM$103,10,FALSE),""))</f>
        <v>0.5</v>
      </c>
      <c r="Q10" s="13">
        <f>IF(F10&gt;0,IF(VLOOKUP(A10,Dividende_je_Aktie!A$3:AM$103,11,FALSE)&lt;&gt;"",F10+VLOOKUP(A10,Dividende_je_Aktie!A$3:AM$103,11,FALSE),F10),IF(VLOOKUP(A10,Dividende_je_Aktie!A$3:AM$103,11,FALSE)&lt;&gt;"",VLOOKUP(A10,Dividende_je_Aktie!A$3:AM$103,11,FALSE),""))</f>
        <v>0.5</v>
      </c>
      <c r="R10" s="13">
        <f>IF(G10&gt;0,IF(VLOOKUP(A10,Dividende_je_Aktie!A$3:AM$103,12,FALSE)&lt;&gt;"",G10+VLOOKUP(A10,Dividende_je_Aktie!A$3:AM$103,12,FALSE),G10),IF(VLOOKUP(A10,Dividende_je_Aktie!A$3:AM$103,12,FALSE)&lt;&gt;"",VLOOKUP(A10,Dividende_je_Aktie!A$3:AM$103,12,FALSE),""))</f>
        <v>0.7</v>
      </c>
      <c r="S10" s="13">
        <f>IF(H10&gt;0,IF(VLOOKUP(A10,Dividende_je_Aktie!A$3:AM$103,13,FALSE)&lt;&gt;"",H10+VLOOKUP(A10,Dividende_je_Aktie!A$3:AM$103,13,FALSE),H10),IF(VLOOKUP(A10,Dividende_je_Aktie!A$3:AM$103,13,FALSE)&lt;&gt;"",VLOOKUP(A10,Dividende_je_Aktie!A$3:AM$103,13,FALSE),""))</f>
        <v>0.7</v>
      </c>
      <c r="T10" s="13">
        <f>IF(I10&gt;0,IF(VLOOKUP(A10,Dividende_je_Aktie!A$3:AM$103,14,FALSE)&lt;&gt;"",I10+VLOOKUP(A10,Dividende_je_Aktie!A$3:AM$103,14,FALSE),I10),IF(VLOOKUP(A10,Dividende_je_Aktie!A$3:AM$103,14,FALSE)&lt;&gt;"",VLOOKUP(A10,Dividende_je_Aktie!A$3:AM$103,14,FALSE),""))</f>
        <v>0.78937745892154587</v>
      </c>
      <c r="U10" s="13">
        <f>IF(J10&gt;0,IF(VLOOKUP(A10,Dividende_je_Aktie!A$3:AM$103,15,FALSE)&lt;&gt;"",J10+VLOOKUP(A10,Dividende_je_Aktie!A$3:AM$103,15,FALSE),J10),IF(VLOOKUP(A10,Dividende_je_Aktie!A$3:AM$103,15,FALSE)&lt;&gt;"",VLOOKUP(A10,Dividende_je_Aktie!A$3:AM$103,15,FALSE),""))</f>
        <v>0.78</v>
      </c>
      <c r="V10" s="13">
        <f>IF(K10&gt;0,IF(VLOOKUP(A10,Dividende_je_Aktie!A$3:AM$103,16,FALSE)&lt;&gt;"",K10+VLOOKUP(A10,Dividende_je_Aktie!A$3:AM$103,16,FALSE),K10),IF(VLOOKUP(A10,Dividende_je_Aktie!A$3:AM$103,16,FALSE)&lt;&gt;"",VLOOKUP(A10,Dividende_je_Aktie!A$3:AM$103,16,FALSE),""))</f>
        <v>0.78</v>
      </c>
      <c r="W10" s="13">
        <f>IF(L10&gt;0,IF(VLOOKUP(A10,Dividende_je_Aktie!A$3:AM$103,17,FALSE)&lt;&gt;"",L10+VLOOKUP(A10,Dividende_je_Aktie!A$3:AM$103,17,FALSE),L10),IF(VLOOKUP(A10,Dividende_je_Aktie!A$3:AM$103,17,FALSE)&lt;&gt;"",VLOOKUP(A10,Dividende_je_Aktie!A$3:AM$103,17,FALSE),""))</f>
        <v>0.78</v>
      </c>
      <c r="X10" s="13">
        <f>IF(M10&gt;0,IF(VLOOKUP(A10,Dividende_je_Aktie!A$3:AM$103,18,FALSE)&lt;&gt;"",M10+VLOOKUP(A10,Dividende_je_Aktie!A$3:AM$103,18,FALSE),M10),IF(VLOOKUP(A10,Dividende_je_Aktie!A$3:AM$103,18,FALSE)&lt;&gt;"",VLOOKUP(A10,Dividende_je_Aktie!A$3:AM$103,18,FALSE),""))</f>
        <v>0.72</v>
      </c>
    </row>
    <row r="11" spans="1:24">
      <c r="A11" s="52" t="s">
        <v>312</v>
      </c>
      <c r="B11" s="52" t="s">
        <v>313</v>
      </c>
      <c r="C11" s="13">
        <f>IF(VLOOKUP(A11,Aktien_im_Umlauf_splitbereinigt!A$3:AM$103,4,FALSE)&lt;&gt;"",IF(VLOOKUP(A11,Aktien_im_Umlauf_splitbereinigt!A$3:AM$103,3,FALSE)&lt;&gt;"",IF(VLOOKUP(A11,Schlußkurse!A$5:AU$105,36,FALSE)&gt;0,((VLOOKUP(A11,Aktien_im_Umlauf_splitbereinigt!A$3:AM$103,4,FALSE)-VLOOKUP(A11,Aktien_im_Umlauf_splitbereinigt!A$3:AM$103,3,FALSE))*VLOOKUP(A11,Schlußkurse!A$5:AU$105,36,FALSE))/VLOOKUP(A11,Aktien_im_Umlauf_splitbereinigt!A$3:AM$103,3,FALSE),0),0),0)</f>
        <v>0</v>
      </c>
      <c r="D11" s="97">
        <f>IF(VLOOKUP(A11,Aktien_im_Umlauf_splitbereinigt!A$3:AM$103,5,FALSE)&lt;&gt;"",IF(VLOOKUP(A11,Aktien_im_Umlauf_splitbereinigt!A$3:AM$103,4,FALSE)&lt;&gt;"",IF(VLOOKUP(A11,Schlußkurse!A$5:AU$105,37,FALSE)&gt;0,((VLOOKUP(A11,Aktien_im_Umlauf_splitbereinigt!A$3:AM$103,5,FALSE)-VLOOKUP(A11,Aktien_im_Umlauf_splitbereinigt!A$3:AM$103,4,FALSE))*VLOOKUP(A11,Schlußkurse!A$5:AU$105,37,FALSE))/VLOOKUP(A11,Aktien_im_Umlauf_splitbereinigt!A$3:AM$103,4,FALSE),0),0),0)</f>
        <v>-0.50771260513441252</v>
      </c>
      <c r="E11" s="97">
        <f>IF(VLOOKUP(A11,Aktien_im_Umlauf_splitbereinigt!A$3:AM$103,6,FALSE)&lt;&gt;"",IF(VLOOKUP(A11,Aktien_im_Umlauf_splitbereinigt!A$3:AM$103,5,FALSE)&lt;&gt;"",IF(VLOOKUP(A11,Schlußkurse!A$5:AU$105,38,FALSE)&gt;0,((VLOOKUP(A11,Aktien_im_Umlauf_splitbereinigt!A$3:AM$103,6,FALSE)-VLOOKUP(A11,Aktien_im_Umlauf_splitbereinigt!A$3:AM$103,5,FALSE))*VLOOKUP(A11,Schlußkurse!A$5:AU$105,38,FALSE))/VLOOKUP(A11,Aktien_im_Umlauf_splitbereinigt!A$3:AM$103,5,FALSE),0),0),0)</f>
        <v>-0.19526526692888124</v>
      </c>
      <c r="F11" s="97">
        <f>IF(VLOOKUP(A11,Aktien_im_Umlauf_splitbereinigt!A$3:AM$103,7,FALSE)&lt;&gt;"",IF(VLOOKUP(A11,Aktien_im_Umlauf_splitbereinigt!A$3:AM$103,6,FALSE)&lt;&gt;"",IF(VLOOKUP(A11,Schlußkurse!A$5:AU$105,39,FALSE)&gt;0,((VLOOKUP(A11,Aktien_im_Umlauf_splitbereinigt!A$3:AM$103,7,FALSE)-VLOOKUP(A11,Aktien_im_Umlauf_splitbereinigt!A$3:AM$103,6,FALSE))*VLOOKUP(A11,Schlußkurse!A$5:AU$105,39,FALSE))/VLOOKUP(A11,Aktien_im_Umlauf_splitbereinigt!A$3:AM$103,6,FALSE),0),0),0)</f>
        <v>-0.31190917860058531</v>
      </c>
      <c r="G11" s="97">
        <f>IF(VLOOKUP(A11,Aktien_im_Umlauf_splitbereinigt!A$3:AM$103,8,FALSE)&lt;&gt;"",IF(VLOOKUP(A11,Aktien_im_Umlauf_splitbereinigt!A$3:AM$103,7,FALSE)&lt;&gt;"",IF(VLOOKUP(A11,Schlußkurse!A$5:AU$105,40,FALSE)&gt;0,((VLOOKUP(A11,Aktien_im_Umlauf_splitbereinigt!A$3:AM$103,8,FALSE)-VLOOKUP(A11,Aktien_im_Umlauf_splitbereinigt!A$3:AM$103,7,FALSE))*VLOOKUP(A11,Schlußkurse!A$5:AU$105,40,FALSE))/VLOOKUP(A11,Aktien_im_Umlauf_splitbereinigt!A$3:AM$103,7,FALSE),0),0),0)</f>
        <v>-2.4359164640077808</v>
      </c>
      <c r="H11" s="97">
        <f>IF(VLOOKUP(A11,Aktien_im_Umlauf_splitbereinigt!A$3:AM$103,9,FALSE)&lt;&gt;"",IF(VLOOKUP(A11,Aktien_im_Umlauf_splitbereinigt!A$3:AM$103,8,FALSE)&lt;&gt;"",IF(VLOOKUP(A11,Schlußkurse!A$5:AU$105,41,FALSE)&gt;0,((VLOOKUP(A11,Aktien_im_Umlauf_splitbereinigt!A$3:AM$103,9,FALSE)-VLOOKUP(A11,Aktien_im_Umlauf_splitbereinigt!A$3:AM$103,8,FALSE))*VLOOKUP(A11,Schlußkurse!A$5:AU$105,41,FALSE))/VLOOKUP(A11,Aktien_im_Umlauf_splitbereinigt!A$3:AM$103,8,FALSE),0),0),0)</f>
        <v>-0.1075269179718599</v>
      </c>
      <c r="I11" s="97">
        <f>IF(VLOOKUP(A11,Aktien_im_Umlauf_splitbereinigt!A$3:AM$103,10,FALSE)&lt;&gt;"",IF(VLOOKUP(A11,Aktien_im_Umlauf_splitbereinigt!A$3:AM$103,9,FALSE)&lt;&gt;"",IF(VLOOKUP(A11,Schlußkurse!A$5:AU$105,42,FALSE)&gt;0,((VLOOKUP(A11,Aktien_im_Umlauf_splitbereinigt!A$3:AM$103,10,FALSE)-VLOOKUP(A11,Aktien_im_Umlauf_splitbereinigt!A$3:AM$103,9,FALSE))*VLOOKUP(A11,Schlußkurse!A$5:AU$105,42,FALSE))/VLOOKUP(A11,Aktien_im_Umlauf_splitbereinigt!A$3:AM$103,9,FALSE),0),0),0)</f>
        <v>-0.167333599999999</v>
      </c>
      <c r="J11" s="97">
        <f>IF(VLOOKUP(A11,Aktien_im_Umlauf_splitbereinigt!A$3:AM$103,11,FALSE)&lt;&gt;"",IF(VLOOKUP(A11,Aktien_im_Umlauf_splitbereinigt!A$3:AM$103,10,FALSE)&lt;&gt;"",IF(VLOOKUP(A11,Schlußkurse!A$5:AU$105,43,FALSE)&gt;0,((VLOOKUP(A11,Aktien_im_Umlauf_splitbereinigt!A$3:AM$103,11,FALSE)-VLOOKUP(A11,Aktien_im_Umlauf_splitbereinigt!A$3:AM$103,10,FALSE))*VLOOKUP(A11,Schlußkurse!A$5:AU$105,43,FALSE))/VLOOKUP(A11,Aktien_im_Umlauf_splitbereinigt!A$3:AM$103,10,FALSE),0),0),0)</f>
        <v>0</v>
      </c>
      <c r="K11" s="97">
        <f>IF(VLOOKUP(A11,Aktien_im_Umlauf_splitbereinigt!A$3:AM$103,12,FALSE)&lt;&gt;"",IF(VLOOKUP(A11,Aktien_im_Umlauf_splitbereinigt!A$3:AM$103,11,FALSE)&lt;&gt;"",IF(VLOOKUP(A11,Schlußkurse!A$5:AU$105,44,FALSE)&gt;0,((VLOOKUP(A11,Aktien_im_Umlauf_splitbereinigt!A$3:AM$103,12,FALSE)-VLOOKUP(A11,Aktien_im_Umlauf_splitbereinigt!A$3:AM$103,11,FALSE))*VLOOKUP(A11,Schlußkurse!A$5:AU$105,44,FALSE))/VLOOKUP(A11,Aktien_im_Umlauf_splitbereinigt!A$3:AM$103,11,FALSE),0),0),0)</f>
        <v>-0.44950496277915636</v>
      </c>
      <c r="L11" s="97">
        <f>IF(VLOOKUP(A11,Aktien_im_Umlauf_splitbereinigt!A$3:AM$103,13,FALSE)&lt;&gt;"",IF(VLOOKUP(A11,Aktien_im_Umlauf_splitbereinigt!A$3:AM$103,12,FALSE)&lt;&gt;"",IF(VLOOKUP(A11,Schlußkurse!A$5:AU$105,45,FALSE)&gt;0,((VLOOKUP(A11,Aktien_im_Umlauf_splitbereinigt!A$3:AM$103,13,FALSE)-VLOOKUP(A11,Aktien_im_Umlauf_splitbereinigt!A$3:AM$103,12,FALSE))*VLOOKUP(A11,Schlußkurse!A$5:AU$105,45,FALSE))/VLOOKUP(A11,Aktien_im_Umlauf_splitbereinigt!A$3:AM$103,12,FALSE),0),0),0)</f>
        <v>-9.6220103092784864E-2</v>
      </c>
      <c r="M11" s="97">
        <f>IF(VLOOKUP(A11,Aktien_im_Umlauf_splitbereinigt!A$3:AM$103,14,FALSE)&lt;&gt;"",IF(VLOOKUP(A11,Aktien_im_Umlauf_splitbereinigt!A$3:AM$103,13,FALSE)&lt;&gt;"",IF(VLOOKUP(A11,Schlußkurse!A$5:AU$105,46,FALSE)&gt;0,((VLOOKUP(A11,Aktien_im_Umlauf_splitbereinigt!A$3:AM$103,14,FALSE)-VLOOKUP(A11,Aktien_im_Umlauf_splitbereinigt!A$3:AM$103,13,FALSE))*VLOOKUP(A11,Schlußkurse!A$5:AU$105,46,FALSE))/VLOOKUP(A11,Aktien_im_Umlauf_splitbereinigt!A$3:AM$103,13,FALSE),0),0),0)</f>
        <v>-0.2511036917098437</v>
      </c>
      <c r="N11" s="13">
        <f>IF(C11&gt;0,IF(VLOOKUP(A11,Dividende_je_Aktie!A$3:AM$103,8,FALSE)&lt;&gt;"",C11+VLOOKUP(A11,Dividende_je_Aktie!A$3:AM$103,8,FALSE),C11),IF(VLOOKUP(A11,Dividende_je_Aktie!A$3:AM$103,8,FALSE)&lt;&gt;"",VLOOKUP(A11,Dividende_je_Aktie!A$3:AM$103,8,FALSE),""))</f>
        <v>0.66</v>
      </c>
      <c r="O11" s="13">
        <f>IF(D11&gt;0,IF(VLOOKUP(A11,Dividende_je_Aktie!A$3:AM$103,9,FALSE)&lt;&gt;"",D11+VLOOKUP(A11,Dividende_je_Aktie!A$3:AM$103,9,FALSE),D11),IF(VLOOKUP(A11,Dividende_je_Aktie!A$3:AM$103,9,FALSE)&lt;&gt;"",VLOOKUP(A11,Dividende_je_Aktie!A$3:AM$103,9,FALSE),""))</f>
        <v>0.55000000000000004</v>
      </c>
      <c r="P11" s="13">
        <f>IF(E11&gt;0,IF(VLOOKUP(A11,Dividende_je_Aktie!A$3:AM$103,10,FALSE)&lt;&gt;"",E11+VLOOKUP(A11,Dividende_je_Aktie!A$3:AM$103,10,FALSE),E11),IF(VLOOKUP(A11,Dividende_je_Aktie!A$3:AM$103,10,FALSE)&lt;&gt;"",VLOOKUP(A11,Dividende_je_Aktie!A$3:AM$103,10,FALSE),""))</f>
        <v>0.44</v>
      </c>
      <c r="Q11" s="13">
        <f>IF(F11&gt;0,IF(VLOOKUP(A11,Dividende_je_Aktie!A$3:AM$103,11,FALSE)&lt;&gt;"",F11+VLOOKUP(A11,Dividende_je_Aktie!A$3:AM$103,11,FALSE),F11),IF(VLOOKUP(A11,Dividende_je_Aktie!A$3:AM$103,11,FALSE)&lt;&gt;"",VLOOKUP(A11,Dividende_je_Aktie!A$3:AM$103,11,FALSE),""))</f>
        <v>0.42</v>
      </c>
      <c r="R11" s="13">
        <f>IF(G11&gt;0,IF(VLOOKUP(A11,Dividende_je_Aktie!A$3:AM$103,12,FALSE)&lt;&gt;"",G11+VLOOKUP(A11,Dividende_je_Aktie!A$3:AM$103,12,FALSE),G11),IF(VLOOKUP(A11,Dividende_je_Aktie!A$3:AM$103,12,FALSE)&lt;&gt;"",VLOOKUP(A11,Dividende_je_Aktie!A$3:AM$103,12,FALSE),""))</f>
        <v>0.37</v>
      </c>
      <c r="S11" s="13">
        <f>IF(H11&gt;0,IF(VLOOKUP(A11,Dividende_je_Aktie!A$3:AM$103,13,FALSE)&lt;&gt;"",H11+VLOOKUP(A11,Dividende_je_Aktie!A$3:AM$103,13,FALSE),H11),IF(VLOOKUP(A11,Dividende_je_Aktie!A$3:AM$103,13,FALSE)&lt;&gt;"",VLOOKUP(A11,Dividende_je_Aktie!A$3:AM$103,13,FALSE),""))</f>
        <v>0.32</v>
      </c>
      <c r="T11" s="13">
        <f>IF(I11&gt;0,IF(VLOOKUP(A11,Dividende_je_Aktie!A$3:AM$103,14,FALSE)&lt;&gt;"",I11+VLOOKUP(A11,Dividende_je_Aktie!A$3:AM$103,14,FALSE),I11),IF(VLOOKUP(A11,Dividende_je_Aktie!A$3:AM$103,14,FALSE)&lt;&gt;"",VLOOKUP(A11,Dividende_je_Aktie!A$3:AM$103,14,FALSE),""))</f>
        <v>0.28999999999999998</v>
      </c>
      <c r="U11" s="13">
        <f>IF(J11&gt;0,IF(VLOOKUP(A11,Dividende_je_Aktie!A$3:AM$103,15,FALSE)&lt;&gt;"",J11+VLOOKUP(A11,Dividende_je_Aktie!A$3:AM$103,15,FALSE),J11),IF(VLOOKUP(A11,Dividende_je_Aktie!A$3:AM$103,15,FALSE)&lt;&gt;"",VLOOKUP(A11,Dividende_je_Aktie!A$3:AM$103,15,FALSE),""))</f>
        <v>0.25</v>
      </c>
      <c r="V11" s="13">
        <f>IF(K11&gt;0,IF(VLOOKUP(A11,Dividende_je_Aktie!A$3:AM$103,16,FALSE)&lt;&gt;"",K11+VLOOKUP(A11,Dividende_je_Aktie!A$3:AM$103,16,FALSE),K11),IF(VLOOKUP(A11,Dividende_je_Aktie!A$3:AM$103,16,FALSE)&lt;&gt;"",VLOOKUP(A11,Dividende_je_Aktie!A$3:AM$103,16,FALSE),""))</f>
        <v>0.23</v>
      </c>
      <c r="W11" s="13">
        <f>IF(L11&gt;0,IF(VLOOKUP(A11,Dividende_je_Aktie!A$3:AM$103,17,FALSE)&lt;&gt;"",L11+VLOOKUP(A11,Dividende_je_Aktie!A$3:AM$103,17,FALSE),L11),IF(VLOOKUP(A11,Dividende_je_Aktie!A$3:AM$103,17,FALSE)&lt;&gt;"",VLOOKUP(A11,Dividende_je_Aktie!A$3:AM$103,17,FALSE),""))</f>
        <v>0.22</v>
      </c>
      <c r="X11" s="13">
        <f>IF(M11&gt;0,IF(VLOOKUP(A11,Dividende_je_Aktie!A$3:AM$103,18,FALSE)&lt;&gt;"",M11+VLOOKUP(A11,Dividende_je_Aktie!A$3:AM$103,18,FALSE),M11),IF(VLOOKUP(A11,Dividende_je_Aktie!A$3:AM$103,18,FALSE)&lt;&gt;"",VLOOKUP(A11,Dividende_je_Aktie!A$3:AM$103,18,FALSE),""))</f>
        <v>0.19</v>
      </c>
    </row>
    <row r="12" spans="1:24">
      <c r="A12" t="s">
        <v>14</v>
      </c>
      <c r="B12" t="s">
        <v>15</v>
      </c>
      <c r="C12" s="13">
        <f>IF(VLOOKUP(A12,Aktien_im_Umlauf_splitbereinigt!A$3:AM$103,4,FALSE)&lt;&gt;"",IF(VLOOKUP(A12,Aktien_im_Umlauf_splitbereinigt!A$3:AM$103,3,FALSE)&lt;&gt;"",IF(VLOOKUP(A12,Schlußkurse!A$5:AU$105,36,FALSE)&gt;0,((VLOOKUP(A12,Aktien_im_Umlauf_splitbereinigt!A$3:AM$103,4,FALSE)-VLOOKUP(A12,Aktien_im_Umlauf_splitbereinigt!A$3:AM$103,3,FALSE))*VLOOKUP(A12,Schlußkurse!A$5:AU$105,36,FALSE))/VLOOKUP(A12,Aktien_im_Umlauf_splitbereinigt!A$3:AM$103,3,FALSE),0),0),0)</f>
        <v>0</v>
      </c>
      <c r="D12" s="97">
        <f>IF(VLOOKUP(A12,Aktien_im_Umlauf_splitbereinigt!A$3:AM$103,5,FALSE)&lt;&gt;"",IF(VLOOKUP(A12,Aktien_im_Umlauf_splitbereinigt!A$3:AM$103,4,FALSE)&lt;&gt;"",IF(VLOOKUP(A12,Schlußkurse!A$5:AU$105,37,FALSE)&gt;0,((VLOOKUP(A12,Aktien_im_Umlauf_splitbereinigt!A$3:AM$103,5,FALSE)-VLOOKUP(A12,Aktien_im_Umlauf_splitbereinigt!A$3:AM$103,4,FALSE))*VLOOKUP(A12,Schlußkurse!A$5:AU$105,37,FALSE))/VLOOKUP(A12,Aktien_im_Umlauf_splitbereinigt!A$3:AM$103,4,FALSE),0),0),0)</f>
        <v>0</v>
      </c>
      <c r="E12" s="97">
        <f>IF(VLOOKUP(A12,Aktien_im_Umlauf_splitbereinigt!A$3:AM$103,6,FALSE)&lt;&gt;"",IF(VLOOKUP(A12,Aktien_im_Umlauf_splitbereinigt!A$3:AM$103,5,FALSE)&lt;&gt;"",IF(VLOOKUP(A12,Schlußkurse!A$5:AU$105,38,FALSE)&gt;0,((VLOOKUP(A12,Aktien_im_Umlauf_splitbereinigt!A$3:AM$103,6,FALSE)-VLOOKUP(A12,Aktien_im_Umlauf_splitbereinigt!A$3:AM$103,5,FALSE))*VLOOKUP(A12,Schlußkurse!A$5:AU$105,38,FALSE))/VLOOKUP(A12,Aktien_im_Umlauf_splitbereinigt!A$3:AM$103,5,FALSE),0),0),0)</f>
        <v>0</v>
      </c>
      <c r="F12" s="97">
        <f>IF(VLOOKUP(A12,Aktien_im_Umlauf_splitbereinigt!A$3:AM$103,7,FALSE)&lt;&gt;"",IF(VLOOKUP(A12,Aktien_im_Umlauf_splitbereinigt!A$3:AM$103,6,FALSE)&lt;&gt;"",IF(VLOOKUP(A12,Schlußkurse!A$5:AU$105,39,FALSE)&gt;0,((VLOOKUP(A12,Aktien_im_Umlauf_splitbereinigt!A$3:AM$103,7,FALSE)-VLOOKUP(A12,Aktien_im_Umlauf_splitbereinigt!A$3:AM$103,6,FALSE))*VLOOKUP(A12,Schlußkurse!A$5:AU$105,39,FALSE))/VLOOKUP(A12,Aktien_im_Umlauf_splitbereinigt!A$3:AM$103,6,FALSE),0),0),0)</f>
        <v>0</v>
      </c>
      <c r="G12" s="97">
        <f>IF(VLOOKUP(A12,Aktien_im_Umlauf_splitbereinigt!A$3:AM$103,8,FALSE)&lt;&gt;"",IF(VLOOKUP(A12,Aktien_im_Umlauf_splitbereinigt!A$3:AM$103,7,FALSE)&lt;&gt;"",IF(VLOOKUP(A12,Schlußkurse!A$5:AU$105,40,FALSE)&gt;0,((VLOOKUP(A12,Aktien_im_Umlauf_splitbereinigt!A$3:AM$103,8,FALSE)-VLOOKUP(A12,Aktien_im_Umlauf_splitbereinigt!A$3:AM$103,7,FALSE))*VLOOKUP(A12,Schlußkurse!A$5:AU$105,40,FALSE))/VLOOKUP(A12,Aktien_im_Umlauf_splitbereinigt!A$3:AM$103,7,FALSE),0),0),0)</f>
        <v>-4.9381611065907237E-2</v>
      </c>
      <c r="H12" s="97">
        <f>IF(VLOOKUP(A12,Aktien_im_Umlauf_splitbereinigt!A$3:AM$103,9,FALSE)&lt;&gt;"",IF(VLOOKUP(A12,Aktien_im_Umlauf_splitbereinigt!A$3:AM$103,8,FALSE)&lt;&gt;"",IF(VLOOKUP(A12,Schlußkurse!A$5:AU$105,41,FALSE)&gt;0,((VLOOKUP(A12,Aktien_im_Umlauf_splitbereinigt!A$3:AM$103,9,FALSE)-VLOOKUP(A12,Aktien_im_Umlauf_splitbereinigt!A$3:AM$103,8,FALSE))*VLOOKUP(A12,Schlußkurse!A$5:AU$105,41,FALSE))/VLOOKUP(A12,Aktien_im_Umlauf_splitbereinigt!A$3:AM$103,8,FALSE),0),0),0)</f>
        <v>-3.3265472312703583E-2</v>
      </c>
      <c r="I12" s="97">
        <f>IF(VLOOKUP(A12,Aktien_im_Umlauf_splitbereinigt!A$3:AM$103,10,FALSE)&lt;&gt;"",IF(VLOOKUP(A12,Aktien_im_Umlauf_splitbereinigt!A$3:AM$103,9,FALSE)&lt;&gt;"",IF(VLOOKUP(A12,Schlußkurse!A$5:AU$105,42,FALSE)&gt;0,((VLOOKUP(A12,Aktien_im_Umlauf_splitbereinigt!A$3:AM$103,10,FALSE)-VLOOKUP(A12,Aktien_im_Umlauf_splitbereinigt!A$3:AM$103,9,FALSE))*VLOOKUP(A12,Schlußkurse!A$5:AU$105,42,FALSE))/VLOOKUP(A12,Aktien_im_Umlauf_splitbereinigt!A$3:AM$103,9,FALSE),0),0),0)</f>
        <v>-3.1051344743276286E-2</v>
      </c>
      <c r="J12" s="97">
        <f>IF(VLOOKUP(A12,Aktien_im_Umlauf_splitbereinigt!A$3:AM$103,11,FALSE)&lt;&gt;"",IF(VLOOKUP(A12,Aktien_im_Umlauf_splitbereinigt!A$3:AM$103,10,FALSE)&lt;&gt;"",IF(VLOOKUP(A12,Schlußkurse!A$5:AU$105,43,FALSE)&gt;0,((VLOOKUP(A12,Aktien_im_Umlauf_splitbereinigt!A$3:AM$103,11,FALSE)-VLOOKUP(A12,Aktien_im_Umlauf_splitbereinigt!A$3:AM$103,10,FALSE))*VLOOKUP(A12,Schlußkurse!A$5:AU$105,43,FALSE))/VLOOKUP(A12,Aktien_im_Umlauf_splitbereinigt!A$3:AM$103,10,FALSE),0),0),0)</f>
        <v>0</v>
      </c>
      <c r="K12" s="97">
        <f>IF(VLOOKUP(A12,Aktien_im_Umlauf_splitbereinigt!A$3:AM$103,12,FALSE)&lt;&gt;"",IF(VLOOKUP(A12,Aktien_im_Umlauf_splitbereinigt!A$3:AM$103,11,FALSE)&lt;&gt;"",IF(VLOOKUP(A12,Schlußkurse!A$5:AU$105,44,FALSE)&gt;0,((VLOOKUP(A12,Aktien_im_Umlauf_splitbereinigt!A$3:AM$103,12,FALSE)-VLOOKUP(A12,Aktien_im_Umlauf_splitbereinigt!A$3:AM$103,11,FALSE))*VLOOKUP(A12,Schlußkurse!A$5:AU$105,44,FALSE))/VLOOKUP(A12,Aktien_im_Umlauf_splitbereinigt!A$3:AM$103,11,FALSE),0),0),0)</f>
        <v>0.41174551386623159</v>
      </c>
      <c r="L12" s="97">
        <f>IF(VLOOKUP(A12,Aktien_im_Umlauf_splitbereinigt!A$3:AM$103,13,FALSE)&lt;&gt;"",IF(VLOOKUP(A12,Aktien_im_Umlauf_splitbereinigt!A$3:AM$103,12,FALSE)&lt;&gt;"",IF(VLOOKUP(A12,Schlußkurse!A$5:AU$105,45,FALSE)&gt;0,((VLOOKUP(A12,Aktien_im_Umlauf_splitbereinigt!A$3:AM$103,13,FALSE)-VLOOKUP(A12,Aktien_im_Umlauf_splitbereinigt!A$3:AM$103,12,FALSE))*VLOOKUP(A12,Schlußkurse!A$5:AU$105,45,FALSE))/VLOOKUP(A12,Aktien_im_Umlauf_splitbereinigt!A$3:AM$103,12,FALSE),0),0),0)</f>
        <v>0.62733547351524888</v>
      </c>
      <c r="M12" s="97">
        <f>IF(VLOOKUP(A12,Aktien_im_Umlauf_splitbereinigt!A$3:AM$103,14,FALSE)&lt;&gt;"",IF(VLOOKUP(A12,Aktien_im_Umlauf_splitbereinigt!A$3:AM$103,13,FALSE)&lt;&gt;"",IF(VLOOKUP(A12,Schlußkurse!A$5:AU$105,46,FALSE)&gt;0,((VLOOKUP(A12,Aktien_im_Umlauf_splitbereinigt!A$3:AM$103,14,FALSE)-VLOOKUP(A12,Aktien_im_Umlauf_splitbereinigt!A$3:AM$103,13,FALSE))*VLOOKUP(A12,Schlußkurse!A$5:AU$105,46,FALSE))/VLOOKUP(A12,Aktien_im_Umlauf_splitbereinigt!A$3:AM$103,13,FALSE),0),0),0)</f>
        <v>-6.3501577287066249E-2</v>
      </c>
      <c r="N12" s="13">
        <f>IF(C12&gt;0,IF(VLOOKUP(A12,Dividende_je_Aktie!A$3:AM$103,8,FALSE)&lt;&gt;"",C12+VLOOKUP(A12,Dividende_je_Aktie!A$3:AM$103,8,FALSE),C12),IF(VLOOKUP(A12,Dividende_je_Aktie!A$3:AM$103,8,FALSE)&lt;&gt;"",VLOOKUP(A12,Dividende_je_Aktie!A$3:AM$103,8,FALSE),""))</f>
        <v>1.27</v>
      </c>
      <c r="O12" s="13">
        <f>IF(D12&gt;0,IF(VLOOKUP(A12,Dividende_je_Aktie!A$3:AM$103,9,FALSE)&lt;&gt;"",D12+VLOOKUP(A12,Dividende_je_Aktie!A$3:AM$103,9,FALSE),D12),IF(VLOOKUP(A12,Dividende_je_Aktie!A$3:AM$103,9,FALSE)&lt;&gt;"",VLOOKUP(A12,Dividende_je_Aktie!A$3:AM$103,9,FALSE),""))</f>
        <v>1.1499999999999999</v>
      </c>
      <c r="P12" s="13">
        <f>IF(E12&gt;0,IF(VLOOKUP(A12,Dividende_je_Aktie!A$3:AM$103,10,FALSE)&lt;&gt;"",E12+VLOOKUP(A12,Dividende_je_Aktie!A$3:AM$103,10,FALSE),E12),IF(VLOOKUP(A12,Dividende_je_Aktie!A$3:AM$103,10,FALSE)&lt;&gt;"",VLOOKUP(A12,Dividende_je_Aktie!A$3:AM$103,10,FALSE),""))</f>
        <v>1.1000000000000001</v>
      </c>
      <c r="Q12" s="13">
        <f>IF(F12&gt;0,IF(VLOOKUP(A12,Dividende_je_Aktie!A$3:AM$103,11,FALSE)&lt;&gt;"",F12+VLOOKUP(A12,Dividende_je_Aktie!A$3:AM$103,11,FALSE),F12),IF(VLOOKUP(A12,Dividende_je_Aktie!A$3:AM$103,11,FALSE)&lt;&gt;"",VLOOKUP(A12,Dividende_je_Aktie!A$3:AM$103,11,FALSE),""))</f>
        <v>1</v>
      </c>
      <c r="R12" s="13">
        <f>IF(G12&gt;0,IF(VLOOKUP(A12,Dividende_je_Aktie!A$3:AM$103,12,FALSE)&lt;&gt;"",G12+VLOOKUP(A12,Dividende_je_Aktie!A$3:AM$103,12,FALSE),G12),IF(VLOOKUP(A12,Dividende_je_Aktie!A$3:AM$103,12,FALSE)&lt;&gt;"",VLOOKUP(A12,Dividende_je_Aktie!A$3:AM$103,12,FALSE),""))</f>
        <v>0.85</v>
      </c>
      <c r="S12" s="13">
        <f>IF(H12&gt;0,IF(VLOOKUP(A12,Dividende_je_Aktie!A$3:AM$103,13,FALSE)&lt;&gt;"",H12+VLOOKUP(A12,Dividende_je_Aktie!A$3:AM$103,13,FALSE),H12),IF(VLOOKUP(A12,Dividende_je_Aktie!A$3:AM$103,13,FALSE)&lt;&gt;"",VLOOKUP(A12,Dividende_je_Aktie!A$3:AM$103,13,FALSE),""))</f>
        <v>0.75</v>
      </c>
      <c r="T12" s="13">
        <f>IF(I12&gt;0,IF(VLOOKUP(A12,Dividende_je_Aktie!A$3:AM$103,14,FALSE)&lt;&gt;"",I12+VLOOKUP(A12,Dividende_je_Aktie!A$3:AM$103,14,FALSE),I12),IF(VLOOKUP(A12,Dividende_je_Aktie!A$3:AM$103,14,FALSE)&lt;&gt;"",VLOOKUP(A12,Dividende_je_Aktie!A$3:AM$103,14,FALSE),""))</f>
        <v>0.6</v>
      </c>
      <c r="U12" s="13">
        <f>IF(J12&gt;0,IF(VLOOKUP(A12,Dividende_je_Aktie!A$3:AM$103,15,FALSE)&lt;&gt;"",J12+VLOOKUP(A12,Dividende_je_Aktie!A$3:AM$103,15,FALSE),J12),IF(VLOOKUP(A12,Dividende_je_Aktie!A$3:AM$103,15,FALSE)&lt;&gt;"",VLOOKUP(A12,Dividende_je_Aktie!A$3:AM$103,15,FALSE),""))</f>
        <v>0.5</v>
      </c>
      <c r="V12" s="13">
        <f>IF(K12&gt;0,IF(VLOOKUP(A12,Dividende_je_Aktie!A$3:AM$103,16,FALSE)&lt;&gt;"",K12+VLOOKUP(A12,Dividende_je_Aktie!A$3:AM$103,16,FALSE),K12),IF(VLOOKUP(A12,Dividende_je_Aktie!A$3:AM$103,16,FALSE)&lt;&gt;"",VLOOKUP(A12,Dividende_je_Aktie!A$3:AM$103,16,FALSE),""))</f>
        <v>0.91174551386623159</v>
      </c>
      <c r="W12" s="13">
        <f>IF(L12&gt;0,IF(VLOOKUP(A12,Dividende_je_Aktie!A$3:AM$103,17,FALSE)&lt;&gt;"",L12+VLOOKUP(A12,Dividende_je_Aktie!A$3:AM$103,17,FALSE),L12),IF(VLOOKUP(A12,Dividende_je_Aktie!A$3:AM$103,17,FALSE)&lt;&gt;"",VLOOKUP(A12,Dividende_je_Aktie!A$3:AM$103,17,FALSE),""))</f>
        <v>1.1273354735152488</v>
      </c>
      <c r="X12" s="13">
        <f>IF(M12&gt;0,IF(VLOOKUP(A12,Dividende_je_Aktie!A$3:AM$103,18,FALSE)&lt;&gt;"",M12+VLOOKUP(A12,Dividende_je_Aktie!A$3:AM$103,18,FALSE),M12),IF(VLOOKUP(A12,Dividende_je_Aktie!A$3:AM$103,18,FALSE)&lt;&gt;"",VLOOKUP(A12,Dividende_je_Aktie!A$3:AM$103,18,FALSE),""))</f>
        <v>0.46</v>
      </c>
    </row>
    <row r="13" spans="1:24">
      <c r="A13" t="s">
        <v>16</v>
      </c>
      <c r="B13" t="s">
        <v>17</v>
      </c>
      <c r="C13" s="13">
        <f>IF(VLOOKUP(A13,Aktien_im_Umlauf_splitbereinigt!A$3:AM$103,4,FALSE)&lt;&gt;"",IF(VLOOKUP(A13,Aktien_im_Umlauf_splitbereinigt!A$3:AM$103,3,FALSE)&lt;&gt;"",IF(VLOOKUP(A13,Schlußkurse!A$5:AU$105,36,FALSE)&gt;0,((VLOOKUP(A13,Aktien_im_Umlauf_splitbereinigt!A$3:AM$103,4,FALSE)-VLOOKUP(A13,Aktien_im_Umlauf_splitbereinigt!A$3:AM$103,3,FALSE))*VLOOKUP(A13,Schlußkurse!A$5:AU$105,36,FALSE))/VLOOKUP(A13,Aktien_im_Umlauf_splitbereinigt!A$3:AM$103,3,FALSE),0),0),0)</f>
        <v>0</v>
      </c>
      <c r="D13" s="97">
        <f>IF(VLOOKUP(A13,Aktien_im_Umlauf_splitbereinigt!A$3:AM$103,5,FALSE)&lt;&gt;"",IF(VLOOKUP(A13,Aktien_im_Umlauf_splitbereinigt!A$3:AM$103,4,FALSE)&lt;&gt;"",IF(VLOOKUP(A13,Schlußkurse!A$5:AU$105,37,FALSE)&gt;0,((VLOOKUP(A13,Aktien_im_Umlauf_splitbereinigt!A$3:AM$103,5,FALSE)-VLOOKUP(A13,Aktien_im_Umlauf_splitbereinigt!A$3:AM$103,4,FALSE))*VLOOKUP(A13,Schlußkurse!A$5:AU$105,37,FALSE))/VLOOKUP(A13,Aktien_im_Umlauf_splitbereinigt!A$3:AM$103,4,FALSE),0),0),0)</f>
        <v>0</v>
      </c>
      <c r="E13" s="97">
        <f>IF(VLOOKUP(A13,Aktien_im_Umlauf_splitbereinigt!A$3:AM$103,6,FALSE)&lt;&gt;"",IF(VLOOKUP(A13,Aktien_im_Umlauf_splitbereinigt!A$3:AM$103,5,FALSE)&lt;&gt;"",IF(VLOOKUP(A13,Schlußkurse!A$5:AU$105,38,FALSE)&gt;0,((VLOOKUP(A13,Aktien_im_Umlauf_splitbereinigt!A$3:AM$103,6,FALSE)-VLOOKUP(A13,Aktien_im_Umlauf_splitbereinigt!A$3:AM$103,5,FALSE))*VLOOKUP(A13,Schlußkurse!A$5:AU$105,38,FALSE))/VLOOKUP(A13,Aktien_im_Umlauf_splitbereinigt!A$3:AM$103,5,FALSE),0),0),0)</f>
        <v>0</v>
      </c>
      <c r="F13" s="97">
        <f>IF(VLOOKUP(A13,Aktien_im_Umlauf_splitbereinigt!A$3:AM$103,7,FALSE)&lt;&gt;"",IF(VLOOKUP(A13,Aktien_im_Umlauf_splitbereinigt!A$3:AM$103,6,FALSE)&lt;&gt;"",IF(VLOOKUP(A13,Schlußkurse!A$5:AU$105,39,FALSE)&gt;0,((VLOOKUP(A13,Aktien_im_Umlauf_splitbereinigt!A$3:AM$103,7,FALSE)-VLOOKUP(A13,Aktien_im_Umlauf_splitbereinigt!A$3:AM$103,6,FALSE))*VLOOKUP(A13,Schlußkurse!A$5:AU$105,39,FALSE))/VLOOKUP(A13,Aktien_im_Umlauf_splitbereinigt!A$3:AM$103,6,FALSE),0),0),0)</f>
        <v>0</v>
      </c>
      <c r="G13" s="97">
        <f>IF(VLOOKUP(A13,Aktien_im_Umlauf_splitbereinigt!A$3:AM$103,8,FALSE)&lt;&gt;"",IF(VLOOKUP(A13,Aktien_im_Umlauf_splitbereinigt!A$3:AM$103,7,FALSE)&lt;&gt;"",IF(VLOOKUP(A13,Schlußkurse!A$5:AU$105,40,FALSE)&gt;0,((VLOOKUP(A13,Aktien_im_Umlauf_splitbereinigt!A$3:AM$103,8,FALSE)-VLOOKUP(A13,Aktien_im_Umlauf_splitbereinigt!A$3:AM$103,7,FALSE))*VLOOKUP(A13,Schlußkurse!A$5:AU$105,40,FALSE))/VLOOKUP(A13,Aktien_im_Umlauf_splitbereinigt!A$3:AM$103,7,FALSE),0),0),0)</f>
        <v>2.9246901248581199</v>
      </c>
      <c r="H13" s="97">
        <f>IF(VLOOKUP(A13,Aktien_im_Umlauf_splitbereinigt!A$3:AM$103,9,FALSE)&lt;&gt;"",IF(VLOOKUP(A13,Aktien_im_Umlauf_splitbereinigt!A$3:AM$103,8,FALSE)&lt;&gt;"",IF(VLOOKUP(A13,Schlußkurse!A$5:AU$105,41,FALSE)&gt;0,((VLOOKUP(A13,Aktien_im_Umlauf_splitbereinigt!A$3:AM$103,9,FALSE)-VLOOKUP(A13,Aktien_im_Umlauf_splitbereinigt!A$3:AM$103,8,FALSE))*VLOOKUP(A13,Schlußkurse!A$5:AU$105,41,FALSE))/VLOOKUP(A13,Aktien_im_Umlauf_splitbereinigt!A$3:AM$103,8,FALSE),0),0),0)</f>
        <v>0</v>
      </c>
      <c r="I13" s="97">
        <f>IF(VLOOKUP(A13,Aktien_im_Umlauf_splitbereinigt!A$3:AM$103,10,FALSE)&lt;&gt;"",IF(VLOOKUP(A13,Aktien_im_Umlauf_splitbereinigt!A$3:AM$103,9,FALSE)&lt;&gt;"",IF(VLOOKUP(A13,Schlußkurse!A$5:AU$105,42,FALSE)&gt;0,((VLOOKUP(A13,Aktien_im_Umlauf_splitbereinigt!A$3:AM$103,10,FALSE)-VLOOKUP(A13,Aktien_im_Umlauf_splitbereinigt!A$3:AM$103,9,FALSE))*VLOOKUP(A13,Schlußkurse!A$5:AU$105,42,FALSE))/VLOOKUP(A13,Aktien_im_Umlauf_splitbereinigt!A$3:AM$103,9,FALSE),0),0),0)</f>
        <v>0</v>
      </c>
      <c r="J13" s="97">
        <f>IF(VLOOKUP(A13,Aktien_im_Umlauf_splitbereinigt!A$3:AM$103,11,FALSE)&lt;&gt;"",IF(VLOOKUP(A13,Aktien_im_Umlauf_splitbereinigt!A$3:AM$103,10,FALSE)&lt;&gt;"",IF(VLOOKUP(A13,Schlußkurse!A$5:AU$105,43,FALSE)&gt;0,((VLOOKUP(A13,Aktien_im_Umlauf_splitbereinigt!A$3:AM$103,11,FALSE)-VLOOKUP(A13,Aktien_im_Umlauf_splitbereinigt!A$3:AM$103,10,FALSE))*VLOOKUP(A13,Schlußkurse!A$5:AU$105,43,FALSE))/VLOOKUP(A13,Aktien_im_Umlauf_splitbereinigt!A$3:AM$103,10,FALSE),0),0),0)</f>
        <v>0</v>
      </c>
      <c r="K13" s="97">
        <f>IF(VLOOKUP(A13,Aktien_im_Umlauf_splitbereinigt!A$3:AM$103,12,FALSE)&lt;&gt;"",IF(VLOOKUP(A13,Aktien_im_Umlauf_splitbereinigt!A$3:AM$103,11,FALSE)&lt;&gt;"",IF(VLOOKUP(A13,Schlußkurse!A$5:AU$105,44,FALSE)&gt;0,((VLOOKUP(A13,Aktien_im_Umlauf_splitbereinigt!A$3:AM$103,12,FALSE)-VLOOKUP(A13,Aktien_im_Umlauf_splitbereinigt!A$3:AM$103,11,FALSE))*VLOOKUP(A13,Schlußkurse!A$5:AU$105,44,FALSE))/VLOOKUP(A13,Aktien_im_Umlauf_splitbereinigt!A$3:AM$103,11,FALSE),0),0),0)</f>
        <v>0</v>
      </c>
      <c r="L13" s="97">
        <f>IF(VLOOKUP(A13,Aktien_im_Umlauf_splitbereinigt!A$3:AM$103,13,FALSE)&lt;&gt;"",IF(VLOOKUP(A13,Aktien_im_Umlauf_splitbereinigt!A$3:AM$103,12,FALSE)&lt;&gt;"",IF(VLOOKUP(A13,Schlußkurse!A$5:AU$105,45,FALSE)&gt;0,((VLOOKUP(A13,Aktien_im_Umlauf_splitbereinigt!A$3:AM$103,13,FALSE)-VLOOKUP(A13,Aktien_im_Umlauf_splitbereinigt!A$3:AM$103,12,FALSE))*VLOOKUP(A13,Schlußkurse!A$5:AU$105,45,FALSE))/VLOOKUP(A13,Aktien_im_Umlauf_splitbereinigt!A$3:AM$103,12,FALSE),0),0),0)</f>
        <v>-2.4468868956464718</v>
      </c>
      <c r="M13" s="97">
        <f>IF(VLOOKUP(A13,Aktien_im_Umlauf_splitbereinigt!A$3:AM$103,14,FALSE)&lt;&gt;"",IF(VLOOKUP(A13,Aktien_im_Umlauf_splitbereinigt!A$3:AM$103,13,FALSE)&lt;&gt;"",IF(VLOOKUP(A13,Schlußkurse!A$5:AU$105,46,FALSE)&gt;0,((VLOOKUP(A13,Aktien_im_Umlauf_splitbereinigt!A$3:AM$103,14,FALSE)-VLOOKUP(A13,Aktien_im_Umlauf_splitbereinigt!A$3:AM$103,13,FALSE))*VLOOKUP(A13,Schlußkurse!A$5:AU$105,46,FALSE))/VLOOKUP(A13,Aktien_im_Umlauf_splitbereinigt!A$3:AM$103,13,FALSE),0),0),0)</f>
        <v>0</v>
      </c>
      <c r="N13" s="13">
        <f>IF(C13&gt;0,IF(VLOOKUP(A13,Dividende_je_Aktie!A$3:AM$103,8,FALSE)&lt;&gt;"",C13+VLOOKUP(A13,Dividende_je_Aktie!A$3:AM$103,8,FALSE),C13),IF(VLOOKUP(A13,Dividende_je_Aktie!A$3:AM$103,8,FALSE)&lt;&gt;"",VLOOKUP(A13,Dividende_je_Aktie!A$3:AM$103,8,FALSE),""))</f>
        <v>3.61</v>
      </c>
      <c r="O13" s="13">
        <f>IF(D13&gt;0,IF(VLOOKUP(A13,Dividende_je_Aktie!A$3:AM$103,9,FALSE)&lt;&gt;"",D13+VLOOKUP(A13,Dividende_je_Aktie!A$3:AM$103,9,FALSE),D13),IF(VLOOKUP(A13,Dividende_je_Aktie!A$3:AM$103,9,FALSE)&lt;&gt;"",VLOOKUP(A13,Dividende_je_Aktie!A$3:AM$103,9,FALSE),""))</f>
        <v>3.5</v>
      </c>
      <c r="P13" s="13">
        <f>IF(E13&gt;0,IF(VLOOKUP(A13,Dividende_je_Aktie!A$3:AM$103,10,FALSE)&lt;&gt;"",E13+VLOOKUP(A13,Dividende_je_Aktie!A$3:AM$103,10,FALSE),E13),IF(VLOOKUP(A13,Dividende_je_Aktie!A$3:AM$103,10,FALSE)&lt;&gt;"",VLOOKUP(A13,Dividende_je_Aktie!A$3:AM$103,10,FALSE),""))</f>
        <v>3.3</v>
      </c>
      <c r="Q13" s="13">
        <f>IF(F13&gt;0,IF(VLOOKUP(A13,Dividende_je_Aktie!A$3:AM$103,11,FALSE)&lt;&gt;"",F13+VLOOKUP(A13,Dividende_je_Aktie!A$3:AM$103,11,FALSE),F13),IF(VLOOKUP(A13,Dividende_je_Aktie!A$3:AM$103,11,FALSE)&lt;&gt;"",VLOOKUP(A13,Dividende_je_Aktie!A$3:AM$103,11,FALSE),""))</f>
        <v>3</v>
      </c>
      <c r="R13" s="13">
        <f>IF(G13&gt;0,IF(VLOOKUP(A13,Dividende_je_Aktie!A$3:AM$103,12,FALSE)&lt;&gt;"",G13+VLOOKUP(A13,Dividende_je_Aktie!A$3:AM$103,12,FALSE),G13),IF(VLOOKUP(A13,Dividende_je_Aktie!A$3:AM$103,12,FALSE)&lt;&gt;"",VLOOKUP(A13,Dividende_je_Aktie!A$3:AM$103,12,FALSE),""))</f>
        <v>5.9246901248581203</v>
      </c>
      <c r="S13" s="13">
        <f>IF(H13&gt;0,IF(VLOOKUP(A13,Dividende_je_Aktie!A$3:AM$103,13,FALSE)&lt;&gt;"",H13+VLOOKUP(A13,Dividende_je_Aktie!A$3:AM$103,13,FALSE),H13),IF(VLOOKUP(A13,Dividende_je_Aktie!A$3:AM$103,13,FALSE)&lt;&gt;"",VLOOKUP(A13,Dividende_je_Aktie!A$3:AM$103,13,FALSE),""))</f>
        <v>3</v>
      </c>
      <c r="T13" s="13">
        <f>IF(I13&gt;0,IF(VLOOKUP(A13,Dividende_je_Aktie!A$3:AM$103,14,FALSE)&lt;&gt;"",I13+VLOOKUP(A13,Dividende_je_Aktie!A$3:AM$103,14,FALSE),I13),IF(VLOOKUP(A13,Dividende_je_Aktie!A$3:AM$103,14,FALSE)&lt;&gt;"",VLOOKUP(A13,Dividende_je_Aktie!A$3:AM$103,14,FALSE),""))</f>
        <v>2.7</v>
      </c>
      <c r="U13" s="13">
        <f>IF(J13&gt;0,IF(VLOOKUP(A13,Dividende_je_Aktie!A$3:AM$103,15,FALSE)&lt;&gt;"",J13+VLOOKUP(A13,Dividende_je_Aktie!A$3:AM$103,15,FALSE),J13),IF(VLOOKUP(A13,Dividende_je_Aktie!A$3:AM$103,15,FALSE)&lt;&gt;"",VLOOKUP(A13,Dividende_je_Aktie!A$3:AM$103,15,FALSE),""))</f>
        <v>1.6</v>
      </c>
      <c r="V13" s="13">
        <f>IF(K13&gt;0,IF(VLOOKUP(A13,Dividende_je_Aktie!A$3:AM$103,16,FALSE)&lt;&gt;"",K13+VLOOKUP(A13,Dividende_je_Aktie!A$3:AM$103,16,FALSE),K13),IF(VLOOKUP(A13,Dividende_je_Aktie!A$3:AM$103,16,FALSE)&lt;&gt;"",VLOOKUP(A13,Dividende_je_Aktie!A$3:AM$103,16,FALSE),""))</f>
        <v>1.6</v>
      </c>
      <c r="W13" s="13">
        <f>IF(L13&gt;0,IF(VLOOKUP(A13,Dividende_je_Aktie!A$3:AM$103,17,FALSE)&lt;&gt;"",L13+VLOOKUP(A13,Dividende_je_Aktie!A$3:AM$103,17,FALSE),L13),IF(VLOOKUP(A13,Dividende_je_Aktie!A$3:AM$103,17,FALSE)&lt;&gt;"",VLOOKUP(A13,Dividende_je_Aktie!A$3:AM$103,17,FALSE),""))</f>
        <v>1.6</v>
      </c>
      <c r="X13" s="13">
        <f>IF(M13&gt;0,IF(VLOOKUP(A13,Dividende_je_Aktie!A$3:AM$103,18,FALSE)&lt;&gt;"",M13+VLOOKUP(A13,Dividende_je_Aktie!A$3:AM$103,18,FALSE),M13),IF(VLOOKUP(A13,Dividende_je_Aktie!A$3:AM$103,18,FALSE)&lt;&gt;"",VLOOKUP(A13,Dividende_je_Aktie!A$3:AM$103,18,FALSE),""))</f>
        <v>1.45</v>
      </c>
    </row>
    <row r="14" spans="1:24">
      <c r="A14" t="s">
        <v>18</v>
      </c>
      <c r="B14" t="s">
        <v>19</v>
      </c>
      <c r="C14" s="13">
        <f>IF(VLOOKUP(A14,Aktien_im_Umlauf_splitbereinigt!A$3:AM$103,4,FALSE)&lt;&gt;"",IF(VLOOKUP(A14,Aktien_im_Umlauf_splitbereinigt!A$3:AM$103,3,FALSE)&lt;&gt;"",IF(VLOOKUP(A14,Schlußkurse!A$5:AU$105,36,FALSE)&gt;0,((VLOOKUP(A14,Aktien_im_Umlauf_splitbereinigt!A$3:AM$103,4,FALSE)-VLOOKUP(A14,Aktien_im_Umlauf_splitbereinigt!A$3:AM$103,3,FALSE))*VLOOKUP(A14,Schlußkurse!A$5:AU$105,36,FALSE))/VLOOKUP(A14,Aktien_im_Umlauf_splitbereinigt!A$3:AM$103,3,FALSE),0),0),0)</f>
        <v>0</v>
      </c>
      <c r="D14" s="97">
        <f>IF(VLOOKUP(A14,Aktien_im_Umlauf_splitbereinigt!A$3:AM$103,5,FALSE)&lt;&gt;"",IF(VLOOKUP(A14,Aktien_im_Umlauf_splitbereinigt!A$3:AM$103,4,FALSE)&lt;&gt;"",IF(VLOOKUP(A14,Schlußkurse!A$5:AU$105,37,FALSE)&gt;0,((VLOOKUP(A14,Aktien_im_Umlauf_splitbereinigt!A$3:AM$103,5,FALSE)-VLOOKUP(A14,Aktien_im_Umlauf_splitbereinigt!A$3:AM$103,4,FALSE))*VLOOKUP(A14,Schlußkurse!A$5:AU$105,37,FALSE))/VLOOKUP(A14,Aktien_im_Umlauf_splitbereinigt!A$3:AM$103,4,FALSE),0),0),0)</f>
        <v>0</v>
      </c>
      <c r="E14" s="97">
        <f>IF(VLOOKUP(A14,Aktien_im_Umlauf_splitbereinigt!A$3:AM$103,6,FALSE)&lt;&gt;"",IF(VLOOKUP(A14,Aktien_im_Umlauf_splitbereinigt!A$3:AM$103,5,FALSE)&lt;&gt;"",IF(VLOOKUP(A14,Schlußkurse!A$5:AU$105,38,FALSE)&gt;0,((VLOOKUP(A14,Aktien_im_Umlauf_splitbereinigt!A$3:AM$103,6,FALSE)-VLOOKUP(A14,Aktien_im_Umlauf_splitbereinigt!A$3:AM$103,5,FALSE))*VLOOKUP(A14,Schlußkurse!A$5:AU$105,38,FALSE))/VLOOKUP(A14,Aktien_im_Umlauf_splitbereinigt!A$3:AM$103,5,FALSE),0),0),0)</f>
        <v>-0.15027352297592997</v>
      </c>
      <c r="F14" s="97">
        <f>IF(VLOOKUP(A14,Aktien_im_Umlauf_splitbereinigt!A$3:AM$103,7,FALSE)&lt;&gt;"",IF(VLOOKUP(A14,Aktien_im_Umlauf_splitbereinigt!A$3:AM$103,6,FALSE)&lt;&gt;"",IF(VLOOKUP(A14,Schlußkurse!A$5:AU$105,39,FALSE)&gt;0,((VLOOKUP(A14,Aktien_im_Umlauf_splitbereinigt!A$3:AM$103,7,FALSE)-VLOOKUP(A14,Aktien_im_Umlauf_splitbereinigt!A$3:AM$103,6,FALSE))*VLOOKUP(A14,Schlußkurse!A$5:AU$105,39,FALSE))/VLOOKUP(A14,Aktien_im_Umlauf_splitbereinigt!A$3:AM$103,6,FALSE),0),0),0)</f>
        <v>-0.15704819277108756</v>
      </c>
      <c r="G14" s="97">
        <f>IF(VLOOKUP(A14,Aktien_im_Umlauf_splitbereinigt!A$3:AM$103,8,FALSE)&lt;&gt;"",IF(VLOOKUP(A14,Aktien_im_Umlauf_splitbereinigt!A$3:AM$103,7,FALSE)&lt;&gt;"",IF(VLOOKUP(A14,Schlußkurse!A$5:AU$105,40,FALSE)&gt;0,((VLOOKUP(A14,Aktien_im_Umlauf_splitbereinigt!A$3:AM$103,8,FALSE)-VLOOKUP(A14,Aktien_im_Umlauf_splitbereinigt!A$3:AM$103,7,FALSE))*VLOOKUP(A14,Schlußkurse!A$5:AU$105,40,FALSE))/VLOOKUP(A14,Aktien_im_Umlauf_splitbereinigt!A$3:AM$103,7,FALSE),0),0),0)</f>
        <v>-0.14940234674854178</v>
      </c>
      <c r="H14" s="97">
        <f>IF(VLOOKUP(A14,Aktien_im_Umlauf_splitbereinigt!A$3:AM$103,9,FALSE)&lt;&gt;"",IF(VLOOKUP(A14,Aktien_im_Umlauf_splitbereinigt!A$3:AM$103,8,FALSE)&lt;&gt;"",IF(VLOOKUP(A14,Schlußkurse!A$5:AU$105,41,FALSE)&gt;0,((VLOOKUP(A14,Aktien_im_Umlauf_splitbereinigt!A$3:AM$103,9,FALSE)-VLOOKUP(A14,Aktien_im_Umlauf_splitbereinigt!A$3:AM$103,8,FALSE))*VLOOKUP(A14,Schlußkurse!A$5:AU$105,41,FALSE))/VLOOKUP(A14,Aktien_im_Umlauf_splitbereinigt!A$3:AM$103,8,FALSE),0),0),0)</f>
        <v>-0.12986602240281317</v>
      </c>
      <c r="I14" s="97">
        <f>IF(VLOOKUP(A14,Aktien_im_Umlauf_splitbereinigt!A$3:AM$103,10,FALSE)&lt;&gt;"",IF(VLOOKUP(A14,Aktien_im_Umlauf_splitbereinigt!A$3:AM$103,9,FALSE)&lt;&gt;"",IF(VLOOKUP(A14,Schlußkurse!A$5:AU$105,42,FALSE)&gt;0,((VLOOKUP(A14,Aktien_im_Umlauf_splitbereinigt!A$3:AM$103,10,FALSE)-VLOOKUP(A14,Aktien_im_Umlauf_splitbereinigt!A$3:AM$103,9,FALSE))*VLOOKUP(A14,Schlußkurse!A$5:AU$105,42,FALSE))/VLOOKUP(A14,Aktien_im_Umlauf_splitbereinigt!A$3:AM$103,9,FALSE),0),0),0)</f>
        <v>-0.11739933993399787</v>
      </c>
      <c r="J14" s="97">
        <f>IF(VLOOKUP(A14,Aktien_im_Umlauf_splitbereinigt!A$3:AM$103,11,FALSE)&lt;&gt;"",IF(VLOOKUP(A14,Aktien_im_Umlauf_splitbereinigt!A$3:AM$103,10,FALSE)&lt;&gt;"",IF(VLOOKUP(A14,Schlußkurse!A$5:AU$105,43,FALSE)&gt;0,((VLOOKUP(A14,Aktien_im_Umlauf_splitbereinigt!A$3:AM$103,11,FALSE)-VLOOKUP(A14,Aktien_im_Umlauf_splitbereinigt!A$3:AM$103,10,FALSE))*VLOOKUP(A14,Schlußkurse!A$5:AU$105,43,FALSE))/VLOOKUP(A14,Aktien_im_Umlauf_splitbereinigt!A$3:AM$103,10,FALSE),0),0),0)</f>
        <v>-0.16320224719100471</v>
      </c>
      <c r="K14" s="97">
        <f>IF(VLOOKUP(A14,Aktien_im_Umlauf_splitbereinigt!A$3:AM$103,12,FALSE)&lt;&gt;"",IF(VLOOKUP(A14,Aktien_im_Umlauf_splitbereinigt!A$3:AM$103,11,FALSE)&lt;&gt;"",IF(VLOOKUP(A14,Schlußkurse!A$5:AU$105,44,FALSE)&gt;0,((VLOOKUP(A14,Aktien_im_Umlauf_splitbereinigt!A$3:AM$103,12,FALSE)-VLOOKUP(A14,Aktien_im_Umlauf_splitbereinigt!A$3:AM$103,11,FALSE))*VLOOKUP(A14,Schlußkurse!A$5:AU$105,44,FALSE))/VLOOKUP(A14,Aktien_im_Umlauf_splitbereinigt!A$3:AM$103,11,FALSE),0),0),0)</f>
        <v>-0.47180222933451427</v>
      </c>
      <c r="L14" s="97">
        <f>IF(VLOOKUP(A14,Aktien_im_Umlauf_splitbereinigt!A$3:AM$103,13,FALSE)&lt;&gt;"",IF(VLOOKUP(A14,Aktien_im_Umlauf_splitbereinigt!A$3:AM$103,12,FALSE)&lt;&gt;"",IF(VLOOKUP(A14,Schlußkurse!A$5:AU$105,45,FALSE)&gt;0,((VLOOKUP(A14,Aktien_im_Umlauf_splitbereinigt!A$3:AM$103,13,FALSE)-VLOOKUP(A14,Aktien_im_Umlauf_splitbereinigt!A$3:AM$103,12,FALSE))*VLOOKUP(A14,Schlußkurse!A$5:AU$105,45,FALSE))/VLOOKUP(A14,Aktien_im_Umlauf_splitbereinigt!A$3:AM$103,12,FALSE),0),0),0)</f>
        <v>-5.9153709462461128</v>
      </c>
      <c r="M14" s="97">
        <f>IF(VLOOKUP(A14,Aktien_im_Umlauf_splitbereinigt!A$3:AM$103,14,FALSE)&lt;&gt;"",IF(VLOOKUP(A14,Aktien_im_Umlauf_splitbereinigt!A$3:AM$103,13,FALSE)&lt;&gt;"",IF(VLOOKUP(A14,Schlußkurse!A$5:AU$105,46,FALSE)&gt;0,((VLOOKUP(A14,Aktien_im_Umlauf_splitbereinigt!A$3:AM$103,14,FALSE)-VLOOKUP(A14,Aktien_im_Umlauf_splitbereinigt!A$3:AM$103,13,FALSE))*VLOOKUP(A14,Schlußkurse!A$5:AU$105,46,FALSE))/VLOOKUP(A14,Aktien_im_Umlauf_splitbereinigt!A$3:AM$103,13,FALSE),0),0),0)</f>
        <v>-9.3815640906987472</v>
      </c>
      <c r="N14" s="13">
        <f>IF(C14&gt;0,IF(VLOOKUP(A14,Dividende_je_Aktie!A$3:AM$103,8,FALSE)&lt;&gt;"",C14+VLOOKUP(A14,Dividende_je_Aktie!A$3:AM$103,8,FALSE),C14),IF(VLOOKUP(A14,Dividende_je_Aktie!A$3:AM$103,8,FALSE)&lt;&gt;"",VLOOKUP(A14,Dividende_je_Aktie!A$3:AM$103,8,FALSE),""))</f>
        <v>7.58</v>
      </c>
      <c r="O14" s="13">
        <f>IF(D14&gt;0,IF(VLOOKUP(A14,Dividende_je_Aktie!A$3:AM$103,9,FALSE)&lt;&gt;"",D14+VLOOKUP(A14,Dividende_je_Aktie!A$3:AM$103,9,FALSE),D14),IF(VLOOKUP(A14,Dividende_je_Aktie!A$3:AM$103,9,FALSE)&lt;&gt;"",VLOOKUP(A14,Dividende_je_Aktie!A$3:AM$103,9,FALSE),""))</f>
        <v>7.3</v>
      </c>
      <c r="P14" s="13">
        <f>IF(E14&gt;0,IF(VLOOKUP(A14,Dividende_je_Aktie!A$3:AM$103,10,FALSE)&lt;&gt;"",E14+VLOOKUP(A14,Dividende_je_Aktie!A$3:AM$103,10,FALSE),E14),IF(VLOOKUP(A14,Dividende_je_Aktie!A$3:AM$103,10,FALSE)&lt;&gt;"",VLOOKUP(A14,Dividende_je_Aktie!A$3:AM$103,10,FALSE),""))</f>
        <v>6.85</v>
      </c>
      <c r="Q14" s="13">
        <f>IF(F14&gt;0,IF(VLOOKUP(A14,Dividende_je_Aktie!A$3:AM$103,11,FALSE)&lt;&gt;"",F14+VLOOKUP(A14,Dividende_je_Aktie!A$3:AM$103,11,FALSE),F14),IF(VLOOKUP(A14,Dividende_je_Aktie!A$3:AM$103,11,FALSE)&lt;&gt;"",VLOOKUP(A14,Dividende_je_Aktie!A$3:AM$103,11,FALSE),""))</f>
        <v>5.3</v>
      </c>
      <c r="R14" s="13">
        <f>IF(G14&gt;0,IF(VLOOKUP(A14,Dividende_je_Aktie!A$3:AM$103,12,FALSE)&lt;&gt;"",G14+VLOOKUP(A14,Dividende_je_Aktie!A$3:AM$103,12,FALSE),G14),IF(VLOOKUP(A14,Dividende_je_Aktie!A$3:AM$103,12,FALSE)&lt;&gt;"",VLOOKUP(A14,Dividende_je_Aktie!A$3:AM$103,12,FALSE),""))</f>
        <v>4.5</v>
      </c>
      <c r="S14" s="13">
        <f>IF(H14&gt;0,IF(VLOOKUP(A14,Dividende_je_Aktie!A$3:AM$103,13,FALSE)&lt;&gt;"",H14+VLOOKUP(A14,Dividende_je_Aktie!A$3:AM$103,13,FALSE),H14),IF(VLOOKUP(A14,Dividende_je_Aktie!A$3:AM$103,13,FALSE)&lt;&gt;"",VLOOKUP(A14,Dividende_je_Aktie!A$3:AM$103,13,FALSE),""))</f>
        <v>4.5</v>
      </c>
      <c r="T14" s="13">
        <f>IF(I14&gt;0,IF(VLOOKUP(A14,Dividende_je_Aktie!A$3:AM$103,14,FALSE)&lt;&gt;"",I14+VLOOKUP(A14,Dividende_je_Aktie!A$3:AM$103,14,FALSE),I14),IF(VLOOKUP(A14,Dividende_je_Aktie!A$3:AM$103,14,FALSE)&lt;&gt;"",VLOOKUP(A14,Dividende_je_Aktie!A$3:AM$103,14,FALSE),""))</f>
        <v>4.5</v>
      </c>
      <c r="U14" s="13">
        <f>IF(J14&gt;0,IF(VLOOKUP(A14,Dividende_je_Aktie!A$3:AM$103,15,FALSE)&lt;&gt;"",J14+VLOOKUP(A14,Dividende_je_Aktie!A$3:AM$103,15,FALSE),J14),IF(VLOOKUP(A14,Dividende_je_Aktie!A$3:AM$103,15,FALSE)&lt;&gt;"",VLOOKUP(A14,Dividende_je_Aktie!A$3:AM$103,15,FALSE),""))</f>
        <v>4.0999999999999996</v>
      </c>
      <c r="V14" s="13">
        <f>IF(K14&gt;0,IF(VLOOKUP(A14,Dividende_je_Aktie!A$3:AM$103,16,FALSE)&lt;&gt;"",K14+VLOOKUP(A14,Dividende_je_Aktie!A$3:AM$103,16,FALSE),K14),IF(VLOOKUP(A14,Dividende_je_Aktie!A$3:AM$103,16,FALSE)&lt;&gt;"",VLOOKUP(A14,Dividende_je_Aktie!A$3:AM$103,16,FALSE),""))</f>
        <v>3.5</v>
      </c>
      <c r="W14" s="13">
        <f>IF(L14&gt;0,IF(VLOOKUP(A14,Dividende_je_Aktie!A$3:AM$103,17,FALSE)&lt;&gt;"",L14+VLOOKUP(A14,Dividende_je_Aktie!A$3:AM$103,17,FALSE),L14),IF(VLOOKUP(A14,Dividende_je_Aktie!A$3:AM$103,17,FALSE)&lt;&gt;"",VLOOKUP(A14,Dividende_je_Aktie!A$3:AM$103,17,FALSE),""))</f>
        <v>5.5</v>
      </c>
      <c r="X14" s="13">
        <f>IF(M14&gt;0,IF(VLOOKUP(A14,Dividende_je_Aktie!A$3:AM$103,18,FALSE)&lt;&gt;"",M14+VLOOKUP(A14,Dividende_je_Aktie!A$3:AM$103,18,FALSE),M14),IF(VLOOKUP(A14,Dividende_je_Aktie!A$3:AM$103,18,FALSE)&lt;&gt;"",VLOOKUP(A14,Dividende_je_Aktie!A$3:AM$103,18,FALSE),""))</f>
        <v>3.8</v>
      </c>
    </row>
    <row r="15" spans="1:24">
      <c r="A15" t="s">
        <v>20</v>
      </c>
      <c r="B15" t="s">
        <v>21</v>
      </c>
      <c r="C15" s="13">
        <f>IF(VLOOKUP(A15,Aktien_im_Umlauf_splitbereinigt!A$3:AM$103,4,FALSE)&lt;&gt;"",IF(VLOOKUP(A15,Aktien_im_Umlauf_splitbereinigt!A$3:AM$103,3,FALSE)&lt;&gt;"",IF(VLOOKUP(A15,Schlußkurse!A$5:AU$105,36,FALSE)&gt;0,((VLOOKUP(A15,Aktien_im_Umlauf_splitbereinigt!A$3:AM$103,4,FALSE)-VLOOKUP(A15,Aktien_im_Umlauf_splitbereinigt!A$3:AM$103,3,FALSE))*VLOOKUP(A15,Schlußkurse!A$5:AU$105,36,FALSE))/VLOOKUP(A15,Aktien_im_Umlauf_splitbereinigt!A$3:AM$103,3,FALSE),0),0),0)</f>
        <v>0</v>
      </c>
      <c r="D15" s="97">
        <f>IF(VLOOKUP(A15,Aktien_im_Umlauf_splitbereinigt!A$3:AM$103,5,FALSE)&lt;&gt;"",IF(VLOOKUP(A15,Aktien_im_Umlauf_splitbereinigt!A$3:AM$103,4,FALSE)&lt;&gt;"",IF(VLOOKUP(A15,Schlußkurse!A$5:AU$105,37,FALSE)&gt;0,((VLOOKUP(A15,Aktien_im_Umlauf_splitbereinigt!A$3:AM$103,5,FALSE)-VLOOKUP(A15,Aktien_im_Umlauf_splitbereinigt!A$3:AM$103,4,FALSE))*VLOOKUP(A15,Schlußkurse!A$5:AU$105,37,FALSE))/VLOOKUP(A15,Aktien_im_Umlauf_splitbereinigt!A$3:AM$103,4,FALSE),0),0),0)</f>
        <v>6.7475125869096075</v>
      </c>
      <c r="E15" s="97">
        <f>IF(VLOOKUP(A15,Aktien_im_Umlauf_splitbereinigt!A$3:AM$103,6,FALSE)&lt;&gt;"",IF(VLOOKUP(A15,Aktien_im_Umlauf_splitbereinigt!A$3:AM$103,5,FALSE)&lt;&gt;"",IF(VLOOKUP(A15,Schlußkurse!A$5:AU$105,38,FALSE)&gt;0,((VLOOKUP(A15,Aktien_im_Umlauf_splitbereinigt!A$3:AM$103,6,FALSE)-VLOOKUP(A15,Aktien_im_Umlauf_splitbereinigt!A$3:AM$103,5,FALSE))*VLOOKUP(A15,Schlußkurse!A$5:AU$105,38,FALSE))/VLOOKUP(A15,Aktien_im_Umlauf_splitbereinigt!A$3:AM$103,5,FALSE),0),0),0)</f>
        <v>6.133919278362443</v>
      </c>
      <c r="F15" s="97">
        <f>IF(VLOOKUP(A15,Aktien_im_Umlauf_splitbereinigt!A$3:AM$103,7,FALSE)&lt;&gt;"",IF(VLOOKUP(A15,Aktien_im_Umlauf_splitbereinigt!A$3:AM$103,6,FALSE)&lt;&gt;"",IF(VLOOKUP(A15,Schlußkurse!A$5:AU$105,39,FALSE)&gt;0,((VLOOKUP(A15,Aktien_im_Umlauf_splitbereinigt!A$3:AM$103,7,FALSE)-VLOOKUP(A15,Aktien_im_Umlauf_splitbereinigt!A$3:AM$103,6,FALSE))*VLOOKUP(A15,Schlußkurse!A$5:AU$105,39,FALSE))/VLOOKUP(A15,Aktien_im_Umlauf_splitbereinigt!A$3:AM$103,6,FALSE),0),0),0)</f>
        <v>0</v>
      </c>
      <c r="G15" s="97">
        <f>IF(VLOOKUP(A15,Aktien_im_Umlauf_splitbereinigt!A$3:AM$103,8,FALSE)&lt;&gt;"",IF(VLOOKUP(A15,Aktien_im_Umlauf_splitbereinigt!A$3:AM$103,7,FALSE)&lt;&gt;"",IF(VLOOKUP(A15,Schlußkurse!A$5:AU$105,40,FALSE)&gt;0,((VLOOKUP(A15,Aktien_im_Umlauf_splitbereinigt!A$3:AM$103,8,FALSE)-VLOOKUP(A15,Aktien_im_Umlauf_splitbereinigt!A$3:AM$103,7,FALSE))*VLOOKUP(A15,Schlußkurse!A$5:AU$105,40,FALSE))/VLOOKUP(A15,Aktien_im_Umlauf_splitbereinigt!A$3:AM$103,7,FALSE),0),0),0)</f>
        <v>-3.0333444853345142E-2</v>
      </c>
      <c r="H15" s="97">
        <f>IF(VLOOKUP(A15,Aktien_im_Umlauf_splitbereinigt!A$3:AM$103,9,FALSE)&lt;&gt;"",IF(VLOOKUP(A15,Aktien_im_Umlauf_splitbereinigt!A$3:AM$103,8,FALSE)&lt;&gt;"",IF(VLOOKUP(A15,Schlußkurse!A$5:AU$105,41,FALSE)&gt;0,((VLOOKUP(A15,Aktien_im_Umlauf_splitbereinigt!A$3:AM$103,9,FALSE)-VLOOKUP(A15,Aktien_im_Umlauf_splitbereinigt!A$3:AM$103,8,FALSE))*VLOOKUP(A15,Schlußkurse!A$5:AU$105,41,FALSE))/VLOOKUP(A15,Aktien_im_Umlauf_splitbereinigt!A$3:AM$103,8,FALSE),0),0),0)</f>
        <v>4.8632236475181196</v>
      </c>
      <c r="I15" s="97">
        <f>IF(VLOOKUP(A15,Aktien_im_Umlauf_splitbereinigt!A$3:AM$103,10,FALSE)&lt;&gt;"",IF(VLOOKUP(A15,Aktien_im_Umlauf_splitbereinigt!A$3:AM$103,9,FALSE)&lt;&gt;"",IF(VLOOKUP(A15,Schlußkurse!A$5:AU$105,42,FALSE)&gt;0,((VLOOKUP(A15,Aktien_im_Umlauf_splitbereinigt!A$3:AM$103,10,FALSE)-VLOOKUP(A15,Aktien_im_Umlauf_splitbereinigt!A$3:AM$103,9,FALSE))*VLOOKUP(A15,Schlußkurse!A$5:AU$105,42,FALSE))/VLOOKUP(A15,Aktien_im_Umlauf_splitbereinigt!A$3:AM$103,9,FALSE),0),0),0)</f>
        <v>5.3565251989389955</v>
      </c>
      <c r="J15" s="97">
        <f>IF(VLOOKUP(A15,Aktien_im_Umlauf_splitbereinigt!A$3:AM$103,11,FALSE)&lt;&gt;"",IF(VLOOKUP(A15,Aktien_im_Umlauf_splitbereinigt!A$3:AM$103,10,FALSE)&lt;&gt;"",IF(VLOOKUP(A15,Schlußkurse!A$5:AU$105,43,FALSE)&gt;0,((VLOOKUP(A15,Aktien_im_Umlauf_splitbereinigt!A$3:AM$103,11,FALSE)-VLOOKUP(A15,Aktien_im_Umlauf_splitbereinigt!A$3:AM$103,10,FALSE))*VLOOKUP(A15,Schlußkurse!A$5:AU$105,43,FALSE))/VLOOKUP(A15,Aktien_im_Umlauf_splitbereinigt!A$3:AM$103,10,FALSE),0),0),0)</f>
        <v>4.9545592705167172</v>
      </c>
      <c r="K15" s="97">
        <f>IF(VLOOKUP(A15,Aktien_im_Umlauf_splitbereinigt!A$3:AM$103,12,FALSE)&lt;&gt;"",IF(VLOOKUP(A15,Aktien_im_Umlauf_splitbereinigt!A$3:AM$103,11,FALSE)&lt;&gt;"",IF(VLOOKUP(A15,Schlußkurse!A$5:AU$105,44,FALSE)&gt;0,((VLOOKUP(A15,Aktien_im_Umlauf_splitbereinigt!A$3:AM$103,12,FALSE)-VLOOKUP(A15,Aktien_im_Umlauf_splitbereinigt!A$3:AM$103,11,FALSE))*VLOOKUP(A15,Schlußkurse!A$5:AU$105,44,FALSE))/VLOOKUP(A15,Aktien_im_Umlauf_splitbereinigt!A$3:AM$103,11,FALSE),0),0),0)</f>
        <v>6.1845930232558137</v>
      </c>
      <c r="L15" s="97">
        <f>IF(VLOOKUP(A15,Aktien_im_Umlauf_splitbereinigt!A$3:AM$103,13,FALSE)&lt;&gt;"",IF(VLOOKUP(A15,Aktien_im_Umlauf_splitbereinigt!A$3:AM$103,12,FALSE)&lt;&gt;"",IF(VLOOKUP(A15,Schlußkurse!A$5:AU$105,45,FALSE)&gt;0,((VLOOKUP(A15,Aktien_im_Umlauf_splitbereinigt!A$3:AM$103,13,FALSE)-VLOOKUP(A15,Aktien_im_Umlauf_splitbereinigt!A$3:AM$103,12,FALSE))*VLOOKUP(A15,Schlußkurse!A$5:AU$105,45,FALSE))/VLOOKUP(A15,Aktien_im_Umlauf_splitbereinigt!A$3:AM$103,12,FALSE),0),0),0)</f>
        <v>7.1381275814593783</v>
      </c>
      <c r="M15" s="97">
        <f>IF(VLOOKUP(A15,Aktien_im_Umlauf_splitbereinigt!A$3:AM$103,14,FALSE)&lt;&gt;"",IF(VLOOKUP(A15,Aktien_im_Umlauf_splitbereinigt!A$3:AM$103,13,FALSE)&lt;&gt;"",IF(VLOOKUP(A15,Schlußkurse!A$5:AU$105,46,FALSE)&gt;0,((VLOOKUP(A15,Aktien_im_Umlauf_splitbereinigt!A$3:AM$103,14,FALSE)-VLOOKUP(A15,Aktien_im_Umlauf_splitbereinigt!A$3:AM$103,13,FALSE))*VLOOKUP(A15,Schlußkurse!A$5:AU$105,46,FALSE))/VLOOKUP(A15,Aktien_im_Umlauf_splitbereinigt!A$3:AM$103,13,FALSE),0),0),0)</f>
        <v>0</v>
      </c>
      <c r="N15" s="13">
        <f>IF(C15&gt;0,IF(VLOOKUP(A15,Dividende_je_Aktie!A$3:AM$103,8,FALSE)&lt;&gt;"",C15+VLOOKUP(A15,Dividende_je_Aktie!A$3:AM$103,8,FALSE),C15),IF(VLOOKUP(A15,Dividende_je_Aktie!A$3:AM$103,8,FALSE)&lt;&gt;"",VLOOKUP(A15,Dividende_je_Aktie!A$3:AM$103,8,FALSE),""))</f>
        <v>8.4600000000000009</v>
      </c>
      <c r="O15" s="13">
        <f>IF(D15&gt;0,IF(VLOOKUP(A15,Dividende_je_Aktie!A$3:AM$103,9,FALSE)&lt;&gt;"",D15+VLOOKUP(A15,Dividende_je_Aktie!A$3:AM$103,9,FALSE),D15),IF(VLOOKUP(A15,Dividende_je_Aktie!A$3:AM$103,9,FALSE)&lt;&gt;"",VLOOKUP(A15,Dividende_je_Aktie!A$3:AM$103,9,FALSE),""))</f>
        <v>14.997512586909608</v>
      </c>
      <c r="P15" s="13">
        <f>IF(E15&gt;0,IF(VLOOKUP(A15,Dividende_je_Aktie!A$3:AM$103,10,FALSE)&lt;&gt;"",E15+VLOOKUP(A15,Dividende_je_Aktie!A$3:AM$103,10,FALSE),E15),IF(VLOOKUP(A15,Dividende_je_Aktie!A$3:AM$103,10,FALSE)&lt;&gt;"",VLOOKUP(A15,Dividende_je_Aktie!A$3:AM$103,10,FALSE),""))</f>
        <v>13.883919278362443</v>
      </c>
      <c r="Q15" s="13">
        <f>IF(F15&gt;0,IF(VLOOKUP(A15,Dividende_je_Aktie!A$3:AM$103,11,FALSE)&lt;&gt;"",F15+VLOOKUP(A15,Dividende_je_Aktie!A$3:AM$103,11,FALSE),F15),IF(VLOOKUP(A15,Dividende_je_Aktie!A$3:AM$103,11,FALSE)&lt;&gt;"",VLOOKUP(A15,Dividende_je_Aktie!A$3:AM$103,11,FALSE),""))</f>
        <v>7.25</v>
      </c>
      <c r="R15" s="13">
        <f>IF(G15&gt;0,IF(VLOOKUP(A15,Dividende_je_Aktie!A$3:AM$103,12,FALSE)&lt;&gt;"",G15+VLOOKUP(A15,Dividende_je_Aktie!A$3:AM$103,12,FALSE),G15),IF(VLOOKUP(A15,Dividende_je_Aktie!A$3:AM$103,12,FALSE)&lt;&gt;"",VLOOKUP(A15,Dividende_je_Aktie!A$3:AM$103,12,FALSE),""))</f>
        <v>7</v>
      </c>
      <c r="S15" s="13">
        <f>IF(H15&gt;0,IF(VLOOKUP(A15,Dividende_je_Aktie!A$3:AM$103,13,FALSE)&lt;&gt;"",H15+VLOOKUP(A15,Dividende_je_Aktie!A$3:AM$103,13,FALSE),H15),IF(VLOOKUP(A15,Dividende_je_Aktie!A$3:AM$103,13,FALSE)&lt;&gt;"",VLOOKUP(A15,Dividende_je_Aktie!A$3:AM$103,13,FALSE),""))</f>
        <v>11.113223647518119</v>
      </c>
      <c r="T15" s="13">
        <f>IF(I15&gt;0,IF(VLOOKUP(A15,Dividende_je_Aktie!A$3:AM$103,14,FALSE)&lt;&gt;"",I15+VLOOKUP(A15,Dividende_je_Aktie!A$3:AM$103,14,FALSE),I15),IF(VLOOKUP(A15,Dividende_je_Aktie!A$3:AM$103,14,FALSE)&lt;&gt;"",VLOOKUP(A15,Dividende_je_Aktie!A$3:AM$103,14,FALSE),""))</f>
        <v>11.606525198938996</v>
      </c>
      <c r="U15" s="13">
        <f>IF(J15&gt;0,IF(VLOOKUP(A15,Dividende_je_Aktie!A$3:AM$103,15,FALSE)&lt;&gt;"",J15+VLOOKUP(A15,Dividende_je_Aktie!A$3:AM$103,15,FALSE),J15),IF(VLOOKUP(A15,Dividende_je_Aktie!A$3:AM$103,15,FALSE)&lt;&gt;"",VLOOKUP(A15,Dividende_je_Aktie!A$3:AM$103,15,FALSE),""))</f>
        <v>10.704559270516718</v>
      </c>
      <c r="V15" s="13">
        <f>IF(K15&gt;0,IF(VLOOKUP(A15,Dividende_je_Aktie!A$3:AM$103,16,FALSE)&lt;&gt;"",K15+VLOOKUP(A15,Dividende_je_Aktie!A$3:AM$103,16,FALSE),K15),IF(VLOOKUP(A15,Dividende_je_Aktie!A$3:AM$103,16,FALSE)&lt;&gt;"",VLOOKUP(A15,Dividende_je_Aktie!A$3:AM$103,16,FALSE),""))</f>
        <v>11.684593023255815</v>
      </c>
      <c r="W15" s="13">
        <f>IF(L15&gt;0,IF(VLOOKUP(A15,Dividende_je_Aktie!A$3:AM$103,17,FALSE)&lt;&gt;"",L15+VLOOKUP(A15,Dividende_je_Aktie!A$3:AM$103,17,FALSE),L15),IF(VLOOKUP(A15,Dividende_je_Aktie!A$3:AM$103,17,FALSE)&lt;&gt;"",VLOOKUP(A15,Dividende_je_Aktie!A$3:AM$103,17,FALSE),""))</f>
        <v>12.638127581459379</v>
      </c>
      <c r="X15" s="13">
        <f>IF(M15&gt;0,IF(VLOOKUP(A15,Dividende_je_Aktie!A$3:AM$103,18,FALSE)&lt;&gt;"",M15+VLOOKUP(A15,Dividende_je_Aktie!A$3:AM$103,18,FALSE),M15),IF(VLOOKUP(A15,Dividende_je_Aktie!A$3:AM$103,18,FALSE)&lt;&gt;"",VLOOKUP(A15,Dividende_je_Aktie!A$3:AM$103,18,FALSE),""))</f>
        <v>4.5</v>
      </c>
    </row>
    <row r="16" spans="1:24">
      <c r="A16" t="s">
        <v>22</v>
      </c>
      <c r="B16" t="s">
        <v>23</v>
      </c>
      <c r="C16" s="13">
        <f>IF(VLOOKUP(A16,Aktien_im_Umlauf_splitbereinigt!A$3:AM$103,4,FALSE)&lt;&gt;"",IF(VLOOKUP(A16,Aktien_im_Umlauf_splitbereinigt!A$3:AM$103,3,FALSE)&lt;&gt;"",IF(VLOOKUP(A16,Schlußkurse!A$5:AU$105,36,FALSE)&gt;0,((VLOOKUP(A16,Aktien_im_Umlauf_splitbereinigt!A$3:AM$103,4,FALSE)-VLOOKUP(A16,Aktien_im_Umlauf_splitbereinigt!A$3:AM$103,3,FALSE))*VLOOKUP(A16,Schlußkurse!A$5:AU$105,36,FALSE))/VLOOKUP(A16,Aktien_im_Umlauf_splitbereinigt!A$3:AM$103,3,FALSE),0),0),0)</f>
        <v>0</v>
      </c>
      <c r="D16" s="97">
        <f>IF(VLOOKUP(A16,Aktien_im_Umlauf_splitbereinigt!A$3:AM$103,5,FALSE)&lt;&gt;"",IF(VLOOKUP(A16,Aktien_im_Umlauf_splitbereinigt!A$3:AM$103,4,FALSE)&lt;&gt;"",IF(VLOOKUP(A16,Schlußkurse!A$5:AU$105,37,FALSE)&gt;0,((VLOOKUP(A16,Aktien_im_Umlauf_splitbereinigt!A$3:AM$103,5,FALSE)-VLOOKUP(A16,Aktien_im_Umlauf_splitbereinigt!A$3:AM$103,4,FALSE))*VLOOKUP(A16,Schlußkurse!A$5:AU$105,37,FALSE))/VLOOKUP(A16,Aktien_im_Umlauf_splitbereinigt!A$3:AM$103,4,FALSE),0),0),0)</f>
        <v>0</v>
      </c>
      <c r="E16" s="97">
        <f>IF(VLOOKUP(A16,Aktien_im_Umlauf_splitbereinigt!A$3:AM$103,6,FALSE)&lt;&gt;"",IF(VLOOKUP(A16,Aktien_im_Umlauf_splitbereinigt!A$3:AM$103,5,FALSE)&lt;&gt;"",IF(VLOOKUP(A16,Schlußkurse!A$5:AU$105,38,FALSE)&gt;0,((VLOOKUP(A16,Aktien_im_Umlauf_splitbereinigt!A$3:AM$103,6,FALSE)-VLOOKUP(A16,Aktien_im_Umlauf_splitbereinigt!A$3:AM$103,5,FALSE))*VLOOKUP(A16,Schlußkurse!A$5:AU$105,38,FALSE))/VLOOKUP(A16,Aktien_im_Umlauf_splitbereinigt!A$3:AM$103,5,FALSE),0),0),0)</f>
        <v>0</v>
      </c>
      <c r="F16" s="97">
        <f>IF(VLOOKUP(A16,Aktien_im_Umlauf_splitbereinigt!A$3:AM$103,7,FALSE)&lt;&gt;"",IF(VLOOKUP(A16,Aktien_im_Umlauf_splitbereinigt!A$3:AM$103,6,FALSE)&lt;&gt;"",IF(VLOOKUP(A16,Schlußkurse!A$5:AU$105,39,FALSE)&gt;0,((VLOOKUP(A16,Aktien_im_Umlauf_splitbereinigt!A$3:AM$103,7,FALSE)-VLOOKUP(A16,Aktien_im_Umlauf_splitbereinigt!A$3:AM$103,6,FALSE))*VLOOKUP(A16,Schlußkurse!A$5:AU$105,39,FALSE))/VLOOKUP(A16,Aktien_im_Umlauf_splitbereinigt!A$3:AM$103,6,FALSE),0),0),0)</f>
        <v>0</v>
      </c>
      <c r="G16" s="97">
        <f>IF(VLOOKUP(A16,Aktien_im_Umlauf_splitbereinigt!A$3:AM$103,8,FALSE)&lt;&gt;"",IF(VLOOKUP(A16,Aktien_im_Umlauf_splitbereinigt!A$3:AM$103,7,FALSE)&lt;&gt;"",IF(VLOOKUP(A16,Schlußkurse!A$5:AU$105,40,FALSE)&gt;0,((VLOOKUP(A16,Aktien_im_Umlauf_splitbereinigt!A$3:AM$103,8,FALSE)-VLOOKUP(A16,Aktien_im_Umlauf_splitbereinigt!A$3:AM$103,7,FALSE))*VLOOKUP(A16,Schlußkurse!A$5:AU$105,40,FALSE))/VLOOKUP(A16,Aktien_im_Umlauf_splitbereinigt!A$3:AM$103,7,FALSE),0),0),0)</f>
        <v>0</v>
      </c>
      <c r="H16" s="97">
        <f>IF(VLOOKUP(A16,Aktien_im_Umlauf_splitbereinigt!A$3:AM$103,9,FALSE)&lt;&gt;"",IF(VLOOKUP(A16,Aktien_im_Umlauf_splitbereinigt!A$3:AM$103,8,FALSE)&lt;&gt;"",IF(VLOOKUP(A16,Schlußkurse!A$5:AU$105,41,FALSE)&gt;0,((VLOOKUP(A16,Aktien_im_Umlauf_splitbereinigt!A$3:AM$103,9,FALSE)-VLOOKUP(A16,Aktien_im_Umlauf_splitbereinigt!A$3:AM$103,8,FALSE))*VLOOKUP(A16,Schlußkurse!A$5:AU$105,41,FALSE))/VLOOKUP(A16,Aktien_im_Umlauf_splitbereinigt!A$3:AM$103,8,FALSE),0),0),0)</f>
        <v>0</v>
      </c>
      <c r="I16" s="97">
        <f>IF(VLOOKUP(A16,Aktien_im_Umlauf_splitbereinigt!A$3:AM$103,10,FALSE)&lt;&gt;"",IF(VLOOKUP(A16,Aktien_im_Umlauf_splitbereinigt!A$3:AM$103,9,FALSE)&lt;&gt;"",IF(VLOOKUP(A16,Schlußkurse!A$5:AU$105,42,FALSE)&gt;0,((VLOOKUP(A16,Aktien_im_Umlauf_splitbereinigt!A$3:AM$103,10,FALSE)-VLOOKUP(A16,Aktien_im_Umlauf_splitbereinigt!A$3:AM$103,9,FALSE))*VLOOKUP(A16,Schlußkurse!A$5:AU$105,42,FALSE))/VLOOKUP(A16,Aktien_im_Umlauf_splitbereinigt!A$3:AM$103,9,FALSE),0),0),0)</f>
        <v>0</v>
      </c>
      <c r="J16" s="97">
        <f>IF(VLOOKUP(A16,Aktien_im_Umlauf_splitbereinigt!A$3:AM$103,11,FALSE)&lt;&gt;"",IF(VLOOKUP(A16,Aktien_im_Umlauf_splitbereinigt!A$3:AM$103,10,FALSE)&lt;&gt;"",IF(VLOOKUP(A16,Schlußkurse!A$5:AU$105,43,FALSE)&gt;0,((VLOOKUP(A16,Aktien_im_Umlauf_splitbereinigt!A$3:AM$103,11,FALSE)-VLOOKUP(A16,Aktien_im_Umlauf_splitbereinigt!A$3:AM$103,10,FALSE))*VLOOKUP(A16,Schlußkurse!A$5:AU$105,43,FALSE))/VLOOKUP(A16,Aktien_im_Umlauf_splitbereinigt!A$3:AM$103,10,FALSE),0),0),0)</f>
        <v>0</v>
      </c>
      <c r="K16" s="97">
        <f>IF(VLOOKUP(A16,Aktien_im_Umlauf_splitbereinigt!A$3:AM$103,12,FALSE)&lt;&gt;"",IF(VLOOKUP(A16,Aktien_im_Umlauf_splitbereinigt!A$3:AM$103,11,FALSE)&lt;&gt;"",IF(VLOOKUP(A16,Schlußkurse!A$5:AU$105,44,FALSE)&gt;0,((VLOOKUP(A16,Aktien_im_Umlauf_splitbereinigt!A$3:AM$103,12,FALSE)-VLOOKUP(A16,Aktien_im_Umlauf_splitbereinigt!A$3:AM$103,11,FALSE))*VLOOKUP(A16,Schlußkurse!A$5:AU$105,44,FALSE))/VLOOKUP(A16,Aktien_im_Umlauf_splitbereinigt!A$3:AM$103,11,FALSE),0),0),0)</f>
        <v>1.1442210125204131</v>
      </c>
      <c r="L16" s="97">
        <f>IF(VLOOKUP(A16,Aktien_im_Umlauf_splitbereinigt!A$3:AM$103,13,FALSE)&lt;&gt;"",IF(VLOOKUP(A16,Aktien_im_Umlauf_splitbereinigt!A$3:AM$103,12,FALSE)&lt;&gt;"",IF(VLOOKUP(A16,Schlußkurse!A$5:AU$105,45,FALSE)&gt;0,((VLOOKUP(A16,Aktien_im_Umlauf_splitbereinigt!A$3:AM$103,13,FALSE)-VLOOKUP(A16,Aktien_im_Umlauf_splitbereinigt!A$3:AM$103,12,FALSE))*VLOOKUP(A16,Schlußkurse!A$5:AU$105,45,FALSE))/VLOOKUP(A16,Aktien_im_Umlauf_splitbereinigt!A$3:AM$103,12,FALSE),0),0),0)</f>
        <v>2.2797103722291929</v>
      </c>
      <c r="M16" s="97">
        <f>IF(VLOOKUP(A16,Aktien_im_Umlauf_splitbereinigt!A$3:AM$103,14,FALSE)&lt;&gt;"",IF(VLOOKUP(A16,Aktien_im_Umlauf_splitbereinigt!A$3:AM$103,13,FALSE)&lt;&gt;"",IF(VLOOKUP(A16,Schlußkurse!A$5:AU$105,46,FALSE)&gt;0,((VLOOKUP(A16,Aktien_im_Umlauf_splitbereinigt!A$3:AM$103,14,FALSE)-VLOOKUP(A16,Aktien_im_Umlauf_splitbereinigt!A$3:AM$103,13,FALSE))*VLOOKUP(A16,Schlußkurse!A$5:AU$105,46,FALSE))/VLOOKUP(A16,Aktien_im_Umlauf_splitbereinigt!A$3:AM$103,13,FALSE),0),0),0)</f>
        <v>1.0936361817090261</v>
      </c>
      <c r="N16" s="13">
        <f>IF(C16&gt;0,IF(VLOOKUP(A16,Dividende_je_Aktie!A$3:AM$103,8,FALSE)&lt;&gt;"",C16+VLOOKUP(A16,Dividende_je_Aktie!A$3:AM$103,8,FALSE),C16),IF(VLOOKUP(A16,Dividende_je_Aktie!A$3:AM$103,8,FALSE)&lt;&gt;"",VLOOKUP(A16,Dividende_je_Aktie!A$3:AM$103,8,FALSE),""))</f>
        <v>2.95</v>
      </c>
      <c r="O16" s="13">
        <f>IF(D16&gt;0,IF(VLOOKUP(A16,Dividende_je_Aktie!A$3:AM$103,9,FALSE)&lt;&gt;"",D16+VLOOKUP(A16,Dividende_je_Aktie!A$3:AM$103,9,FALSE),D16),IF(VLOOKUP(A16,Dividende_je_Aktie!A$3:AM$103,9,FALSE)&lt;&gt;"",VLOOKUP(A16,Dividende_je_Aktie!A$3:AM$103,9,FALSE),""))</f>
        <v>2.9</v>
      </c>
      <c r="P16" s="13">
        <f>IF(E16&gt;0,IF(VLOOKUP(A16,Dividende_je_Aktie!A$3:AM$103,10,FALSE)&lt;&gt;"",E16+VLOOKUP(A16,Dividende_je_Aktie!A$3:AM$103,10,FALSE),E16),IF(VLOOKUP(A16,Dividende_je_Aktie!A$3:AM$103,10,FALSE)&lt;&gt;"",VLOOKUP(A16,Dividende_je_Aktie!A$3:AM$103,10,FALSE),""))</f>
        <v>2.8</v>
      </c>
      <c r="Q16" s="13">
        <f>IF(F16&gt;0,IF(VLOOKUP(A16,Dividende_je_Aktie!A$3:AM$103,11,FALSE)&lt;&gt;"",F16+VLOOKUP(A16,Dividende_je_Aktie!A$3:AM$103,11,FALSE),F16),IF(VLOOKUP(A16,Dividende_je_Aktie!A$3:AM$103,11,FALSE)&lt;&gt;"",VLOOKUP(A16,Dividende_je_Aktie!A$3:AM$103,11,FALSE),""))</f>
        <v>2.7</v>
      </c>
      <c r="R16" s="13">
        <f>IF(G16&gt;0,IF(VLOOKUP(A16,Dividende_je_Aktie!A$3:AM$103,12,FALSE)&lt;&gt;"",G16+VLOOKUP(A16,Dividende_je_Aktie!A$3:AM$103,12,FALSE),G16),IF(VLOOKUP(A16,Dividende_je_Aktie!A$3:AM$103,12,FALSE)&lt;&gt;"",VLOOKUP(A16,Dividende_je_Aktie!A$3:AM$103,12,FALSE),""))</f>
        <v>2.6</v>
      </c>
      <c r="S16" s="13">
        <f>IF(H16&gt;0,IF(VLOOKUP(A16,Dividende_je_Aktie!A$3:AM$103,13,FALSE)&lt;&gt;"",H16+VLOOKUP(A16,Dividende_je_Aktie!A$3:AM$103,13,FALSE),H16),IF(VLOOKUP(A16,Dividende_je_Aktie!A$3:AM$103,13,FALSE)&lt;&gt;"",VLOOKUP(A16,Dividende_je_Aktie!A$3:AM$103,13,FALSE),""))</f>
        <v>2.5</v>
      </c>
      <c r="T16" s="13">
        <f>IF(I16&gt;0,IF(VLOOKUP(A16,Dividende_je_Aktie!A$3:AM$103,14,FALSE)&lt;&gt;"",I16+VLOOKUP(A16,Dividende_je_Aktie!A$3:AM$103,14,FALSE),I16),IF(VLOOKUP(A16,Dividende_je_Aktie!A$3:AM$103,14,FALSE)&lt;&gt;"",VLOOKUP(A16,Dividende_je_Aktie!A$3:AM$103,14,FALSE),""))</f>
        <v>2.2000000000000002</v>
      </c>
      <c r="U16" s="13">
        <f>IF(J16&gt;0,IF(VLOOKUP(A16,Dividende_je_Aktie!A$3:AM$103,15,FALSE)&lt;&gt;"",J16+VLOOKUP(A16,Dividende_je_Aktie!A$3:AM$103,15,FALSE),J16),IF(VLOOKUP(A16,Dividende_je_Aktie!A$3:AM$103,15,FALSE)&lt;&gt;"",VLOOKUP(A16,Dividende_je_Aktie!A$3:AM$103,15,FALSE),""))</f>
        <v>1.7</v>
      </c>
      <c r="V16" s="13">
        <f>IF(K16&gt;0,IF(VLOOKUP(A16,Dividende_je_Aktie!A$3:AM$103,16,FALSE)&lt;&gt;"",K16+VLOOKUP(A16,Dividende_je_Aktie!A$3:AM$103,16,FALSE),K16),IF(VLOOKUP(A16,Dividende_je_Aktie!A$3:AM$103,16,FALSE)&lt;&gt;"",VLOOKUP(A16,Dividende_je_Aktie!A$3:AM$103,16,FALSE),""))</f>
        <v>3.0942210125204133</v>
      </c>
      <c r="W16" s="13">
        <f>IF(L16&gt;0,IF(VLOOKUP(A16,Dividende_je_Aktie!A$3:AM$103,17,FALSE)&lt;&gt;"",L16+VLOOKUP(A16,Dividende_je_Aktie!A$3:AM$103,17,FALSE),L16),IF(VLOOKUP(A16,Dividende_je_Aktie!A$3:AM$103,17,FALSE)&lt;&gt;"",VLOOKUP(A16,Dividende_je_Aktie!A$3:AM$103,17,FALSE),""))</f>
        <v>4.2297103722291931</v>
      </c>
      <c r="X16" s="13">
        <f>IF(M16&gt;0,IF(VLOOKUP(A16,Dividende_je_Aktie!A$3:AM$103,18,FALSE)&lt;&gt;"",M16+VLOOKUP(A16,Dividende_je_Aktie!A$3:AM$103,18,FALSE),M16),IF(VLOOKUP(A16,Dividende_je_Aktie!A$3:AM$103,18,FALSE)&lt;&gt;"",VLOOKUP(A16,Dividende_je_Aktie!A$3:AM$103,18,FALSE),""))</f>
        <v>2.5936361817090261</v>
      </c>
    </row>
    <row r="17" spans="1:24">
      <c r="A17" t="s">
        <v>24</v>
      </c>
      <c r="B17" t="s">
        <v>25</v>
      </c>
      <c r="C17" s="13">
        <f>IF(VLOOKUP(A17,Aktien_im_Umlauf_splitbereinigt!A$3:AM$103,4,FALSE)&lt;&gt;"",IF(VLOOKUP(A17,Aktien_im_Umlauf_splitbereinigt!A$3:AM$103,3,FALSE)&lt;&gt;"",IF(VLOOKUP(A17,Schlußkurse!A$5:AU$105,36,FALSE)&gt;0,((VLOOKUP(A17,Aktien_im_Umlauf_splitbereinigt!A$3:AM$103,4,FALSE)-VLOOKUP(A17,Aktien_im_Umlauf_splitbereinigt!A$3:AM$103,3,FALSE))*VLOOKUP(A17,Schlußkurse!A$5:AU$105,36,FALSE))/VLOOKUP(A17,Aktien_im_Umlauf_splitbereinigt!A$3:AM$103,3,FALSE),0),0),0)</f>
        <v>0</v>
      </c>
      <c r="D17" s="97">
        <f>IF(VLOOKUP(A17,Aktien_im_Umlauf_splitbereinigt!A$3:AM$103,5,FALSE)&lt;&gt;"",IF(VLOOKUP(A17,Aktien_im_Umlauf_splitbereinigt!A$3:AM$103,4,FALSE)&lt;&gt;"",IF(VLOOKUP(A17,Schlußkurse!A$5:AU$105,37,FALSE)&gt;0,((VLOOKUP(A17,Aktien_im_Umlauf_splitbereinigt!A$3:AM$103,5,FALSE)-VLOOKUP(A17,Aktien_im_Umlauf_splitbereinigt!A$3:AM$103,4,FALSE))*VLOOKUP(A17,Schlußkurse!A$5:AU$105,37,FALSE))/VLOOKUP(A17,Aktien_im_Umlauf_splitbereinigt!A$3:AM$103,4,FALSE),0),0),0)</f>
        <v>0</v>
      </c>
      <c r="E17" s="97">
        <f>IF(VLOOKUP(A17,Aktien_im_Umlauf_splitbereinigt!A$3:AM$103,6,FALSE)&lt;&gt;"",IF(VLOOKUP(A17,Aktien_im_Umlauf_splitbereinigt!A$3:AM$103,5,FALSE)&lt;&gt;"",IF(VLOOKUP(A17,Schlußkurse!A$5:AU$105,38,FALSE)&gt;0,((VLOOKUP(A17,Aktien_im_Umlauf_splitbereinigt!A$3:AM$103,6,FALSE)-VLOOKUP(A17,Aktien_im_Umlauf_splitbereinigt!A$3:AM$103,5,FALSE))*VLOOKUP(A17,Schlußkurse!A$5:AU$105,38,FALSE))/VLOOKUP(A17,Aktien_im_Umlauf_splitbereinigt!A$3:AM$103,5,FALSE),0),0),0)</f>
        <v>0</v>
      </c>
      <c r="F17" s="97">
        <f>IF(VLOOKUP(A17,Aktien_im_Umlauf_splitbereinigt!A$3:AM$103,7,FALSE)&lt;&gt;"",IF(VLOOKUP(A17,Aktien_im_Umlauf_splitbereinigt!A$3:AM$103,6,FALSE)&lt;&gt;"",IF(VLOOKUP(A17,Schlußkurse!A$5:AU$105,39,FALSE)&gt;0,((VLOOKUP(A17,Aktien_im_Umlauf_splitbereinigt!A$3:AM$103,7,FALSE)-VLOOKUP(A17,Aktien_im_Umlauf_splitbereinigt!A$3:AM$103,6,FALSE))*VLOOKUP(A17,Schlußkurse!A$5:AU$105,39,FALSE))/VLOOKUP(A17,Aktien_im_Umlauf_splitbereinigt!A$3:AM$103,6,FALSE),0),0),0)</f>
        <v>0</v>
      </c>
      <c r="G17" s="97">
        <f>IF(VLOOKUP(A17,Aktien_im_Umlauf_splitbereinigt!A$3:AM$103,8,FALSE)&lt;&gt;"",IF(VLOOKUP(A17,Aktien_im_Umlauf_splitbereinigt!A$3:AM$103,7,FALSE)&lt;&gt;"",IF(VLOOKUP(A17,Schlußkurse!A$5:AU$105,40,FALSE)&gt;0,((VLOOKUP(A17,Aktien_im_Umlauf_splitbereinigt!A$3:AM$103,8,FALSE)-VLOOKUP(A17,Aktien_im_Umlauf_splitbereinigt!A$3:AM$103,7,FALSE))*VLOOKUP(A17,Schlußkurse!A$5:AU$105,40,FALSE))/VLOOKUP(A17,Aktien_im_Umlauf_splitbereinigt!A$3:AM$103,7,FALSE),0),0),0)</f>
        <v>0</v>
      </c>
      <c r="H17" s="97">
        <f>IF(VLOOKUP(A17,Aktien_im_Umlauf_splitbereinigt!A$3:AM$103,9,FALSE)&lt;&gt;"",IF(VLOOKUP(A17,Aktien_im_Umlauf_splitbereinigt!A$3:AM$103,8,FALSE)&lt;&gt;"",IF(VLOOKUP(A17,Schlußkurse!A$5:AU$105,41,FALSE)&gt;0,((VLOOKUP(A17,Aktien_im_Umlauf_splitbereinigt!A$3:AM$103,9,FALSE)-VLOOKUP(A17,Aktien_im_Umlauf_splitbereinigt!A$3:AM$103,8,FALSE))*VLOOKUP(A17,Schlußkurse!A$5:AU$105,41,FALSE))/VLOOKUP(A17,Aktien_im_Umlauf_splitbereinigt!A$3:AM$103,8,FALSE),0),0),0)</f>
        <v>-2.9868794969506855E-3</v>
      </c>
      <c r="I17" s="97">
        <f>IF(VLOOKUP(A17,Aktien_im_Umlauf_splitbereinigt!A$3:AM$103,10,FALSE)&lt;&gt;"",IF(VLOOKUP(A17,Aktien_im_Umlauf_splitbereinigt!A$3:AM$103,9,FALSE)&lt;&gt;"",IF(VLOOKUP(A17,Schlußkurse!A$5:AU$105,42,FALSE)&gt;0,((VLOOKUP(A17,Aktien_im_Umlauf_splitbereinigt!A$3:AM$103,10,FALSE)-VLOOKUP(A17,Aktien_im_Umlauf_splitbereinigt!A$3:AM$103,9,FALSE))*VLOOKUP(A17,Schlußkurse!A$5:AU$105,42,FALSE))/VLOOKUP(A17,Aktien_im_Umlauf_splitbereinigt!A$3:AM$103,9,FALSE),0),0),0)</f>
        <v>0</v>
      </c>
      <c r="J17" s="97">
        <f>IF(VLOOKUP(A17,Aktien_im_Umlauf_splitbereinigt!A$3:AM$103,11,FALSE)&lt;&gt;"",IF(VLOOKUP(A17,Aktien_im_Umlauf_splitbereinigt!A$3:AM$103,10,FALSE)&lt;&gt;"",IF(VLOOKUP(A17,Schlußkurse!A$5:AU$105,43,FALSE)&gt;0,((VLOOKUP(A17,Aktien_im_Umlauf_splitbereinigt!A$3:AM$103,11,FALSE)-VLOOKUP(A17,Aktien_im_Umlauf_splitbereinigt!A$3:AM$103,10,FALSE))*VLOOKUP(A17,Schlußkurse!A$5:AU$105,43,FALSE))/VLOOKUP(A17,Aktien_im_Umlauf_splitbereinigt!A$3:AM$103,10,FALSE),0),0),0)</f>
        <v>-4.2364203652194963</v>
      </c>
      <c r="K17" s="97">
        <f>IF(VLOOKUP(A17,Aktien_im_Umlauf_splitbereinigt!A$3:AM$103,12,FALSE)&lt;&gt;"",IF(VLOOKUP(A17,Aktien_im_Umlauf_splitbereinigt!A$3:AM$103,11,FALSE)&lt;&gt;"",IF(VLOOKUP(A17,Schlußkurse!A$5:AU$105,44,FALSE)&gt;0,((VLOOKUP(A17,Aktien_im_Umlauf_splitbereinigt!A$3:AM$103,12,FALSE)-VLOOKUP(A17,Aktien_im_Umlauf_splitbereinigt!A$3:AM$103,11,FALSE))*VLOOKUP(A17,Schlußkurse!A$5:AU$105,44,FALSE))/VLOOKUP(A17,Aktien_im_Umlauf_splitbereinigt!A$3:AM$103,11,FALSE),0),0),0)</f>
        <v>0</v>
      </c>
      <c r="L17" s="97">
        <f>IF(VLOOKUP(A17,Aktien_im_Umlauf_splitbereinigt!A$3:AM$103,13,FALSE)&lt;&gt;"",IF(VLOOKUP(A17,Aktien_im_Umlauf_splitbereinigt!A$3:AM$103,12,FALSE)&lt;&gt;"",IF(VLOOKUP(A17,Schlußkurse!A$5:AU$105,45,FALSE)&gt;0,((VLOOKUP(A17,Aktien_im_Umlauf_splitbereinigt!A$3:AM$103,13,FALSE)-VLOOKUP(A17,Aktien_im_Umlauf_splitbereinigt!A$3:AM$103,12,FALSE))*VLOOKUP(A17,Schlußkurse!A$5:AU$105,45,FALSE))/VLOOKUP(A17,Aktien_im_Umlauf_splitbereinigt!A$3:AM$103,12,FALSE),0),0),0)</f>
        <v>0</v>
      </c>
      <c r="M17" s="97">
        <f>IF(VLOOKUP(A17,Aktien_im_Umlauf_splitbereinigt!A$3:AM$103,14,FALSE)&lt;&gt;"",IF(VLOOKUP(A17,Aktien_im_Umlauf_splitbereinigt!A$3:AM$103,13,FALSE)&lt;&gt;"",IF(VLOOKUP(A17,Schlußkurse!A$5:AU$105,46,FALSE)&gt;0,((VLOOKUP(A17,Aktien_im_Umlauf_splitbereinigt!A$3:AM$103,14,FALSE)-VLOOKUP(A17,Aktien_im_Umlauf_splitbereinigt!A$3:AM$103,13,FALSE))*VLOOKUP(A17,Schlußkurse!A$5:AU$105,46,FALSE))/VLOOKUP(A17,Aktien_im_Umlauf_splitbereinigt!A$3:AM$103,13,FALSE),0),0),0)</f>
        <v>-1.8087661912861441</v>
      </c>
      <c r="N17" s="13">
        <f>IF(C17&gt;0,IF(VLOOKUP(A17,Dividende_je_Aktie!A$3:AM$103,8,FALSE)&lt;&gt;"",C17+VLOOKUP(A17,Dividende_je_Aktie!A$3:AM$103,8,FALSE),C17),IF(VLOOKUP(A17,Dividende_je_Aktie!A$3:AM$103,8,FALSE)&lt;&gt;"",VLOOKUP(A17,Dividende_je_Aktie!A$3:AM$103,8,FALSE),""))</f>
        <v>2.66</v>
      </c>
      <c r="O17" s="13">
        <f>IF(D17&gt;0,IF(VLOOKUP(A17,Dividende_je_Aktie!A$3:AM$103,9,FALSE)&lt;&gt;"",D17+VLOOKUP(A17,Dividende_je_Aktie!A$3:AM$103,9,FALSE),D17),IF(VLOOKUP(A17,Dividende_je_Aktie!A$3:AM$103,9,FALSE)&lt;&gt;"",VLOOKUP(A17,Dividende_je_Aktie!A$3:AM$103,9,FALSE),""))</f>
        <v>2.5</v>
      </c>
      <c r="P17" s="13">
        <f>IF(E17&gt;0,IF(VLOOKUP(A17,Dividende_je_Aktie!A$3:AM$103,10,FALSE)&lt;&gt;"",E17+VLOOKUP(A17,Dividende_je_Aktie!A$3:AM$103,10,FALSE),E17),IF(VLOOKUP(A17,Dividende_je_Aktie!A$3:AM$103,10,FALSE)&lt;&gt;"",VLOOKUP(A17,Dividende_je_Aktie!A$3:AM$103,10,FALSE),""))</f>
        <v>2.25</v>
      </c>
      <c r="Q17" s="13">
        <f>IF(F17&gt;0,IF(VLOOKUP(A17,Dividende_je_Aktie!A$3:AM$103,11,FALSE)&lt;&gt;"",F17+VLOOKUP(A17,Dividende_je_Aktie!A$3:AM$103,11,FALSE),F17),IF(VLOOKUP(A17,Dividende_je_Aktie!A$3:AM$103,11,FALSE)&lt;&gt;"",VLOOKUP(A17,Dividende_je_Aktie!A$3:AM$103,11,FALSE),""))</f>
        <v>2.1</v>
      </c>
      <c r="R17" s="13">
        <f>IF(G17&gt;0,IF(VLOOKUP(A17,Dividende_je_Aktie!A$3:AM$103,12,FALSE)&lt;&gt;"",G17+VLOOKUP(A17,Dividende_je_Aktie!A$3:AM$103,12,FALSE),G17),IF(VLOOKUP(A17,Dividende_je_Aktie!A$3:AM$103,12,FALSE)&lt;&gt;"",VLOOKUP(A17,Dividende_je_Aktie!A$3:AM$103,12,FALSE),""))</f>
        <v>1.9</v>
      </c>
      <c r="S17" s="13">
        <f>IF(H17&gt;0,IF(VLOOKUP(A17,Dividende_je_Aktie!A$3:AM$103,13,FALSE)&lt;&gt;"",H17+VLOOKUP(A17,Dividende_je_Aktie!A$3:AM$103,13,FALSE),H17),IF(VLOOKUP(A17,Dividende_je_Aktie!A$3:AM$103,13,FALSE)&lt;&gt;"",VLOOKUP(A17,Dividende_je_Aktie!A$3:AM$103,13,FALSE),""))</f>
        <v>1.65</v>
      </c>
      <c r="T17" s="13">
        <f>IF(I17&gt;0,IF(VLOOKUP(A17,Dividende_je_Aktie!A$3:AM$103,14,FALSE)&lt;&gt;"",I17+VLOOKUP(A17,Dividende_je_Aktie!A$3:AM$103,14,FALSE),I17),IF(VLOOKUP(A17,Dividende_je_Aktie!A$3:AM$103,14,FALSE)&lt;&gt;"",VLOOKUP(A17,Dividende_je_Aktie!A$3:AM$103,14,FALSE),""))</f>
        <v>1.5</v>
      </c>
      <c r="U17" s="13">
        <f>IF(J17&gt;0,IF(VLOOKUP(A17,Dividende_je_Aktie!A$3:AM$103,15,FALSE)&lt;&gt;"",J17+VLOOKUP(A17,Dividende_je_Aktie!A$3:AM$103,15,FALSE),J17),IF(VLOOKUP(A17,Dividende_je_Aktie!A$3:AM$103,15,FALSE)&lt;&gt;"",VLOOKUP(A17,Dividende_je_Aktie!A$3:AM$103,15,FALSE),""))</f>
        <v>1.4</v>
      </c>
      <c r="V17" s="13">
        <f>IF(K17&gt;0,IF(VLOOKUP(A17,Dividende_je_Aktie!A$3:AM$103,16,FALSE)&lt;&gt;"",K17+VLOOKUP(A17,Dividende_je_Aktie!A$3:AM$103,16,FALSE),K17),IF(VLOOKUP(A17,Dividende_je_Aktie!A$3:AM$103,16,FALSE)&lt;&gt;"",VLOOKUP(A17,Dividende_je_Aktie!A$3:AM$103,16,FALSE),""))</f>
        <v>1.4</v>
      </c>
      <c r="W17" s="13">
        <f>IF(L17&gt;0,IF(VLOOKUP(A17,Dividende_je_Aktie!A$3:AM$103,17,FALSE)&lt;&gt;"",L17+VLOOKUP(A17,Dividende_je_Aktie!A$3:AM$103,17,FALSE),L17),IF(VLOOKUP(A17,Dividende_je_Aktie!A$3:AM$103,17,FALSE)&lt;&gt;"",VLOOKUP(A17,Dividende_je_Aktie!A$3:AM$103,17,FALSE),""))</f>
        <v>1.35</v>
      </c>
      <c r="X17" s="13">
        <f>IF(M17&gt;0,IF(VLOOKUP(A17,Dividende_je_Aktie!A$3:AM$103,18,FALSE)&lt;&gt;"",M17+VLOOKUP(A17,Dividende_je_Aktie!A$3:AM$103,18,FALSE),M17),IF(VLOOKUP(A17,Dividende_je_Aktie!A$3:AM$103,18,FALSE)&lt;&gt;"",VLOOKUP(A17,Dividende_je_Aktie!A$3:AM$103,18,FALSE),""))</f>
        <v>1</v>
      </c>
    </row>
    <row r="18" spans="1:24">
      <c r="A18" s="52" t="s">
        <v>268</v>
      </c>
      <c r="B18" s="52" t="s">
        <v>274</v>
      </c>
      <c r="C18" s="13">
        <f>IF(VLOOKUP(A18,Aktien_im_Umlauf_splitbereinigt!A$3:AM$103,4,FALSE)&lt;&gt;"",IF(VLOOKUP(A18,Aktien_im_Umlauf_splitbereinigt!A$3:AM$103,3,FALSE)&lt;&gt;"",IF(VLOOKUP(A18,Schlußkurse!A$5:AU$105,36,FALSE)&gt;0,((VLOOKUP(A18,Aktien_im_Umlauf_splitbereinigt!A$3:AM$103,4,FALSE)-VLOOKUP(A18,Aktien_im_Umlauf_splitbereinigt!A$3:AM$103,3,FALSE))*VLOOKUP(A18,Schlußkurse!A$5:AU$105,36,FALSE))/VLOOKUP(A18,Aktien_im_Umlauf_splitbereinigt!A$3:AM$103,3,FALSE),0),0),0)</f>
        <v>0</v>
      </c>
      <c r="D18" s="97">
        <f>IF(VLOOKUP(A18,Aktien_im_Umlauf_splitbereinigt!A$3:AM$103,5,FALSE)&lt;&gt;"",IF(VLOOKUP(A18,Aktien_im_Umlauf_splitbereinigt!A$3:AM$103,4,FALSE)&lt;&gt;"",IF(VLOOKUP(A18,Schlußkurse!A$5:AU$105,37,FALSE)&gt;0,((VLOOKUP(A18,Aktien_im_Umlauf_splitbereinigt!A$3:AM$103,5,FALSE)-VLOOKUP(A18,Aktien_im_Umlauf_splitbereinigt!A$3:AM$103,4,FALSE))*VLOOKUP(A18,Schlußkurse!A$5:AU$105,37,FALSE))/VLOOKUP(A18,Aktien_im_Umlauf_splitbereinigt!A$3:AM$103,4,FALSE),0),0),0)</f>
        <v>7.6903846153846152</v>
      </c>
      <c r="E18" s="97">
        <f>IF(VLOOKUP(A18,Aktien_im_Umlauf_splitbereinigt!A$3:AM$103,6,FALSE)&lt;&gt;"",IF(VLOOKUP(A18,Aktien_im_Umlauf_splitbereinigt!A$3:AM$103,5,FALSE)&lt;&gt;"",IF(VLOOKUP(A18,Schlußkurse!A$5:AU$105,38,FALSE)&gt;0,((VLOOKUP(A18,Aktien_im_Umlauf_splitbereinigt!A$3:AM$103,6,FALSE)-VLOOKUP(A18,Aktien_im_Umlauf_splitbereinigt!A$3:AM$103,5,FALSE))*VLOOKUP(A18,Schlußkurse!A$5:AU$105,38,FALSE))/VLOOKUP(A18,Aktien_im_Umlauf_splitbereinigt!A$3:AM$103,5,FALSE),0),0),0)</f>
        <v>9.8207547169811313</v>
      </c>
      <c r="F18" s="97">
        <f>IF(VLOOKUP(A18,Aktien_im_Umlauf_splitbereinigt!A$3:AM$103,7,FALSE)&lt;&gt;"",IF(VLOOKUP(A18,Aktien_im_Umlauf_splitbereinigt!A$3:AM$103,6,FALSE)&lt;&gt;"",IF(VLOOKUP(A18,Schlußkurse!A$5:AU$105,39,FALSE)&gt;0,((VLOOKUP(A18,Aktien_im_Umlauf_splitbereinigt!A$3:AM$103,7,FALSE)-VLOOKUP(A18,Aktien_im_Umlauf_splitbereinigt!A$3:AM$103,6,FALSE))*VLOOKUP(A18,Schlußkurse!A$5:AU$105,39,FALSE))/VLOOKUP(A18,Aktien_im_Umlauf_splitbereinigt!A$3:AM$103,6,FALSE),0),0),0)</f>
        <v>3.6136363636363638</v>
      </c>
      <c r="G18" s="97">
        <f>IF(VLOOKUP(A18,Aktien_im_Umlauf_splitbereinigt!A$3:AM$103,8,FALSE)&lt;&gt;"",IF(VLOOKUP(A18,Aktien_im_Umlauf_splitbereinigt!A$3:AM$103,7,FALSE)&lt;&gt;"",IF(VLOOKUP(A18,Schlußkurse!A$5:AU$105,40,FALSE)&gt;0,((VLOOKUP(A18,Aktien_im_Umlauf_splitbereinigt!A$3:AM$103,8,FALSE)-VLOOKUP(A18,Aktien_im_Umlauf_splitbereinigt!A$3:AM$103,7,FALSE))*VLOOKUP(A18,Schlußkurse!A$5:AU$105,40,FALSE))/VLOOKUP(A18,Aktien_im_Umlauf_splitbereinigt!A$3:AM$103,7,FALSE),0),0),0)</f>
        <v>-1.3446428571428573</v>
      </c>
      <c r="H18" s="97">
        <f>IF(VLOOKUP(A18,Aktien_im_Umlauf_splitbereinigt!A$3:AM$103,9,FALSE)&lt;&gt;"",IF(VLOOKUP(A18,Aktien_im_Umlauf_splitbereinigt!A$3:AM$103,8,FALSE)&lt;&gt;"",IF(VLOOKUP(A18,Schlußkurse!A$5:AU$105,41,FALSE)&gt;0,((VLOOKUP(A18,Aktien_im_Umlauf_splitbereinigt!A$3:AM$103,9,FALSE)-VLOOKUP(A18,Aktien_im_Umlauf_splitbereinigt!A$3:AM$103,8,FALSE))*VLOOKUP(A18,Schlußkurse!A$5:AU$105,41,FALSE))/VLOOKUP(A18,Aktien_im_Umlauf_splitbereinigt!A$3:AM$103,8,FALSE),0),0),0)</f>
        <v>3.8158273381294965</v>
      </c>
      <c r="I18" s="97">
        <f>IF(VLOOKUP(A18,Aktien_im_Umlauf_splitbereinigt!A$3:AM$103,10,FALSE)&lt;&gt;"",IF(VLOOKUP(A18,Aktien_im_Umlauf_splitbereinigt!A$3:AM$103,9,FALSE)&lt;&gt;"",IF(VLOOKUP(A18,Schlußkurse!A$5:AU$105,42,FALSE)&gt;0,((VLOOKUP(A18,Aktien_im_Umlauf_splitbereinigt!A$3:AM$103,10,FALSE)-VLOOKUP(A18,Aktien_im_Umlauf_splitbereinigt!A$3:AM$103,9,FALSE))*VLOOKUP(A18,Schlußkurse!A$5:AU$105,42,FALSE))/VLOOKUP(A18,Aktien_im_Umlauf_splitbereinigt!A$3:AM$103,9,FALSE),0),0),0)</f>
        <v>3.5454545454545454</v>
      </c>
      <c r="J18" s="97">
        <f>IF(VLOOKUP(A18,Aktien_im_Umlauf_splitbereinigt!A$3:AM$103,11,FALSE)&lt;&gt;"",IF(VLOOKUP(A18,Aktien_im_Umlauf_splitbereinigt!A$3:AM$103,10,FALSE)&lt;&gt;"",IF(VLOOKUP(A18,Schlußkurse!A$5:AU$105,43,FALSE)&gt;0,((VLOOKUP(A18,Aktien_im_Umlauf_splitbereinigt!A$3:AM$103,11,FALSE)-VLOOKUP(A18,Aktien_im_Umlauf_splitbereinigt!A$3:AM$103,10,FALSE))*VLOOKUP(A18,Schlußkurse!A$5:AU$105,43,FALSE))/VLOOKUP(A18,Aktien_im_Umlauf_splitbereinigt!A$3:AM$103,10,FALSE),0),0),0)</f>
        <v>2.2590136054421772</v>
      </c>
      <c r="K18" s="97">
        <f>IF(VLOOKUP(A18,Aktien_im_Umlauf_splitbereinigt!A$3:AM$103,12,FALSE)&lt;&gt;"",IF(VLOOKUP(A18,Aktien_im_Umlauf_splitbereinigt!A$3:AM$103,11,FALSE)&lt;&gt;"",IF(VLOOKUP(A18,Schlußkurse!A$5:AU$105,44,FALSE)&gt;0,((VLOOKUP(A18,Aktien_im_Umlauf_splitbereinigt!A$3:AM$103,12,FALSE)-VLOOKUP(A18,Aktien_im_Umlauf_splitbereinigt!A$3:AM$103,11,FALSE))*VLOOKUP(A18,Schlußkurse!A$5:AU$105,44,FALSE))/VLOOKUP(A18,Aktien_im_Umlauf_splitbereinigt!A$3:AM$103,11,FALSE),0),0),0)</f>
        <v>0</v>
      </c>
      <c r="L18" s="97">
        <f>IF(VLOOKUP(A18,Aktien_im_Umlauf_splitbereinigt!A$3:AM$103,13,FALSE)&lt;&gt;"",IF(VLOOKUP(A18,Aktien_im_Umlauf_splitbereinigt!A$3:AM$103,12,FALSE)&lt;&gt;"",IF(VLOOKUP(A18,Schlußkurse!A$5:AU$105,45,FALSE)&gt;0,((VLOOKUP(A18,Aktien_im_Umlauf_splitbereinigt!A$3:AM$103,13,FALSE)-VLOOKUP(A18,Aktien_im_Umlauf_splitbereinigt!A$3:AM$103,12,FALSE))*VLOOKUP(A18,Schlußkurse!A$5:AU$105,45,FALSE))/VLOOKUP(A18,Aktien_im_Umlauf_splitbereinigt!A$3:AM$103,12,FALSE),0),0),0)</f>
        <v>0</v>
      </c>
      <c r="M18" s="97">
        <f>IF(VLOOKUP(A18,Aktien_im_Umlauf_splitbereinigt!A$3:AM$103,14,FALSE)&lt;&gt;"",IF(VLOOKUP(A18,Aktien_im_Umlauf_splitbereinigt!A$3:AM$103,13,FALSE)&lt;&gt;"",IF(VLOOKUP(A18,Schlußkurse!A$5:AU$105,46,FALSE)&gt;0,((VLOOKUP(A18,Aktien_im_Umlauf_splitbereinigt!A$3:AM$103,14,FALSE)-VLOOKUP(A18,Aktien_im_Umlauf_splitbereinigt!A$3:AM$103,13,FALSE))*VLOOKUP(A18,Schlußkurse!A$5:AU$105,46,FALSE))/VLOOKUP(A18,Aktien_im_Umlauf_splitbereinigt!A$3:AM$103,13,FALSE),0),0),0)</f>
        <v>0</v>
      </c>
      <c r="N18" s="13">
        <f>IF(C18&gt;0,IF(VLOOKUP(A18,Dividende_je_Aktie!A$3:AM$103,8,FALSE)&lt;&gt;"",C18+VLOOKUP(A18,Dividende_je_Aktie!A$3:AM$103,8,FALSE),C18),IF(VLOOKUP(A18,Dividende_je_Aktie!A$3:AM$103,8,FALSE)&lt;&gt;"",VLOOKUP(A18,Dividende_je_Aktie!A$3:AM$103,8,FALSE),""))</f>
        <v>7.22</v>
      </c>
      <c r="O18" s="13">
        <f>IF(D18&gt;0,IF(VLOOKUP(A18,Dividende_je_Aktie!A$3:AM$103,9,FALSE)&lt;&gt;"",D18+VLOOKUP(A18,Dividende_je_Aktie!A$3:AM$103,9,FALSE),D18),IF(VLOOKUP(A18,Dividende_je_Aktie!A$3:AM$103,9,FALSE)&lt;&gt;"",VLOOKUP(A18,Dividende_je_Aktie!A$3:AM$103,9,FALSE),""))</f>
        <v>14.090384615384615</v>
      </c>
      <c r="P18" s="13">
        <f>IF(E18&gt;0,IF(VLOOKUP(A18,Dividende_je_Aktie!A$3:AM$103,10,FALSE)&lt;&gt;"",E18+VLOOKUP(A18,Dividende_je_Aktie!A$3:AM$103,10,FALSE),E18),IF(VLOOKUP(A18,Dividende_je_Aktie!A$3:AM$103,10,FALSE)&lt;&gt;"",VLOOKUP(A18,Dividende_je_Aktie!A$3:AM$103,10,FALSE),""))</f>
        <v>14.820754716981131</v>
      </c>
      <c r="Q18" s="13">
        <f>IF(F18&gt;0,IF(VLOOKUP(A18,Dividende_je_Aktie!A$3:AM$103,11,FALSE)&lt;&gt;"",F18+VLOOKUP(A18,Dividende_je_Aktie!A$3:AM$103,11,FALSE),F18),IF(VLOOKUP(A18,Dividende_je_Aktie!A$3:AM$103,11,FALSE)&lt;&gt;"",VLOOKUP(A18,Dividende_je_Aktie!A$3:AM$103,11,FALSE),""))</f>
        <v>8.1136363636363633</v>
      </c>
      <c r="R18" s="13">
        <f>IF(G18&gt;0,IF(VLOOKUP(A18,Dividende_je_Aktie!A$3:AM$103,12,FALSE)&lt;&gt;"",G18+VLOOKUP(A18,Dividende_je_Aktie!A$3:AM$103,12,FALSE),G18),IF(VLOOKUP(A18,Dividende_je_Aktie!A$3:AM$103,12,FALSE)&lt;&gt;"",VLOOKUP(A18,Dividende_je_Aktie!A$3:AM$103,12,FALSE),""))</f>
        <v>3.6</v>
      </c>
      <c r="S18" s="13">
        <f>IF(H18&gt;0,IF(VLOOKUP(A18,Dividende_je_Aktie!A$3:AM$103,13,FALSE)&lt;&gt;"",H18+VLOOKUP(A18,Dividende_je_Aktie!A$3:AM$103,13,FALSE),H18),IF(VLOOKUP(A18,Dividende_je_Aktie!A$3:AM$103,13,FALSE)&lt;&gt;"",VLOOKUP(A18,Dividende_je_Aktie!A$3:AM$103,13,FALSE),""))</f>
        <v>6.6158273381294963</v>
      </c>
      <c r="T18" s="13">
        <f>IF(I18&gt;0,IF(VLOOKUP(A18,Dividende_je_Aktie!A$3:AM$103,14,FALSE)&lt;&gt;"",I18+VLOOKUP(A18,Dividende_je_Aktie!A$3:AM$103,14,FALSE),I18),IF(VLOOKUP(A18,Dividende_je_Aktie!A$3:AM$103,14,FALSE)&lt;&gt;"",VLOOKUP(A18,Dividende_je_Aktie!A$3:AM$103,14,FALSE),""))</f>
        <v>5.545454545454545</v>
      </c>
      <c r="U18" s="13">
        <f>IF(J18&gt;0,IF(VLOOKUP(A18,Dividende_je_Aktie!A$3:AM$103,15,FALSE)&lt;&gt;"",J18+VLOOKUP(A18,Dividende_je_Aktie!A$3:AM$103,15,FALSE),J18),IF(VLOOKUP(A18,Dividende_je_Aktie!A$3:AM$103,15,FALSE)&lt;&gt;"",VLOOKUP(A18,Dividende_je_Aktie!A$3:AM$103,15,FALSE),""))</f>
        <v>3.7590136054421772</v>
      </c>
      <c r="V18" s="13">
        <f>IF(K18&gt;0,IF(VLOOKUP(A18,Dividende_je_Aktie!A$3:AM$103,16,FALSE)&lt;&gt;"",K18+VLOOKUP(A18,Dividende_je_Aktie!A$3:AM$103,16,FALSE),K18),IF(VLOOKUP(A18,Dividende_je_Aktie!A$3:AM$103,16,FALSE)&lt;&gt;"",VLOOKUP(A18,Dividende_je_Aktie!A$3:AM$103,16,FALSE),""))</f>
        <v>1.2</v>
      </c>
      <c r="W18" s="13">
        <f>IF(L18&gt;0,IF(VLOOKUP(A18,Dividende_je_Aktie!A$3:AM$103,17,FALSE)&lt;&gt;"",L18+VLOOKUP(A18,Dividende_je_Aktie!A$3:AM$103,17,FALSE),L18),IF(VLOOKUP(A18,Dividende_je_Aktie!A$3:AM$103,17,FALSE)&lt;&gt;"",VLOOKUP(A18,Dividende_je_Aktie!A$3:AM$103,17,FALSE),""))</f>
        <v>0.9</v>
      </c>
      <c r="X18" s="13">
        <f>IF(M18&gt;0,IF(VLOOKUP(A18,Dividende_je_Aktie!A$3:AM$103,18,FALSE)&lt;&gt;"",M18+VLOOKUP(A18,Dividende_je_Aktie!A$3:AM$103,18,FALSE),M18),IF(VLOOKUP(A18,Dividende_je_Aktie!A$3:AM$103,18,FALSE)&lt;&gt;"",VLOOKUP(A18,Dividende_je_Aktie!A$3:AM$103,18,FALSE),""))</f>
        <v>0.7</v>
      </c>
    </row>
    <row r="19" spans="1:24">
      <c r="A19" t="s">
        <v>26</v>
      </c>
      <c r="B19" t="s">
        <v>27</v>
      </c>
      <c r="C19" s="13">
        <f>IF(VLOOKUP(A19,Aktien_im_Umlauf_splitbereinigt!A$3:AM$103,4,FALSE)&lt;&gt;"",IF(VLOOKUP(A19,Aktien_im_Umlauf_splitbereinigt!A$3:AM$103,3,FALSE)&lt;&gt;"",IF(VLOOKUP(A19,Schlußkurse!A$5:AU$105,36,FALSE)&gt;0,((VLOOKUP(A19,Aktien_im_Umlauf_splitbereinigt!A$3:AM$103,4,FALSE)-VLOOKUP(A19,Aktien_im_Umlauf_splitbereinigt!A$3:AM$103,3,FALSE))*VLOOKUP(A19,Schlußkurse!A$5:AU$105,36,FALSE))/VLOOKUP(A19,Aktien_im_Umlauf_splitbereinigt!A$3:AM$103,3,FALSE),0),0),0)</f>
        <v>0</v>
      </c>
      <c r="D19" s="97">
        <f>IF(VLOOKUP(A19,Aktien_im_Umlauf_splitbereinigt!A$3:AM$103,5,FALSE)&lt;&gt;"",IF(VLOOKUP(A19,Aktien_im_Umlauf_splitbereinigt!A$3:AM$103,4,FALSE)&lt;&gt;"",IF(VLOOKUP(A19,Schlußkurse!A$5:AU$105,37,FALSE)&gt;0,((VLOOKUP(A19,Aktien_im_Umlauf_splitbereinigt!A$3:AM$103,5,FALSE)-VLOOKUP(A19,Aktien_im_Umlauf_splitbereinigt!A$3:AM$103,4,FALSE))*VLOOKUP(A19,Schlußkurse!A$5:AU$105,37,FALSE))/VLOOKUP(A19,Aktien_im_Umlauf_splitbereinigt!A$3:AM$103,4,FALSE),0),0),0)</f>
        <v>-0.66508341708542718</v>
      </c>
      <c r="E19" s="97">
        <f>IF(VLOOKUP(A19,Aktien_im_Umlauf_splitbereinigt!A$3:AM$103,6,FALSE)&lt;&gt;"",IF(VLOOKUP(A19,Aktien_im_Umlauf_splitbereinigt!A$3:AM$103,5,FALSE)&lt;&gt;"",IF(VLOOKUP(A19,Schlußkurse!A$5:AU$105,38,FALSE)&gt;0,((VLOOKUP(A19,Aktien_im_Umlauf_splitbereinigt!A$3:AM$103,6,FALSE)-VLOOKUP(A19,Aktien_im_Umlauf_splitbereinigt!A$3:AM$103,5,FALSE))*VLOOKUP(A19,Schlußkurse!A$5:AU$105,38,FALSE))/VLOOKUP(A19,Aktien_im_Umlauf_splitbereinigt!A$3:AM$103,5,FALSE),0),0),0)</f>
        <v>-0.27131629804595231</v>
      </c>
      <c r="F19" s="97">
        <f>IF(VLOOKUP(A19,Aktien_im_Umlauf_splitbereinigt!A$3:AM$103,7,FALSE)&lt;&gt;"",IF(VLOOKUP(A19,Aktien_im_Umlauf_splitbereinigt!A$3:AM$103,6,FALSE)&lt;&gt;"",IF(VLOOKUP(A19,Schlußkurse!A$5:AU$105,39,FALSE)&gt;0,((VLOOKUP(A19,Aktien_im_Umlauf_splitbereinigt!A$3:AM$103,7,FALSE)-VLOOKUP(A19,Aktien_im_Umlauf_splitbereinigt!A$3:AM$103,6,FALSE))*VLOOKUP(A19,Schlußkurse!A$5:AU$105,39,FALSE))/VLOOKUP(A19,Aktien_im_Umlauf_splitbereinigt!A$3:AM$103,6,FALSE),0),0),0)</f>
        <v>0</v>
      </c>
      <c r="G19" s="97">
        <f>IF(VLOOKUP(A19,Aktien_im_Umlauf_splitbereinigt!A$3:AM$103,8,FALSE)&lt;&gt;"",IF(VLOOKUP(A19,Aktien_im_Umlauf_splitbereinigt!A$3:AM$103,7,FALSE)&lt;&gt;"",IF(VLOOKUP(A19,Schlußkurse!A$5:AU$105,40,FALSE)&gt;0,((VLOOKUP(A19,Aktien_im_Umlauf_splitbereinigt!A$3:AM$103,8,FALSE)-VLOOKUP(A19,Aktien_im_Umlauf_splitbereinigt!A$3:AM$103,7,FALSE))*VLOOKUP(A19,Schlußkurse!A$5:AU$105,40,FALSE))/VLOOKUP(A19,Aktien_im_Umlauf_splitbereinigt!A$3:AM$103,7,FALSE),0),0),0)</f>
        <v>-8.9562733465172475E-2</v>
      </c>
      <c r="H19" s="97">
        <f>IF(VLOOKUP(A19,Aktien_im_Umlauf_splitbereinigt!A$3:AM$103,9,FALSE)&lt;&gt;"",IF(VLOOKUP(A19,Aktien_im_Umlauf_splitbereinigt!A$3:AM$103,8,FALSE)&lt;&gt;"",IF(VLOOKUP(A19,Schlußkurse!A$5:AU$105,41,FALSE)&gt;0,((VLOOKUP(A19,Aktien_im_Umlauf_splitbereinigt!A$3:AM$103,9,FALSE)-VLOOKUP(A19,Aktien_im_Umlauf_splitbereinigt!A$3:AM$103,8,FALSE))*VLOOKUP(A19,Schlußkurse!A$5:AU$105,41,FALSE))/VLOOKUP(A19,Aktien_im_Umlauf_splitbereinigt!A$3:AM$103,8,FALSE),0),0),0)</f>
        <v>3.2639104411438705E-2</v>
      </c>
      <c r="I19" s="97">
        <f>IF(VLOOKUP(A19,Aktien_im_Umlauf_splitbereinigt!A$3:AM$103,10,FALSE)&lt;&gt;"",IF(VLOOKUP(A19,Aktien_im_Umlauf_splitbereinigt!A$3:AM$103,9,FALSE)&lt;&gt;"",IF(VLOOKUP(A19,Schlußkurse!A$5:AU$105,42,FALSE)&gt;0,((VLOOKUP(A19,Aktien_im_Umlauf_splitbereinigt!A$3:AM$103,10,FALSE)-VLOOKUP(A19,Aktien_im_Umlauf_splitbereinigt!A$3:AM$103,9,FALSE))*VLOOKUP(A19,Schlußkurse!A$5:AU$105,42,FALSE))/VLOOKUP(A19,Aktien_im_Umlauf_splitbereinigt!A$3:AM$103,9,FALSE),0),0),0)</f>
        <v>0.11630141530296328</v>
      </c>
      <c r="J19" s="97">
        <f>IF(VLOOKUP(A19,Aktien_im_Umlauf_splitbereinigt!A$3:AM$103,11,FALSE)&lt;&gt;"",IF(VLOOKUP(A19,Aktien_im_Umlauf_splitbereinigt!A$3:AM$103,10,FALSE)&lt;&gt;"",IF(VLOOKUP(A19,Schlußkurse!A$5:AU$105,43,FALSE)&gt;0,((VLOOKUP(A19,Aktien_im_Umlauf_splitbereinigt!A$3:AM$103,11,FALSE)-VLOOKUP(A19,Aktien_im_Umlauf_splitbereinigt!A$3:AM$103,10,FALSE))*VLOOKUP(A19,Schlußkurse!A$5:AU$105,43,FALSE))/VLOOKUP(A19,Aktien_im_Umlauf_splitbereinigt!A$3:AM$103,10,FALSE),0),0),0)</f>
        <v>0.65166703272567539</v>
      </c>
      <c r="K19" s="97">
        <f>IF(VLOOKUP(A19,Aktien_im_Umlauf_splitbereinigt!A$3:AM$103,12,FALSE)&lt;&gt;"",IF(VLOOKUP(A19,Aktien_im_Umlauf_splitbereinigt!A$3:AM$103,11,FALSE)&lt;&gt;"",IF(VLOOKUP(A19,Schlußkurse!A$5:AU$105,44,FALSE)&gt;0,((VLOOKUP(A19,Aktien_im_Umlauf_splitbereinigt!A$3:AM$103,12,FALSE)-VLOOKUP(A19,Aktien_im_Umlauf_splitbereinigt!A$3:AM$103,11,FALSE))*VLOOKUP(A19,Schlußkurse!A$5:AU$105,44,FALSE))/VLOOKUP(A19,Aktien_im_Umlauf_splitbereinigt!A$3:AM$103,11,FALSE),0),0),0)</f>
        <v>0.23244420828905415</v>
      </c>
      <c r="L19" s="97">
        <f>IF(VLOOKUP(A19,Aktien_im_Umlauf_splitbereinigt!A$3:AM$103,13,FALSE)&lt;&gt;"",IF(VLOOKUP(A19,Aktien_im_Umlauf_splitbereinigt!A$3:AM$103,12,FALSE)&lt;&gt;"",IF(VLOOKUP(A19,Schlußkurse!A$5:AU$105,45,FALSE)&gt;0,((VLOOKUP(A19,Aktien_im_Umlauf_splitbereinigt!A$3:AM$103,13,FALSE)-VLOOKUP(A19,Aktien_im_Umlauf_splitbereinigt!A$3:AM$103,12,FALSE))*VLOOKUP(A19,Schlußkurse!A$5:AU$105,45,FALSE))/VLOOKUP(A19,Aktien_im_Umlauf_splitbereinigt!A$3:AM$103,12,FALSE),0),0),0)</f>
        <v>0.68419354838709667</v>
      </c>
      <c r="M19" s="97">
        <f>IF(VLOOKUP(A19,Aktien_im_Umlauf_splitbereinigt!A$3:AM$103,14,FALSE)&lt;&gt;"",IF(VLOOKUP(A19,Aktien_im_Umlauf_splitbereinigt!A$3:AM$103,13,FALSE)&lt;&gt;"",IF(VLOOKUP(A19,Schlußkurse!A$5:AU$105,46,FALSE)&gt;0,((VLOOKUP(A19,Aktien_im_Umlauf_splitbereinigt!A$3:AM$103,14,FALSE)-VLOOKUP(A19,Aktien_im_Umlauf_splitbereinigt!A$3:AM$103,13,FALSE))*VLOOKUP(A19,Schlußkurse!A$5:AU$105,46,FALSE))/VLOOKUP(A19,Aktien_im_Umlauf_splitbereinigt!A$3:AM$103,13,FALSE),0),0),0)</f>
        <v>0</v>
      </c>
      <c r="N19" s="13">
        <f>IF(C19&gt;0,IF(VLOOKUP(A19,Dividende_je_Aktie!A$3:AM$103,8,FALSE)&lt;&gt;"",C19+VLOOKUP(A19,Dividende_je_Aktie!A$3:AM$103,8,FALSE),C19),IF(VLOOKUP(A19,Dividende_je_Aktie!A$3:AM$103,8,FALSE)&lt;&gt;"",VLOOKUP(A19,Dividende_je_Aktie!A$3:AM$103,8,FALSE),""))</f>
        <v>0.71</v>
      </c>
      <c r="O19" s="13">
        <f>IF(D19&gt;0,IF(VLOOKUP(A19,Dividende_je_Aktie!A$3:AM$103,9,FALSE)&lt;&gt;"",D19+VLOOKUP(A19,Dividende_je_Aktie!A$3:AM$103,9,FALSE),D19),IF(VLOOKUP(A19,Dividende_je_Aktie!A$3:AM$103,9,FALSE)&lt;&gt;"",VLOOKUP(A19,Dividende_je_Aktie!A$3:AM$103,9,FALSE),""))</f>
        <v>0.4</v>
      </c>
      <c r="P19" s="13">
        <f>IF(E19&gt;0,IF(VLOOKUP(A19,Dividende_je_Aktie!A$3:AM$103,10,FALSE)&lt;&gt;"",E19+VLOOKUP(A19,Dividende_je_Aktie!A$3:AM$103,10,FALSE),E19),IF(VLOOKUP(A19,Dividende_je_Aktie!A$3:AM$103,10,FALSE)&lt;&gt;"",VLOOKUP(A19,Dividende_je_Aktie!A$3:AM$103,10,FALSE),""))</f>
        <v>0.4</v>
      </c>
      <c r="Q19" s="13">
        <f>IF(F19&gt;0,IF(VLOOKUP(A19,Dividende_je_Aktie!A$3:AM$103,11,FALSE)&lt;&gt;"",F19+VLOOKUP(A19,Dividende_je_Aktie!A$3:AM$103,11,FALSE),F19),IF(VLOOKUP(A19,Dividende_je_Aktie!A$3:AM$103,11,FALSE)&lt;&gt;"",VLOOKUP(A19,Dividende_je_Aktie!A$3:AM$103,11,FALSE),""))</f>
        <v>0.75</v>
      </c>
      <c r="R19" s="13">
        <f>IF(G19&gt;0,IF(VLOOKUP(A19,Dividende_je_Aktie!A$3:AM$103,12,FALSE)&lt;&gt;"",G19+VLOOKUP(A19,Dividende_je_Aktie!A$3:AM$103,12,FALSE),G19),IF(VLOOKUP(A19,Dividende_je_Aktie!A$3:AM$103,12,FALSE)&lt;&gt;"",VLOOKUP(A19,Dividende_je_Aktie!A$3:AM$103,12,FALSE),""))</f>
        <v>0.82</v>
      </c>
      <c r="S19" s="13">
        <f>IF(H19&gt;0,IF(VLOOKUP(A19,Dividende_je_Aktie!A$3:AM$103,13,FALSE)&lt;&gt;"",H19+VLOOKUP(A19,Dividende_je_Aktie!A$3:AM$103,13,FALSE),H19),IF(VLOOKUP(A19,Dividende_je_Aktie!A$3:AM$103,13,FALSE)&lt;&gt;"",VLOOKUP(A19,Dividende_je_Aktie!A$3:AM$103,13,FALSE),""))</f>
        <v>1.5526391044114387</v>
      </c>
      <c r="T19" s="13">
        <f>IF(I19&gt;0,IF(VLOOKUP(A19,Dividende_je_Aktie!A$3:AM$103,14,FALSE)&lt;&gt;"",I19+VLOOKUP(A19,Dividende_je_Aktie!A$3:AM$103,14,FALSE),I19),IF(VLOOKUP(A19,Dividende_je_Aktie!A$3:AM$103,14,FALSE)&lt;&gt;"",VLOOKUP(A19,Dividende_je_Aktie!A$3:AM$103,14,FALSE),""))</f>
        <v>1.4163014153029634</v>
      </c>
      <c r="U19" s="13">
        <f>IF(J19&gt;0,IF(VLOOKUP(A19,Dividende_je_Aktie!A$3:AM$103,15,FALSE)&lt;&gt;"",J19+VLOOKUP(A19,Dividende_je_Aktie!A$3:AM$103,15,FALSE),J19),IF(VLOOKUP(A19,Dividende_je_Aktie!A$3:AM$103,15,FALSE)&lt;&gt;"",VLOOKUP(A19,Dividende_je_Aktie!A$3:AM$103,15,FALSE),""))</f>
        <v>1.6516670327256753</v>
      </c>
      <c r="V19" s="13">
        <f>IF(K19&gt;0,IF(VLOOKUP(A19,Dividende_je_Aktie!A$3:AM$103,16,FALSE)&lt;&gt;"",K19+VLOOKUP(A19,Dividende_je_Aktie!A$3:AM$103,16,FALSE),K19),IF(VLOOKUP(A19,Dividende_je_Aktie!A$3:AM$103,16,FALSE)&lt;&gt;"",VLOOKUP(A19,Dividende_je_Aktie!A$3:AM$103,16,FALSE),""))</f>
        <v>1.1324442082890542</v>
      </c>
      <c r="W19" s="13">
        <f>IF(L19&gt;0,IF(VLOOKUP(A19,Dividende_je_Aktie!A$3:AM$103,17,FALSE)&lt;&gt;"",L19+VLOOKUP(A19,Dividende_je_Aktie!A$3:AM$103,17,FALSE),L19),IF(VLOOKUP(A19,Dividende_je_Aktie!A$3:AM$103,17,FALSE)&lt;&gt;"",VLOOKUP(A19,Dividende_je_Aktie!A$3:AM$103,17,FALSE),""))</f>
        <v>1.3341935483870966</v>
      </c>
      <c r="X19" s="13">
        <f>IF(M19&gt;0,IF(VLOOKUP(A19,Dividende_je_Aktie!A$3:AM$103,18,FALSE)&lt;&gt;"",M19+VLOOKUP(A19,Dividende_je_Aktie!A$3:AM$103,18,FALSE),M19),IF(VLOOKUP(A19,Dividende_je_Aktie!A$3:AM$103,18,FALSE)&lt;&gt;"",VLOOKUP(A19,Dividende_je_Aktie!A$3:AM$103,18,FALSE),""))</f>
        <v>0.55000000000000004</v>
      </c>
    </row>
    <row r="20" spans="1:24">
      <c r="A20" t="s">
        <v>81</v>
      </c>
      <c r="B20" t="s">
        <v>189</v>
      </c>
      <c r="C20" s="13">
        <f>IF(VLOOKUP(A20,Aktien_im_Umlauf_splitbereinigt!A$3:AM$103,4,FALSE)&lt;&gt;"",IF(VLOOKUP(A20,Aktien_im_Umlauf_splitbereinigt!A$3:AM$103,3,FALSE)&lt;&gt;"",IF(VLOOKUP(A20,Schlußkurse!A$5:AU$105,36,FALSE)&gt;0,((VLOOKUP(A20,Aktien_im_Umlauf_splitbereinigt!A$3:AM$103,4,FALSE)-VLOOKUP(A20,Aktien_im_Umlauf_splitbereinigt!A$3:AM$103,3,FALSE))*VLOOKUP(A20,Schlußkurse!A$5:AU$105,36,FALSE))/VLOOKUP(A20,Aktien_im_Umlauf_splitbereinigt!A$3:AM$103,3,FALSE),0),0),0)</f>
        <v>0</v>
      </c>
      <c r="D20" s="97">
        <f>IF(VLOOKUP(A20,Aktien_im_Umlauf_splitbereinigt!A$3:AM$103,5,FALSE)&lt;&gt;"",IF(VLOOKUP(A20,Aktien_im_Umlauf_splitbereinigt!A$3:AM$103,4,FALSE)&lt;&gt;"",IF(VLOOKUP(A20,Schlußkurse!A$5:AU$105,37,FALSE)&gt;0,((VLOOKUP(A20,Aktien_im_Umlauf_splitbereinigt!A$3:AM$103,5,FALSE)-VLOOKUP(A20,Aktien_im_Umlauf_splitbereinigt!A$3:AM$103,4,FALSE))*VLOOKUP(A20,Schlußkurse!A$5:AU$105,37,FALSE))/VLOOKUP(A20,Aktien_im_Umlauf_splitbereinigt!A$3:AM$103,4,FALSE),0),0),0)</f>
        <v>-0.48274361433798718</v>
      </c>
      <c r="E20" s="97">
        <f>IF(VLOOKUP(A20,Aktien_im_Umlauf_splitbereinigt!A$3:AM$103,6,FALSE)&lt;&gt;"",IF(VLOOKUP(A20,Aktien_im_Umlauf_splitbereinigt!A$3:AM$103,5,FALSE)&lt;&gt;"",IF(VLOOKUP(A20,Schlußkurse!A$5:AU$105,38,FALSE)&gt;0,((VLOOKUP(A20,Aktien_im_Umlauf_splitbereinigt!A$3:AM$103,6,FALSE)-VLOOKUP(A20,Aktien_im_Umlauf_splitbereinigt!A$3:AM$103,5,FALSE))*VLOOKUP(A20,Schlußkurse!A$5:AU$105,38,FALSE))/VLOOKUP(A20,Aktien_im_Umlauf_splitbereinigt!A$3:AM$103,5,FALSE),0),0),0)</f>
        <v>11.087310015501656</v>
      </c>
      <c r="F20" s="97">
        <f>IF(VLOOKUP(A20,Aktien_im_Umlauf_splitbereinigt!A$3:AM$103,7,FALSE)&lt;&gt;"",IF(VLOOKUP(A20,Aktien_im_Umlauf_splitbereinigt!A$3:AM$103,6,FALSE)&lt;&gt;"",IF(VLOOKUP(A20,Schlußkurse!A$5:AU$105,39,FALSE)&gt;0,((VLOOKUP(A20,Aktien_im_Umlauf_splitbereinigt!A$3:AM$103,7,FALSE)-VLOOKUP(A20,Aktien_im_Umlauf_splitbereinigt!A$3:AM$103,6,FALSE))*VLOOKUP(A20,Schlußkurse!A$5:AU$105,39,FALSE))/VLOOKUP(A20,Aktien_im_Umlauf_splitbereinigt!A$3:AM$103,6,FALSE),0),0),0)</f>
        <v>0.61331407823072448</v>
      </c>
      <c r="G20" s="97">
        <f>IF(VLOOKUP(A20,Aktien_im_Umlauf_splitbereinigt!A$3:AM$103,8,FALSE)&lt;&gt;"",IF(VLOOKUP(A20,Aktien_im_Umlauf_splitbereinigt!A$3:AM$103,7,FALSE)&lt;&gt;"",IF(VLOOKUP(A20,Schlußkurse!A$5:AU$105,40,FALSE)&gt;0,((VLOOKUP(A20,Aktien_im_Umlauf_splitbereinigt!A$3:AM$103,8,FALSE)-VLOOKUP(A20,Aktien_im_Umlauf_splitbereinigt!A$3:AM$103,7,FALSE))*VLOOKUP(A20,Schlußkurse!A$5:AU$105,40,FALSE))/VLOOKUP(A20,Aktien_im_Umlauf_splitbereinigt!A$3:AM$103,7,FALSE),0),0),0)</f>
        <v>-1.0045285064305653</v>
      </c>
      <c r="H20" s="97">
        <f>IF(VLOOKUP(A20,Aktien_im_Umlauf_splitbereinigt!A$3:AM$103,9,FALSE)&lt;&gt;"",IF(VLOOKUP(A20,Aktien_im_Umlauf_splitbereinigt!A$3:AM$103,8,FALSE)&lt;&gt;"",IF(VLOOKUP(A20,Schlußkurse!A$5:AU$105,41,FALSE)&gt;0,((VLOOKUP(A20,Aktien_im_Umlauf_splitbereinigt!A$3:AM$103,9,FALSE)-VLOOKUP(A20,Aktien_im_Umlauf_splitbereinigt!A$3:AM$103,8,FALSE))*VLOOKUP(A20,Schlußkurse!A$5:AU$105,41,FALSE))/VLOOKUP(A20,Aktien_im_Umlauf_splitbereinigt!A$3:AM$103,8,FALSE),0),0),0)</f>
        <v>-0.26499386380974738</v>
      </c>
      <c r="I20" s="97">
        <f>IF(VLOOKUP(A20,Aktien_im_Umlauf_splitbereinigt!A$3:AM$103,10,FALSE)&lt;&gt;"",IF(VLOOKUP(A20,Aktien_im_Umlauf_splitbereinigt!A$3:AM$103,9,FALSE)&lt;&gt;"",IF(VLOOKUP(A20,Schlußkurse!A$5:AU$105,42,FALSE)&gt;0,((VLOOKUP(A20,Aktien_im_Umlauf_splitbereinigt!A$3:AM$103,10,FALSE)-VLOOKUP(A20,Aktien_im_Umlauf_splitbereinigt!A$3:AM$103,9,FALSE))*VLOOKUP(A20,Schlußkurse!A$5:AU$105,42,FALSE))/VLOOKUP(A20,Aktien_im_Umlauf_splitbereinigt!A$3:AM$103,9,FALSE),0),0),0)</f>
        <v>-0.27647254575707153</v>
      </c>
      <c r="J20" s="97">
        <f>IF(VLOOKUP(A20,Aktien_im_Umlauf_splitbereinigt!A$3:AM$103,11,FALSE)&lt;&gt;"",IF(VLOOKUP(A20,Aktien_im_Umlauf_splitbereinigt!A$3:AM$103,10,FALSE)&lt;&gt;"",IF(VLOOKUP(A20,Schlußkurse!A$5:AU$105,43,FALSE)&gt;0,((VLOOKUP(A20,Aktien_im_Umlauf_splitbereinigt!A$3:AM$103,11,FALSE)-VLOOKUP(A20,Aktien_im_Umlauf_splitbereinigt!A$3:AM$103,10,FALSE))*VLOOKUP(A20,Schlußkurse!A$5:AU$105,43,FALSE))/VLOOKUP(A20,Aktien_im_Umlauf_splitbereinigt!A$3:AM$103,10,FALSE),0),0),0)</f>
        <v>0.44273789649415396</v>
      </c>
      <c r="K20" s="97">
        <f>IF(VLOOKUP(A20,Aktien_im_Umlauf_splitbereinigt!A$3:AM$103,12,FALSE)&lt;&gt;"",IF(VLOOKUP(A20,Aktien_im_Umlauf_splitbereinigt!A$3:AM$103,11,FALSE)&lt;&gt;"",IF(VLOOKUP(A20,Schlußkurse!A$5:AU$105,44,FALSE)&gt;0,((VLOOKUP(A20,Aktien_im_Umlauf_splitbereinigt!A$3:AM$103,12,FALSE)-VLOOKUP(A20,Aktien_im_Umlauf_splitbereinigt!A$3:AM$103,11,FALSE))*VLOOKUP(A20,Schlußkurse!A$5:AU$105,44,FALSE))/VLOOKUP(A20,Aktien_im_Umlauf_splitbereinigt!A$3:AM$103,11,FALSE),0),0),0)</f>
        <v>1.613346613545819</v>
      </c>
      <c r="L20" s="97">
        <f>IF(VLOOKUP(A20,Aktien_im_Umlauf_splitbereinigt!A$3:AM$103,13,FALSE)&lt;&gt;"",IF(VLOOKUP(A20,Aktien_im_Umlauf_splitbereinigt!A$3:AM$103,12,FALSE)&lt;&gt;"",IF(VLOOKUP(A20,Schlußkurse!A$5:AU$105,45,FALSE)&gt;0,((VLOOKUP(A20,Aktien_im_Umlauf_splitbereinigt!A$3:AM$103,13,FALSE)-VLOOKUP(A20,Aktien_im_Umlauf_splitbereinigt!A$3:AM$103,12,FALSE))*VLOOKUP(A20,Schlußkurse!A$5:AU$105,45,FALSE))/VLOOKUP(A20,Aktien_im_Umlauf_splitbereinigt!A$3:AM$103,12,FALSE),0),0),0)</f>
        <v>3.4245436893203918</v>
      </c>
      <c r="M20" s="97">
        <f>IF(VLOOKUP(A20,Aktien_im_Umlauf_splitbereinigt!A$3:AM$103,14,FALSE)&lt;&gt;"",IF(VLOOKUP(A20,Aktien_im_Umlauf_splitbereinigt!A$3:AM$103,13,FALSE)&lt;&gt;"",IF(VLOOKUP(A20,Schlußkurse!A$5:AU$105,46,FALSE)&gt;0,((VLOOKUP(A20,Aktien_im_Umlauf_splitbereinigt!A$3:AM$103,14,FALSE)-VLOOKUP(A20,Aktien_im_Umlauf_splitbereinigt!A$3:AM$103,13,FALSE))*VLOOKUP(A20,Schlußkurse!A$5:AU$105,46,FALSE))/VLOOKUP(A20,Aktien_im_Umlauf_splitbereinigt!A$3:AM$103,13,FALSE),0),0),0)</f>
        <v>2.2784240150093731</v>
      </c>
      <c r="N20" s="13">
        <f>IF(C20&gt;0,IF(VLOOKUP(A20,Dividende_je_Aktie!A$3:AM$103,8,FALSE)&lt;&gt;"",C20+VLOOKUP(A20,Dividende_je_Aktie!A$3:AM$103,8,FALSE),C20),IF(VLOOKUP(A20,Dividende_je_Aktie!A$3:AM$103,8,FALSE)&lt;&gt;"",VLOOKUP(A20,Dividende_je_Aktie!A$3:AM$103,8,FALSE),""))</f>
        <v>3.29</v>
      </c>
      <c r="O20" s="13">
        <f>IF(D20&gt;0,IF(VLOOKUP(A20,Dividende_je_Aktie!A$3:AM$103,9,FALSE)&lt;&gt;"",D20+VLOOKUP(A20,Dividende_je_Aktie!A$3:AM$103,9,FALSE),D20),IF(VLOOKUP(A20,Dividende_je_Aktie!A$3:AM$103,9,FALSE)&lt;&gt;"",VLOOKUP(A20,Dividende_je_Aktie!A$3:AM$103,9,FALSE),""))</f>
        <v>3.1</v>
      </c>
      <c r="P20" s="13">
        <f>IF(E20&gt;0,IF(VLOOKUP(A20,Dividende_je_Aktie!A$3:AM$103,10,FALSE)&lt;&gt;"",E20+VLOOKUP(A20,Dividende_je_Aktie!A$3:AM$103,10,FALSE),E20),IF(VLOOKUP(A20,Dividende_je_Aktie!A$3:AM$103,10,FALSE)&lt;&gt;"",VLOOKUP(A20,Dividende_je_Aktie!A$3:AM$103,10,FALSE),""))</f>
        <v>13.787310015501657</v>
      </c>
      <c r="Q20" s="13">
        <f>IF(F20&gt;0,IF(VLOOKUP(A20,Dividende_je_Aktie!A$3:AM$103,11,FALSE)&lt;&gt;"",F20+VLOOKUP(A20,Dividende_je_Aktie!A$3:AM$103,11,FALSE),F20),IF(VLOOKUP(A20,Dividende_je_Aktie!A$3:AM$103,11,FALSE)&lt;&gt;"",VLOOKUP(A20,Dividende_je_Aktie!A$3:AM$103,11,FALSE),""))</f>
        <v>3.1133140782307245</v>
      </c>
      <c r="R20" s="13">
        <f>IF(G20&gt;0,IF(VLOOKUP(A20,Dividende_je_Aktie!A$3:AM$103,12,FALSE)&lt;&gt;"",G20+VLOOKUP(A20,Dividende_je_Aktie!A$3:AM$103,12,FALSE),G20),IF(VLOOKUP(A20,Dividende_je_Aktie!A$3:AM$103,12,FALSE)&lt;&gt;"",VLOOKUP(A20,Dividende_je_Aktie!A$3:AM$103,12,FALSE),""))</f>
        <v>2.2999999999999998</v>
      </c>
      <c r="S20" s="13">
        <f>IF(H20&gt;0,IF(VLOOKUP(A20,Dividende_je_Aktie!A$3:AM$103,13,FALSE)&lt;&gt;"",H20+VLOOKUP(A20,Dividende_je_Aktie!A$3:AM$103,13,FALSE),H20),IF(VLOOKUP(A20,Dividende_je_Aktie!A$3:AM$103,13,FALSE)&lt;&gt;"",VLOOKUP(A20,Dividende_je_Aktie!A$3:AM$103,13,FALSE),""))</f>
        <v>2</v>
      </c>
      <c r="T20" s="13">
        <f>IF(I20&gt;0,IF(VLOOKUP(A20,Dividende_je_Aktie!A$3:AM$103,14,FALSE)&lt;&gt;"",I20+VLOOKUP(A20,Dividende_je_Aktie!A$3:AM$103,14,FALSE),I20),IF(VLOOKUP(A20,Dividende_je_Aktie!A$3:AM$103,14,FALSE)&lt;&gt;"",VLOOKUP(A20,Dividende_je_Aktie!A$3:AM$103,14,FALSE),""))</f>
        <v>1.8</v>
      </c>
      <c r="U20" s="13">
        <f>IF(J20&gt;0,IF(VLOOKUP(A20,Dividende_je_Aktie!A$3:AM$103,15,FALSE)&lt;&gt;"",J20+VLOOKUP(A20,Dividende_je_Aktie!A$3:AM$103,15,FALSE),J20),IF(VLOOKUP(A20,Dividende_je_Aktie!A$3:AM$103,15,FALSE)&lt;&gt;"",VLOOKUP(A20,Dividende_je_Aktie!A$3:AM$103,15,FALSE),""))</f>
        <v>1.942737896494154</v>
      </c>
      <c r="V20" s="13">
        <f>IF(K20&gt;0,IF(VLOOKUP(A20,Dividende_je_Aktie!A$3:AM$103,16,FALSE)&lt;&gt;"",K20+VLOOKUP(A20,Dividende_je_Aktie!A$3:AM$103,16,FALSE),K20),IF(VLOOKUP(A20,Dividende_je_Aktie!A$3:AM$103,16,FALSE)&lt;&gt;"",VLOOKUP(A20,Dividende_je_Aktie!A$3:AM$103,16,FALSE),""))</f>
        <v>3.0533466135458189</v>
      </c>
      <c r="W20" s="13">
        <f>IF(L20&gt;0,IF(VLOOKUP(A20,Dividende_je_Aktie!A$3:AM$103,17,FALSE)&lt;&gt;"",L20+VLOOKUP(A20,Dividende_je_Aktie!A$3:AM$103,17,FALSE),L20),IF(VLOOKUP(A20,Dividende_je_Aktie!A$3:AM$103,17,FALSE)&lt;&gt;"",VLOOKUP(A20,Dividende_je_Aktie!A$3:AM$103,17,FALSE),""))</f>
        <v>4.8045436893203917</v>
      </c>
      <c r="X20" s="13">
        <f>IF(M20&gt;0,IF(VLOOKUP(A20,Dividende_je_Aktie!A$3:AM$103,18,FALSE)&lt;&gt;"",M20+VLOOKUP(A20,Dividende_je_Aktie!A$3:AM$103,18,FALSE),M20),IF(VLOOKUP(A20,Dividende_je_Aktie!A$3:AM$103,18,FALSE)&lt;&gt;"",VLOOKUP(A20,Dividende_je_Aktie!A$3:AM$103,18,FALSE),""))</f>
        <v>3.4584240150093732</v>
      </c>
    </row>
    <row r="21" spans="1:24">
      <c r="A21" t="s">
        <v>82</v>
      </c>
      <c r="B21" t="s">
        <v>190</v>
      </c>
      <c r="C21" s="13">
        <f>IF(VLOOKUP(A21,Aktien_im_Umlauf_splitbereinigt!A$3:AM$103,4,FALSE)&lt;&gt;"",IF(VLOOKUP(A21,Aktien_im_Umlauf_splitbereinigt!A$3:AM$103,3,FALSE)&lt;&gt;"",IF(VLOOKUP(A21,Schlußkurse!A$5:AU$105,36,FALSE)&gt;0,((VLOOKUP(A21,Aktien_im_Umlauf_splitbereinigt!A$3:AM$103,4,FALSE)-VLOOKUP(A21,Aktien_im_Umlauf_splitbereinigt!A$3:AM$103,3,FALSE))*VLOOKUP(A21,Schlußkurse!A$5:AU$105,36,FALSE))/VLOOKUP(A21,Aktien_im_Umlauf_splitbereinigt!A$3:AM$103,3,FALSE),0),0),0)</f>
        <v>0</v>
      </c>
      <c r="D21" s="97">
        <f>IF(VLOOKUP(A21,Aktien_im_Umlauf_splitbereinigt!A$3:AM$103,5,FALSE)&lt;&gt;"",IF(VLOOKUP(A21,Aktien_im_Umlauf_splitbereinigt!A$3:AM$103,4,FALSE)&lt;&gt;"",IF(VLOOKUP(A21,Schlußkurse!A$5:AU$105,37,FALSE)&gt;0,((VLOOKUP(A21,Aktien_im_Umlauf_splitbereinigt!A$3:AM$103,5,FALSE)-VLOOKUP(A21,Aktien_im_Umlauf_splitbereinigt!A$3:AM$103,4,FALSE))*VLOOKUP(A21,Schlußkurse!A$5:AU$105,37,FALSE))/VLOOKUP(A21,Aktien_im_Umlauf_splitbereinigt!A$3:AM$103,4,FALSE),0),0),0)</f>
        <v>0.78238897396630935</v>
      </c>
      <c r="E21" s="97">
        <f>IF(VLOOKUP(A21,Aktien_im_Umlauf_splitbereinigt!A$3:AM$103,6,FALSE)&lt;&gt;"",IF(VLOOKUP(A21,Aktien_im_Umlauf_splitbereinigt!A$3:AM$103,5,FALSE)&lt;&gt;"",IF(VLOOKUP(A21,Schlußkurse!A$5:AU$105,38,FALSE)&gt;0,((VLOOKUP(A21,Aktien_im_Umlauf_splitbereinigt!A$3:AM$103,6,FALSE)-VLOOKUP(A21,Aktien_im_Umlauf_splitbereinigt!A$3:AM$103,5,FALSE))*VLOOKUP(A21,Schlußkurse!A$5:AU$105,38,FALSE))/VLOOKUP(A21,Aktien_im_Umlauf_splitbereinigt!A$3:AM$103,5,FALSE),0),0),0)</f>
        <v>0.28680818802122815</v>
      </c>
      <c r="F21" s="97">
        <f>IF(VLOOKUP(A21,Aktien_im_Umlauf_splitbereinigt!A$3:AM$103,7,FALSE)&lt;&gt;"",IF(VLOOKUP(A21,Aktien_im_Umlauf_splitbereinigt!A$3:AM$103,6,FALSE)&lt;&gt;"",IF(VLOOKUP(A21,Schlußkurse!A$5:AU$105,39,FALSE)&gt;0,((VLOOKUP(A21,Aktien_im_Umlauf_splitbereinigt!A$3:AM$103,7,FALSE)-VLOOKUP(A21,Aktien_im_Umlauf_splitbereinigt!A$3:AM$103,6,FALSE))*VLOOKUP(A21,Schlußkurse!A$5:AU$105,39,FALSE))/VLOOKUP(A21,Aktien_im_Umlauf_splitbereinigt!A$3:AM$103,6,FALSE),0),0),0)</f>
        <v>0.11649546827794563</v>
      </c>
      <c r="G21" s="97">
        <f>IF(VLOOKUP(A21,Aktien_im_Umlauf_splitbereinigt!A$3:AM$103,8,FALSE)&lt;&gt;"",IF(VLOOKUP(A21,Aktien_im_Umlauf_splitbereinigt!A$3:AM$103,7,FALSE)&lt;&gt;"",IF(VLOOKUP(A21,Schlußkurse!A$5:AU$105,40,FALSE)&gt;0,((VLOOKUP(A21,Aktien_im_Umlauf_splitbereinigt!A$3:AM$103,8,FALSE)-VLOOKUP(A21,Aktien_im_Umlauf_splitbereinigt!A$3:AM$103,7,FALSE))*VLOOKUP(A21,Schlußkurse!A$5:AU$105,40,FALSE))/VLOOKUP(A21,Aktien_im_Umlauf_splitbereinigt!A$3:AM$103,7,FALSE),0),0),0)</f>
        <v>0.8075791855203619</v>
      </c>
      <c r="H21" s="97">
        <f>IF(VLOOKUP(A21,Aktien_im_Umlauf_splitbereinigt!A$3:AM$103,9,FALSE)&lt;&gt;"",IF(VLOOKUP(A21,Aktien_im_Umlauf_splitbereinigt!A$3:AM$103,8,FALSE)&lt;&gt;"",IF(VLOOKUP(A21,Schlußkurse!A$5:AU$105,41,FALSE)&gt;0,((VLOOKUP(A21,Aktien_im_Umlauf_splitbereinigt!A$3:AM$103,9,FALSE)-VLOOKUP(A21,Aktien_im_Umlauf_splitbereinigt!A$3:AM$103,8,FALSE))*VLOOKUP(A21,Schlußkurse!A$5:AU$105,41,FALSE))/VLOOKUP(A21,Aktien_im_Umlauf_splitbereinigt!A$3:AM$103,8,FALSE),0),0),0)</f>
        <v>-1.2695749440715884</v>
      </c>
      <c r="I21" s="97">
        <f>IF(VLOOKUP(A21,Aktien_im_Umlauf_splitbereinigt!A$3:AM$103,10,FALSE)&lt;&gt;"",IF(VLOOKUP(A21,Aktien_im_Umlauf_splitbereinigt!A$3:AM$103,9,FALSE)&lt;&gt;"",IF(VLOOKUP(A21,Schlußkurse!A$5:AU$105,42,FALSE)&gt;0,((VLOOKUP(A21,Aktien_im_Umlauf_splitbereinigt!A$3:AM$103,10,FALSE)-VLOOKUP(A21,Aktien_im_Umlauf_splitbereinigt!A$3:AM$103,9,FALSE))*VLOOKUP(A21,Schlußkurse!A$5:AU$105,42,FALSE))/VLOOKUP(A21,Aktien_im_Umlauf_splitbereinigt!A$3:AM$103,9,FALSE),0),0),0)</f>
        <v>0.29199084668192221</v>
      </c>
      <c r="J21" s="97">
        <f>IF(VLOOKUP(A21,Aktien_im_Umlauf_splitbereinigt!A$3:AM$103,11,FALSE)&lt;&gt;"",IF(VLOOKUP(A21,Aktien_im_Umlauf_splitbereinigt!A$3:AM$103,10,FALSE)&lt;&gt;"",IF(VLOOKUP(A21,Schlußkurse!A$5:AU$105,43,FALSE)&gt;0,((VLOOKUP(A21,Aktien_im_Umlauf_splitbereinigt!A$3:AM$103,11,FALSE)-VLOOKUP(A21,Aktien_im_Umlauf_splitbereinigt!A$3:AM$103,10,FALSE))*VLOOKUP(A21,Schlußkurse!A$5:AU$105,43,FALSE))/VLOOKUP(A21,Aktien_im_Umlauf_splitbereinigt!A$3:AM$103,10,FALSE),0),0),0)</f>
        <v>-0.12523123578468537</v>
      </c>
      <c r="K21" s="97">
        <f>IF(VLOOKUP(A21,Aktien_im_Umlauf_splitbereinigt!A$3:AM$103,12,FALSE)&lt;&gt;"",IF(VLOOKUP(A21,Aktien_im_Umlauf_splitbereinigt!A$3:AM$103,11,FALSE)&lt;&gt;"",IF(VLOOKUP(A21,Schlußkurse!A$5:AU$105,44,FALSE)&gt;0,((VLOOKUP(A21,Aktien_im_Umlauf_splitbereinigt!A$3:AM$103,12,FALSE)-VLOOKUP(A21,Aktien_im_Umlauf_splitbereinigt!A$3:AM$103,11,FALSE))*VLOOKUP(A21,Schlußkurse!A$5:AU$105,44,FALSE))/VLOOKUP(A21,Aktien_im_Umlauf_splitbereinigt!A$3:AM$103,11,FALSE),0),0),0)</f>
        <v>1.7249240121580547</v>
      </c>
      <c r="L21" s="97">
        <f>IF(VLOOKUP(A21,Aktien_im_Umlauf_splitbereinigt!A$3:AM$103,13,FALSE)&lt;&gt;"",IF(VLOOKUP(A21,Aktien_im_Umlauf_splitbereinigt!A$3:AM$103,12,FALSE)&lt;&gt;"",IF(VLOOKUP(A21,Schlußkurse!A$5:AU$105,45,FALSE)&gt;0,((VLOOKUP(A21,Aktien_im_Umlauf_splitbereinigt!A$3:AM$103,13,FALSE)-VLOOKUP(A21,Aktien_im_Umlauf_splitbereinigt!A$3:AM$103,12,FALSE))*VLOOKUP(A21,Schlußkurse!A$5:AU$105,45,FALSE))/VLOOKUP(A21,Aktien_im_Umlauf_splitbereinigt!A$3:AM$103,12,FALSE),0),0),0)</f>
        <v>-0.32273792093704246</v>
      </c>
      <c r="M21" s="97">
        <f>IF(VLOOKUP(A21,Aktien_im_Umlauf_splitbereinigt!A$3:AM$103,14,FALSE)&lt;&gt;"",IF(VLOOKUP(A21,Aktien_im_Umlauf_splitbereinigt!A$3:AM$103,13,FALSE)&lt;&gt;"",IF(VLOOKUP(A21,Schlußkurse!A$5:AU$105,46,FALSE)&gt;0,((VLOOKUP(A21,Aktien_im_Umlauf_splitbereinigt!A$3:AM$103,14,FALSE)-VLOOKUP(A21,Aktien_im_Umlauf_splitbereinigt!A$3:AM$103,13,FALSE))*VLOOKUP(A21,Schlußkurse!A$5:AU$105,46,FALSE))/VLOOKUP(A21,Aktien_im_Umlauf_splitbereinigt!A$3:AM$103,13,FALSE),0),0),0)</f>
        <v>1.9044518027961737</v>
      </c>
      <c r="N21" s="13">
        <f>IF(C21&gt;0,IF(VLOOKUP(A21,Dividende_je_Aktie!A$3:AM$103,8,FALSE)&lt;&gt;"",C21+VLOOKUP(A21,Dividende_je_Aktie!A$3:AM$103,8,FALSE),C21),IF(VLOOKUP(A21,Dividende_je_Aktie!A$3:AM$103,8,FALSE)&lt;&gt;"",VLOOKUP(A21,Dividende_je_Aktie!A$3:AM$103,8,FALSE),""))</f>
        <v>2.97</v>
      </c>
      <c r="O21" s="13">
        <f>IF(D21&gt;0,IF(VLOOKUP(A21,Dividende_je_Aktie!A$3:AM$103,9,FALSE)&lt;&gt;"",D21+VLOOKUP(A21,Dividende_je_Aktie!A$3:AM$103,9,FALSE),D21),IF(VLOOKUP(A21,Dividende_je_Aktie!A$3:AM$103,9,FALSE)&lt;&gt;"",VLOOKUP(A21,Dividende_je_Aktie!A$3:AM$103,9,FALSE),""))</f>
        <v>3.7123889739663096</v>
      </c>
      <c r="P21" s="13">
        <f>IF(E21&gt;0,IF(VLOOKUP(A21,Dividende_je_Aktie!A$3:AM$103,10,FALSE)&lt;&gt;"",E21+VLOOKUP(A21,Dividende_je_Aktie!A$3:AM$103,10,FALSE),E21),IF(VLOOKUP(A21,Dividende_je_Aktie!A$3:AM$103,10,FALSE)&lt;&gt;"",VLOOKUP(A21,Dividende_je_Aktie!A$3:AM$103,10,FALSE),""))</f>
        <v>3.1368081880212282</v>
      </c>
      <c r="Q21" s="13">
        <f>IF(F21&gt;0,IF(VLOOKUP(A21,Dividende_je_Aktie!A$3:AM$103,11,FALSE)&lt;&gt;"",F21+VLOOKUP(A21,Dividende_je_Aktie!A$3:AM$103,11,FALSE),F21),IF(VLOOKUP(A21,Dividende_je_Aktie!A$3:AM$103,11,FALSE)&lt;&gt;"",VLOOKUP(A21,Dividende_je_Aktie!A$3:AM$103,11,FALSE),""))</f>
        <v>2.9164954682779456</v>
      </c>
      <c r="R21" s="13">
        <f>IF(G21&gt;0,IF(VLOOKUP(A21,Dividende_je_Aktie!A$3:AM$103,12,FALSE)&lt;&gt;"",G21+VLOOKUP(A21,Dividende_je_Aktie!A$3:AM$103,12,FALSE),G21),IF(VLOOKUP(A21,Dividende_je_Aktie!A$3:AM$103,12,FALSE)&lt;&gt;"",VLOOKUP(A21,Dividende_je_Aktie!A$3:AM$103,12,FALSE),""))</f>
        <v>3.5775791855203618</v>
      </c>
      <c r="S21" s="13">
        <f>IF(H21&gt;0,IF(VLOOKUP(A21,Dividende_je_Aktie!A$3:AM$103,13,FALSE)&lt;&gt;"",H21+VLOOKUP(A21,Dividende_je_Aktie!A$3:AM$103,13,FALSE),H21),IF(VLOOKUP(A21,Dividende_je_Aktie!A$3:AM$103,13,FALSE)&lt;&gt;"",VLOOKUP(A21,Dividende_je_Aktie!A$3:AM$103,13,FALSE),""))</f>
        <v>2.65</v>
      </c>
      <c r="T21" s="13">
        <f>IF(I21&gt;0,IF(VLOOKUP(A21,Dividende_je_Aktie!A$3:AM$103,14,FALSE)&lt;&gt;"",I21+VLOOKUP(A21,Dividende_je_Aktie!A$3:AM$103,14,FALSE),I21),IF(VLOOKUP(A21,Dividende_je_Aktie!A$3:AM$103,14,FALSE)&lt;&gt;"",VLOOKUP(A21,Dividende_je_Aktie!A$3:AM$103,14,FALSE),""))</f>
        <v>2.691990846681922</v>
      </c>
      <c r="U21" s="13">
        <f>IF(J21&gt;0,IF(VLOOKUP(A21,Dividende_je_Aktie!A$3:AM$103,15,FALSE)&lt;&gt;"",J21+VLOOKUP(A21,Dividende_je_Aktie!A$3:AM$103,15,FALSE),J21),IF(VLOOKUP(A21,Dividende_je_Aktie!A$3:AM$103,15,FALSE)&lt;&gt;"",VLOOKUP(A21,Dividende_je_Aktie!A$3:AM$103,15,FALSE),""))</f>
        <v>2.2000000000000002</v>
      </c>
      <c r="V21" s="13">
        <f>IF(K21&gt;0,IF(VLOOKUP(A21,Dividende_je_Aktie!A$3:AM$103,16,FALSE)&lt;&gt;"",K21+VLOOKUP(A21,Dividende_je_Aktie!A$3:AM$103,16,FALSE),K21),IF(VLOOKUP(A21,Dividende_je_Aktie!A$3:AM$103,16,FALSE)&lt;&gt;"",VLOOKUP(A21,Dividende_je_Aktie!A$3:AM$103,16,FALSE),""))</f>
        <v>3.7949240121580545</v>
      </c>
      <c r="W21" s="13">
        <f>IF(L21&gt;0,IF(VLOOKUP(A21,Dividende_je_Aktie!A$3:AM$103,17,FALSE)&lt;&gt;"",L21+VLOOKUP(A21,Dividende_je_Aktie!A$3:AM$103,17,FALSE),L21),IF(VLOOKUP(A21,Dividende_je_Aktie!A$3:AM$103,17,FALSE)&lt;&gt;"",VLOOKUP(A21,Dividende_je_Aktie!A$3:AM$103,17,FALSE),""))</f>
        <v>1.75</v>
      </c>
      <c r="X21" s="13">
        <f>IF(M21&gt;0,IF(VLOOKUP(A21,Dividende_je_Aktie!A$3:AM$103,18,FALSE)&lt;&gt;"",M21+VLOOKUP(A21,Dividende_je_Aktie!A$3:AM$103,18,FALSE),M21),IF(VLOOKUP(A21,Dividende_je_Aktie!A$3:AM$103,18,FALSE)&lt;&gt;"",VLOOKUP(A21,Dividende_je_Aktie!A$3:AM$103,18,FALSE),""))</f>
        <v>3.4244518027961739</v>
      </c>
    </row>
    <row r="22" spans="1:24">
      <c r="A22" t="s">
        <v>28</v>
      </c>
      <c r="B22" t="s">
        <v>29</v>
      </c>
      <c r="C22" s="13">
        <f>IF(VLOOKUP(A22,Aktien_im_Umlauf_splitbereinigt!A$3:AM$103,4,FALSE)&lt;&gt;"",IF(VLOOKUP(A22,Aktien_im_Umlauf_splitbereinigt!A$3:AM$103,3,FALSE)&lt;&gt;"",IF(VLOOKUP(A22,Schlußkurse!A$5:AU$105,36,FALSE)&gt;0,((VLOOKUP(A22,Aktien_im_Umlauf_splitbereinigt!A$3:AM$103,4,FALSE)-VLOOKUP(A22,Aktien_im_Umlauf_splitbereinigt!A$3:AM$103,3,FALSE))*VLOOKUP(A22,Schlußkurse!A$5:AU$105,36,FALSE))/VLOOKUP(A22,Aktien_im_Umlauf_splitbereinigt!A$3:AM$103,3,FALSE),0),0),0)</f>
        <v>0</v>
      </c>
      <c r="D22" s="97">
        <f>IF(VLOOKUP(A22,Aktien_im_Umlauf_splitbereinigt!A$3:AM$103,5,FALSE)&lt;&gt;"",IF(VLOOKUP(A22,Aktien_im_Umlauf_splitbereinigt!A$3:AM$103,4,FALSE)&lt;&gt;"",IF(VLOOKUP(A22,Schlußkurse!A$5:AU$105,37,FALSE)&gt;0,((VLOOKUP(A22,Aktien_im_Umlauf_splitbereinigt!A$3:AM$103,5,FALSE)-VLOOKUP(A22,Aktien_im_Umlauf_splitbereinigt!A$3:AM$103,4,FALSE))*VLOOKUP(A22,Schlußkurse!A$5:AU$105,37,FALSE))/VLOOKUP(A22,Aktien_im_Umlauf_splitbereinigt!A$3:AM$103,4,FALSE),0),0),0)</f>
        <v>-1.5336410773206743</v>
      </c>
      <c r="E22" s="97">
        <f>IF(VLOOKUP(A22,Aktien_im_Umlauf_splitbereinigt!A$3:AM$103,6,FALSE)&lt;&gt;"",IF(VLOOKUP(A22,Aktien_im_Umlauf_splitbereinigt!A$3:AM$103,5,FALSE)&lt;&gt;"",IF(VLOOKUP(A22,Schlußkurse!A$5:AU$105,38,FALSE)&gt;0,((VLOOKUP(A22,Aktien_im_Umlauf_splitbereinigt!A$3:AM$103,6,FALSE)-VLOOKUP(A22,Aktien_im_Umlauf_splitbereinigt!A$3:AM$103,5,FALSE))*VLOOKUP(A22,Schlußkurse!A$5:AU$105,38,FALSE))/VLOOKUP(A22,Aktien_im_Umlauf_splitbereinigt!A$3:AM$103,5,FALSE),0),0),0)</f>
        <v>-1.2394797360352026</v>
      </c>
      <c r="F22" s="97">
        <f>IF(VLOOKUP(A22,Aktien_im_Umlauf_splitbereinigt!A$3:AM$103,7,FALSE)&lt;&gt;"",IF(VLOOKUP(A22,Aktien_im_Umlauf_splitbereinigt!A$3:AM$103,6,FALSE)&lt;&gt;"",IF(VLOOKUP(A22,Schlußkurse!A$5:AU$105,39,FALSE)&gt;0,((VLOOKUP(A22,Aktien_im_Umlauf_splitbereinigt!A$3:AM$103,7,FALSE)-VLOOKUP(A22,Aktien_im_Umlauf_splitbereinigt!A$3:AM$103,6,FALSE))*VLOOKUP(A22,Schlußkurse!A$5:AU$105,39,FALSE))/VLOOKUP(A22,Aktien_im_Umlauf_splitbereinigt!A$3:AM$103,6,FALSE),0),0),0)</f>
        <v>0.6165055762081858</v>
      </c>
      <c r="G22" s="97">
        <f>IF(VLOOKUP(A22,Aktien_im_Umlauf_splitbereinigt!A$3:AM$103,8,FALSE)&lt;&gt;"",IF(VLOOKUP(A22,Aktien_im_Umlauf_splitbereinigt!A$3:AM$103,7,FALSE)&lt;&gt;"",IF(VLOOKUP(A22,Schlußkurse!A$5:AU$105,40,FALSE)&gt;0,((VLOOKUP(A22,Aktien_im_Umlauf_splitbereinigt!A$3:AM$103,8,FALSE)-VLOOKUP(A22,Aktien_im_Umlauf_splitbereinigt!A$3:AM$103,7,FALSE))*VLOOKUP(A22,Schlußkurse!A$5:AU$105,40,FALSE))/VLOOKUP(A22,Aktien_im_Umlauf_splitbereinigt!A$3:AM$103,7,FALSE),0),0),0)</f>
        <v>0.61484426878802234</v>
      </c>
      <c r="H22" s="97">
        <f>IF(VLOOKUP(A22,Aktien_im_Umlauf_splitbereinigt!A$3:AM$103,9,FALSE)&lt;&gt;"",IF(VLOOKUP(A22,Aktien_im_Umlauf_splitbereinigt!A$3:AM$103,8,FALSE)&lt;&gt;"",IF(VLOOKUP(A22,Schlußkurse!A$5:AU$105,41,FALSE)&gt;0,((VLOOKUP(A22,Aktien_im_Umlauf_splitbereinigt!A$3:AM$103,9,FALSE)-VLOOKUP(A22,Aktien_im_Umlauf_splitbereinigt!A$3:AM$103,8,FALSE))*VLOOKUP(A22,Schlußkurse!A$5:AU$105,41,FALSE))/VLOOKUP(A22,Aktien_im_Umlauf_splitbereinigt!A$3:AM$103,8,FALSE),0),0),0)</f>
        <v>1.2606657898241902</v>
      </c>
      <c r="I22" s="97">
        <f>IF(VLOOKUP(A22,Aktien_im_Umlauf_splitbereinigt!A$3:AM$103,10,FALSE)&lt;&gt;"",IF(VLOOKUP(A22,Aktien_im_Umlauf_splitbereinigt!A$3:AM$103,9,FALSE)&lt;&gt;"",IF(VLOOKUP(A22,Schlußkurse!A$5:AU$105,42,FALSE)&gt;0,((VLOOKUP(A22,Aktien_im_Umlauf_splitbereinigt!A$3:AM$103,10,FALSE)-VLOOKUP(A22,Aktien_im_Umlauf_splitbereinigt!A$3:AM$103,9,FALSE))*VLOOKUP(A22,Schlußkurse!A$5:AU$105,42,FALSE))/VLOOKUP(A22,Aktien_im_Umlauf_splitbereinigt!A$3:AM$103,9,FALSE),0),0),0)</f>
        <v>-0.2098323677847557</v>
      </c>
      <c r="J22" s="97">
        <f>IF(VLOOKUP(A22,Aktien_im_Umlauf_splitbereinigt!A$3:AM$103,11,FALSE)&lt;&gt;"",IF(VLOOKUP(A22,Aktien_im_Umlauf_splitbereinigt!A$3:AM$103,10,FALSE)&lt;&gt;"",IF(VLOOKUP(A22,Schlußkurse!A$5:AU$105,43,FALSE)&gt;0,((VLOOKUP(A22,Aktien_im_Umlauf_splitbereinigt!A$3:AM$103,11,FALSE)-VLOOKUP(A22,Aktien_im_Umlauf_splitbereinigt!A$3:AM$103,10,FALSE))*VLOOKUP(A22,Schlußkurse!A$5:AU$105,43,FALSE))/VLOOKUP(A22,Aktien_im_Umlauf_splitbereinigt!A$3:AM$103,10,FALSE),0),0),0)</f>
        <v>-6.9591419443176674</v>
      </c>
      <c r="K22" s="97">
        <f>IF(VLOOKUP(A22,Aktien_im_Umlauf_splitbereinigt!A$3:AM$103,12,FALSE)&lt;&gt;"",IF(VLOOKUP(A22,Aktien_im_Umlauf_splitbereinigt!A$3:AM$103,11,FALSE)&lt;&gt;"",IF(VLOOKUP(A22,Schlußkurse!A$5:AU$105,44,FALSE)&gt;0,((VLOOKUP(A22,Aktien_im_Umlauf_splitbereinigt!A$3:AM$103,12,FALSE)-VLOOKUP(A22,Aktien_im_Umlauf_splitbereinigt!A$3:AM$103,11,FALSE))*VLOOKUP(A22,Schlußkurse!A$5:AU$105,44,FALSE))/VLOOKUP(A22,Aktien_im_Umlauf_splitbereinigt!A$3:AM$103,11,FALSE),0),0),0)</f>
        <v>-8.4040482678084866E-2</v>
      </c>
      <c r="L22" s="97">
        <f>IF(VLOOKUP(A22,Aktien_im_Umlauf_splitbereinigt!A$3:AM$103,13,FALSE)&lt;&gt;"",IF(VLOOKUP(A22,Aktien_im_Umlauf_splitbereinigt!A$3:AM$103,12,FALSE)&lt;&gt;"",IF(VLOOKUP(A22,Schlußkurse!A$5:AU$105,45,FALSE)&gt;0,((VLOOKUP(A22,Aktien_im_Umlauf_splitbereinigt!A$3:AM$103,13,FALSE)-VLOOKUP(A22,Aktien_im_Umlauf_splitbereinigt!A$3:AM$103,12,FALSE))*VLOOKUP(A22,Schlußkurse!A$5:AU$105,45,FALSE))/VLOOKUP(A22,Aktien_im_Umlauf_splitbereinigt!A$3:AM$103,12,FALSE),0),0),0)</f>
        <v>1.077613104524181</v>
      </c>
      <c r="M22" s="97">
        <f>IF(VLOOKUP(A22,Aktien_im_Umlauf_splitbereinigt!A$3:AM$103,14,FALSE)&lt;&gt;"",IF(VLOOKUP(A22,Aktien_im_Umlauf_splitbereinigt!A$3:AM$103,13,FALSE)&lt;&gt;"",IF(VLOOKUP(A22,Schlußkurse!A$5:AU$105,46,FALSE)&gt;0,((VLOOKUP(A22,Aktien_im_Umlauf_splitbereinigt!A$3:AM$103,14,FALSE)-VLOOKUP(A22,Aktien_im_Umlauf_splitbereinigt!A$3:AM$103,13,FALSE))*VLOOKUP(A22,Schlußkurse!A$5:AU$105,46,FALSE))/VLOOKUP(A22,Aktien_im_Umlauf_splitbereinigt!A$3:AM$103,13,FALSE),0),0),0)</f>
        <v>0.72602529704868013</v>
      </c>
      <c r="N22" s="13">
        <f>IF(C22&gt;0,IF(VLOOKUP(A22,Dividende_je_Aktie!A$3:AM$103,8,FALSE)&lt;&gt;"",C22+VLOOKUP(A22,Dividende_je_Aktie!A$3:AM$103,8,FALSE),C22),IF(VLOOKUP(A22,Dividende_je_Aktie!A$3:AM$103,8,FALSE)&lt;&gt;"",VLOOKUP(A22,Dividende_je_Aktie!A$3:AM$103,8,FALSE),""))</f>
        <v>1.68</v>
      </c>
      <c r="O22" s="13">
        <f>IF(D22&gt;0,IF(VLOOKUP(A22,Dividende_je_Aktie!A$3:AM$103,9,FALSE)&lt;&gt;"",D22+VLOOKUP(A22,Dividende_je_Aktie!A$3:AM$103,9,FALSE),D22),IF(VLOOKUP(A22,Dividende_je_Aktie!A$3:AM$103,9,FALSE)&lt;&gt;"",VLOOKUP(A22,Dividende_je_Aktie!A$3:AM$103,9,FALSE),""))</f>
        <v>1.6</v>
      </c>
      <c r="P22" s="13">
        <f>IF(E22&gt;0,IF(VLOOKUP(A22,Dividende_je_Aktie!A$3:AM$103,10,FALSE)&lt;&gt;"",E22+VLOOKUP(A22,Dividende_je_Aktie!A$3:AM$103,10,FALSE),E22),IF(VLOOKUP(A22,Dividende_je_Aktie!A$3:AM$103,10,FALSE)&lt;&gt;"",VLOOKUP(A22,Dividende_je_Aktie!A$3:AM$103,10,FALSE),""))</f>
        <v>1.5</v>
      </c>
      <c r="Q22" s="13">
        <f>IF(F22&gt;0,IF(VLOOKUP(A22,Dividende_je_Aktie!A$3:AM$103,11,FALSE)&lt;&gt;"",F22+VLOOKUP(A22,Dividende_je_Aktie!A$3:AM$103,11,FALSE),F22),IF(VLOOKUP(A22,Dividende_je_Aktie!A$3:AM$103,11,FALSE)&lt;&gt;"",VLOOKUP(A22,Dividende_je_Aktie!A$3:AM$103,11,FALSE),""))</f>
        <v>2.0665055762081859</v>
      </c>
      <c r="R22" s="13">
        <f>IF(G22&gt;0,IF(VLOOKUP(A22,Dividende_je_Aktie!A$3:AM$103,12,FALSE)&lt;&gt;"",G22+VLOOKUP(A22,Dividende_je_Aktie!A$3:AM$103,12,FALSE),G22),IF(VLOOKUP(A22,Dividende_je_Aktie!A$3:AM$103,12,FALSE)&lt;&gt;"",VLOOKUP(A22,Dividende_je_Aktie!A$3:AM$103,12,FALSE),""))</f>
        <v>2.0648442687880224</v>
      </c>
      <c r="S22" s="13">
        <f>IF(H22&gt;0,IF(VLOOKUP(A22,Dividende_je_Aktie!A$3:AM$103,13,FALSE)&lt;&gt;"",H22+VLOOKUP(A22,Dividende_je_Aktie!A$3:AM$103,13,FALSE),H22),IF(VLOOKUP(A22,Dividende_je_Aktie!A$3:AM$103,13,FALSE)&lt;&gt;"",VLOOKUP(A22,Dividende_je_Aktie!A$3:AM$103,13,FALSE),""))</f>
        <v>2.6506657898241901</v>
      </c>
      <c r="T22" s="13">
        <f>IF(I22&gt;0,IF(VLOOKUP(A22,Dividende_je_Aktie!A$3:AM$103,14,FALSE)&lt;&gt;"",I22+VLOOKUP(A22,Dividende_je_Aktie!A$3:AM$103,14,FALSE),I22),IF(VLOOKUP(A22,Dividende_je_Aktie!A$3:AM$103,14,FALSE)&lt;&gt;"",VLOOKUP(A22,Dividende_je_Aktie!A$3:AM$103,14,FALSE),""))</f>
        <v>1.3</v>
      </c>
      <c r="U22" s="13">
        <f>IF(J22&gt;0,IF(VLOOKUP(A22,Dividende_je_Aktie!A$3:AM$103,15,FALSE)&lt;&gt;"",J22+VLOOKUP(A22,Dividende_je_Aktie!A$3:AM$103,15,FALSE),J22),IF(VLOOKUP(A22,Dividende_je_Aktie!A$3:AM$103,15,FALSE)&lt;&gt;"",VLOOKUP(A22,Dividende_je_Aktie!A$3:AM$103,15,FALSE),""))</f>
        <v>1.2</v>
      </c>
      <c r="V22" s="13">
        <f>IF(K22&gt;0,IF(VLOOKUP(A22,Dividende_je_Aktie!A$3:AM$103,16,FALSE)&lt;&gt;"",K22+VLOOKUP(A22,Dividende_je_Aktie!A$3:AM$103,16,FALSE),K22),IF(VLOOKUP(A22,Dividende_je_Aktie!A$3:AM$103,16,FALSE)&lt;&gt;"",VLOOKUP(A22,Dividende_je_Aktie!A$3:AM$103,16,FALSE),""))</f>
        <v>1.2</v>
      </c>
      <c r="W22" s="13">
        <f>IF(L22&gt;0,IF(VLOOKUP(A22,Dividende_je_Aktie!A$3:AM$103,17,FALSE)&lt;&gt;"",L22+VLOOKUP(A22,Dividende_je_Aktie!A$3:AM$103,17,FALSE),L22),IF(VLOOKUP(A22,Dividende_je_Aktie!A$3:AM$103,17,FALSE)&lt;&gt;"",VLOOKUP(A22,Dividende_je_Aktie!A$3:AM$103,17,FALSE),""))</f>
        <v>2.1776131045241813</v>
      </c>
      <c r="X22" s="13">
        <f>IF(M22&gt;0,IF(VLOOKUP(A22,Dividende_je_Aktie!A$3:AM$103,18,FALSE)&lt;&gt;"",M22+VLOOKUP(A22,Dividende_je_Aktie!A$3:AM$103,18,FALSE),M22),IF(VLOOKUP(A22,Dividende_je_Aktie!A$3:AM$103,18,FALSE)&lt;&gt;"",VLOOKUP(A22,Dividende_je_Aktie!A$3:AM$103,18,FALSE),""))</f>
        <v>1.7260252970486802</v>
      </c>
    </row>
    <row r="23" spans="1:24">
      <c r="A23" t="s">
        <v>30</v>
      </c>
      <c r="B23" t="s">
        <v>31</v>
      </c>
      <c r="C23" s="13">
        <f>IF(VLOOKUP(A23,Aktien_im_Umlauf_splitbereinigt!A$3:AM$103,4,FALSE)&lt;&gt;"",IF(VLOOKUP(A23,Aktien_im_Umlauf_splitbereinigt!A$3:AM$103,3,FALSE)&lt;&gt;"",IF(VLOOKUP(A23,Schlußkurse!A$5:AU$105,36,FALSE)&gt;0,((VLOOKUP(A23,Aktien_im_Umlauf_splitbereinigt!A$3:AM$103,4,FALSE)-VLOOKUP(A23,Aktien_im_Umlauf_splitbereinigt!A$3:AM$103,3,FALSE))*VLOOKUP(A23,Schlußkurse!A$5:AU$105,36,FALSE))/VLOOKUP(A23,Aktien_im_Umlauf_splitbereinigt!A$3:AM$103,3,FALSE),0),0),0)</f>
        <v>0</v>
      </c>
      <c r="D23" s="97">
        <f>IF(VLOOKUP(A23,Aktien_im_Umlauf_splitbereinigt!A$3:AM$103,5,FALSE)&lt;&gt;"",IF(VLOOKUP(A23,Aktien_im_Umlauf_splitbereinigt!A$3:AM$103,4,FALSE)&lt;&gt;"",IF(VLOOKUP(A23,Schlußkurse!A$5:AU$105,37,FALSE)&gt;0,((VLOOKUP(A23,Aktien_im_Umlauf_splitbereinigt!A$3:AM$103,5,FALSE)-VLOOKUP(A23,Aktien_im_Umlauf_splitbereinigt!A$3:AM$103,4,FALSE))*VLOOKUP(A23,Schlußkurse!A$5:AU$105,37,FALSE))/VLOOKUP(A23,Aktien_im_Umlauf_splitbereinigt!A$3:AM$103,4,FALSE),0),0),0)</f>
        <v>0</v>
      </c>
      <c r="E23" s="97">
        <f>IF(VLOOKUP(A23,Aktien_im_Umlauf_splitbereinigt!A$3:AM$103,6,FALSE)&lt;&gt;"",IF(VLOOKUP(A23,Aktien_im_Umlauf_splitbereinigt!A$3:AM$103,5,FALSE)&lt;&gt;"",IF(VLOOKUP(A23,Schlußkurse!A$5:AU$105,38,FALSE)&gt;0,((VLOOKUP(A23,Aktien_im_Umlauf_splitbereinigt!A$3:AM$103,6,FALSE)-VLOOKUP(A23,Aktien_im_Umlauf_splitbereinigt!A$3:AM$103,5,FALSE))*VLOOKUP(A23,Schlußkurse!A$5:AU$105,38,FALSE))/VLOOKUP(A23,Aktien_im_Umlauf_splitbereinigt!A$3:AM$103,5,FALSE),0),0),0)</f>
        <v>-1.7266896891958559E-2</v>
      </c>
      <c r="F23" s="97">
        <f>IF(VLOOKUP(A23,Aktien_im_Umlauf_splitbereinigt!A$3:AM$103,7,FALSE)&lt;&gt;"",IF(VLOOKUP(A23,Aktien_im_Umlauf_splitbereinigt!A$3:AM$103,6,FALSE)&lt;&gt;"",IF(VLOOKUP(A23,Schlußkurse!A$5:AU$105,39,FALSE)&gt;0,((VLOOKUP(A23,Aktien_im_Umlauf_splitbereinigt!A$3:AM$103,7,FALSE)-VLOOKUP(A23,Aktien_im_Umlauf_splitbereinigt!A$3:AM$103,6,FALSE))*VLOOKUP(A23,Schlußkurse!A$5:AU$105,39,FALSE))/VLOOKUP(A23,Aktien_im_Umlauf_splitbereinigt!A$3:AM$103,6,FALSE),0),0),0)</f>
        <v>0</v>
      </c>
      <c r="G23" s="97">
        <f>IF(VLOOKUP(A23,Aktien_im_Umlauf_splitbereinigt!A$3:AM$103,8,FALSE)&lt;&gt;"",IF(VLOOKUP(A23,Aktien_im_Umlauf_splitbereinigt!A$3:AM$103,7,FALSE)&lt;&gt;"",IF(VLOOKUP(A23,Schlußkurse!A$5:AU$105,40,FALSE)&gt;0,((VLOOKUP(A23,Aktien_im_Umlauf_splitbereinigt!A$3:AM$103,8,FALSE)-VLOOKUP(A23,Aktien_im_Umlauf_splitbereinigt!A$3:AM$103,7,FALSE))*VLOOKUP(A23,Schlußkurse!A$5:AU$105,40,FALSE))/VLOOKUP(A23,Aktien_im_Umlauf_splitbereinigt!A$3:AM$103,7,FALSE),0),0),0)</f>
        <v>0</v>
      </c>
      <c r="H23" s="97">
        <f>IF(VLOOKUP(A23,Aktien_im_Umlauf_splitbereinigt!A$3:AM$103,9,FALSE)&lt;&gt;"",IF(VLOOKUP(A23,Aktien_im_Umlauf_splitbereinigt!A$3:AM$103,8,FALSE)&lt;&gt;"",IF(VLOOKUP(A23,Schlußkurse!A$5:AU$105,41,FALSE)&gt;0,((VLOOKUP(A23,Aktien_im_Umlauf_splitbereinigt!A$3:AM$103,9,FALSE)-VLOOKUP(A23,Aktien_im_Umlauf_splitbereinigt!A$3:AM$103,8,FALSE))*VLOOKUP(A23,Schlußkurse!A$5:AU$105,41,FALSE))/VLOOKUP(A23,Aktien_im_Umlauf_splitbereinigt!A$3:AM$103,8,FALSE),0),0),0)</f>
        <v>0</v>
      </c>
      <c r="I23" s="97">
        <f>IF(VLOOKUP(A23,Aktien_im_Umlauf_splitbereinigt!A$3:AM$103,10,FALSE)&lt;&gt;"",IF(VLOOKUP(A23,Aktien_im_Umlauf_splitbereinigt!A$3:AM$103,9,FALSE)&lt;&gt;"",IF(VLOOKUP(A23,Schlußkurse!A$5:AU$105,42,FALSE)&gt;0,((VLOOKUP(A23,Aktien_im_Umlauf_splitbereinigt!A$3:AM$103,10,FALSE)-VLOOKUP(A23,Aktien_im_Umlauf_splitbereinigt!A$3:AM$103,9,FALSE))*VLOOKUP(A23,Schlußkurse!A$5:AU$105,42,FALSE))/VLOOKUP(A23,Aktien_im_Umlauf_splitbereinigt!A$3:AM$103,9,FALSE),0),0),0)</f>
        <v>-1.2159427443237909E-2</v>
      </c>
      <c r="J23" s="97">
        <f>IF(VLOOKUP(A23,Aktien_im_Umlauf_splitbereinigt!A$3:AM$103,11,FALSE)&lt;&gt;"",IF(VLOOKUP(A23,Aktien_im_Umlauf_splitbereinigt!A$3:AM$103,10,FALSE)&lt;&gt;"",IF(VLOOKUP(A23,Schlußkurse!A$5:AU$105,43,FALSE)&gt;0,((VLOOKUP(A23,Aktien_im_Umlauf_splitbereinigt!A$3:AM$103,11,FALSE)-VLOOKUP(A23,Aktien_im_Umlauf_splitbereinigt!A$3:AM$103,10,FALSE))*VLOOKUP(A23,Schlußkurse!A$5:AU$105,43,FALSE))/VLOOKUP(A23,Aktien_im_Umlauf_splitbereinigt!A$3:AM$103,10,FALSE),0),0),0)</f>
        <v>0</v>
      </c>
      <c r="K23" s="97">
        <f>IF(VLOOKUP(A23,Aktien_im_Umlauf_splitbereinigt!A$3:AM$103,12,FALSE)&lt;&gt;"",IF(VLOOKUP(A23,Aktien_im_Umlauf_splitbereinigt!A$3:AM$103,11,FALSE)&lt;&gt;"",IF(VLOOKUP(A23,Schlußkurse!A$5:AU$105,44,FALSE)&gt;0,((VLOOKUP(A23,Aktien_im_Umlauf_splitbereinigt!A$3:AM$103,12,FALSE)-VLOOKUP(A23,Aktien_im_Umlauf_splitbereinigt!A$3:AM$103,11,FALSE))*VLOOKUP(A23,Schlußkurse!A$5:AU$105,44,FALSE))/VLOOKUP(A23,Aktien_im_Umlauf_splitbereinigt!A$3:AM$103,11,FALSE),0),0),0)</f>
        <v>0</v>
      </c>
      <c r="L23" s="97">
        <f>IF(VLOOKUP(A23,Aktien_im_Umlauf_splitbereinigt!A$3:AM$103,13,FALSE)&lt;&gt;"",IF(VLOOKUP(A23,Aktien_im_Umlauf_splitbereinigt!A$3:AM$103,12,FALSE)&lt;&gt;"",IF(VLOOKUP(A23,Schlußkurse!A$5:AU$105,45,FALSE)&gt;0,((VLOOKUP(A23,Aktien_im_Umlauf_splitbereinigt!A$3:AM$103,13,FALSE)-VLOOKUP(A23,Aktien_im_Umlauf_splitbereinigt!A$3:AM$103,12,FALSE))*VLOOKUP(A23,Schlußkurse!A$5:AU$105,45,FALSE))/VLOOKUP(A23,Aktien_im_Umlauf_splitbereinigt!A$3:AM$103,12,FALSE),0),0),0)</f>
        <v>0</v>
      </c>
      <c r="M23" s="97">
        <f>IF(VLOOKUP(A23,Aktien_im_Umlauf_splitbereinigt!A$3:AM$103,14,FALSE)&lt;&gt;"",IF(VLOOKUP(A23,Aktien_im_Umlauf_splitbereinigt!A$3:AM$103,13,FALSE)&lt;&gt;"",IF(VLOOKUP(A23,Schlußkurse!A$5:AU$105,46,FALSE)&gt;0,((VLOOKUP(A23,Aktien_im_Umlauf_splitbereinigt!A$3:AM$103,14,FALSE)-VLOOKUP(A23,Aktien_im_Umlauf_splitbereinigt!A$3:AM$103,13,FALSE))*VLOOKUP(A23,Schlußkurse!A$5:AU$105,46,FALSE))/VLOOKUP(A23,Aktien_im_Umlauf_splitbereinigt!A$3:AM$103,13,FALSE),0),0),0)</f>
        <v>0</v>
      </c>
      <c r="N23" s="13">
        <f>IF(C23&gt;0,IF(VLOOKUP(A23,Dividende_je_Aktie!A$3:AM$103,8,FALSE)&lt;&gt;"",C23+VLOOKUP(A23,Dividende_je_Aktie!A$3:AM$103,8,FALSE),C23),IF(VLOOKUP(A23,Dividende_je_Aktie!A$3:AM$103,8,FALSE)&lt;&gt;"",VLOOKUP(A23,Dividende_je_Aktie!A$3:AM$103,8,FALSE),""))</f>
        <v>1.6400000000000001</v>
      </c>
      <c r="O23" s="13">
        <f>IF(D23&gt;0,IF(VLOOKUP(A23,Dividende_je_Aktie!A$3:AM$103,9,FALSE)&lt;&gt;"",D23+VLOOKUP(A23,Dividende_je_Aktie!A$3:AM$103,9,FALSE),D23),IF(VLOOKUP(A23,Dividende_je_Aktie!A$3:AM$103,9,FALSE)&lt;&gt;"",VLOOKUP(A23,Dividende_je_Aktie!A$3:AM$103,9,FALSE),""))</f>
        <v>1.54</v>
      </c>
      <c r="P23" s="13">
        <f>IF(E23&gt;0,IF(VLOOKUP(A23,Dividende_je_Aktie!A$3:AM$103,10,FALSE)&lt;&gt;"",E23+VLOOKUP(A23,Dividende_je_Aktie!A$3:AM$103,10,FALSE),E23),IF(VLOOKUP(A23,Dividende_je_Aktie!A$3:AM$103,10,FALSE)&lt;&gt;"",VLOOKUP(A23,Dividende_je_Aktie!A$3:AM$103,10,FALSE),""))</f>
        <v>1.48</v>
      </c>
      <c r="Q23" s="13">
        <f>IF(F23&gt;0,IF(VLOOKUP(A23,Dividende_je_Aktie!A$3:AM$103,11,FALSE)&lt;&gt;"",F23+VLOOKUP(A23,Dividende_je_Aktie!A$3:AM$103,11,FALSE),F23),IF(VLOOKUP(A23,Dividende_je_Aktie!A$3:AM$103,11,FALSE)&lt;&gt;"",VLOOKUP(A23,Dividende_je_Aktie!A$3:AM$103,11,FALSE),""))</f>
        <v>1.42</v>
      </c>
      <c r="R23" s="13">
        <f>IF(G23&gt;0,IF(VLOOKUP(A23,Dividende_je_Aktie!A$3:AM$103,12,FALSE)&lt;&gt;"",G23+VLOOKUP(A23,Dividende_je_Aktie!A$3:AM$103,12,FALSE),G23),IF(VLOOKUP(A23,Dividende_je_Aktie!A$3:AM$103,12,FALSE)&lt;&gt;"",VLOOKUP(A23,Dividende_je_Aktie!A$3:AM$103,12,FALSE),""))</f>
        <v>1.35</v>
      </c>
      <c r="S23" s="13">
        <f>IF(H23&gt;0,IF(VLOOKUP(A23,Dividende_je_Aktie!A$3:AM$103,13,FALSE)&lt;&gt;"",H23+VLOOKUP(A23,Dividende_je_Aktie!A$3:AM$103,13,FALSE),H23),IF(VLOOKUP(A23,Dividende_je_Aktie!A$3:AM$103,13,FALSE)&lt;&gt;"",VLOOKUP(A23,Dividende_je_Aktie!A$3:AM$103,13,FALSE),""))</f>
        <v>1.27</v>
      </c>
      <c r="T23" s="13">
        <f>IF(I23&gt;0,IF(VLOOKUP(A23,Dividende_je_Aktie!A$3:AM$103,14,FALSE)&lt;&gt;"",I23+VLOOKUP(A23,Dividende_je_Aktie!A$3:AM$103,14,FALSE),I23),IF(VLOOKUP(A23,Dividende_je_Aktie!A$3:AM$103,14,FALSE)&lt;&gt;"",VLOOKUP(A23,Dividende_je_Aktie!A$3:AM$103,14,FALSE),""))</f>
        <v>1.1399999999999999</v>
      </c>
      <c r="U23" s="13">
        <f>IF(J23&gt;0,IF(VLOOKUP(A23,Dividende_je_Aktie!A$3:AM$103,15,FALSE)&lt;&gt;"",J23+VLOOKUP(A23,Dividende_je_Aktie!A$3:AM$103,15,FALSE),J23),IF(VLOOKUP(A23,Dividende_je_Aktie!A$3:AM$103,15,FALSE)&lt;&gt;"",VLOOKUP(A23,Dividende_je_Aktie!A$3:AM$103,15,FALSE),""))</f>
        <v>1</v>
      </c>
      <c r="V23" s="13">
        <f>IF(K23&gt;0,IF(VLOOKUP(A23,Dividende_je_Aktie!A$3:AM$103,16,FALSE)&lt;&gt;"",K23+VLOOKUP(A23,Dividende_je_Aktie!A$3:AM$103,16,FALSE),K23),IF(VLOOKUP(A23,Dividende_je_Aktie!A$3:AM$103,16,FALSE)&lt;&gt;"",VLOOKUP(A23,Dividende_je_Aktie!A$3:AM$103,16,FALSE),""))</f>
        <v>0.84</v>
      </c>
      <c r="W23" s="13">
        <f>IF(L23&gt;0,IF(VLOOKUP(A23,Dividende_je_Aktie!A$3:AM$103,17,FALSE)&lt;&gt;"",L23+VLOOKUP(A23,Dividende_je_Aktie!A$3:AM$103,17,FALSE),L23),IF(VLOOKUP(A23,Dividende_je_Aktie!A$3:AM$103,17,FALSE)&lt;&gt;"",VLOOKUP(A23,Dividende_je_Aktie!A$3:AM$103,17,FALSE),""))</f>
        <v>0.66</v>
      </c>
      <c r="X23" s="13">
        <f>IF(M23&gt;0,IF(VLOOKUP(A23,Dividende_je_Aktie!A$3:AM$103,18,FALSE)&lt;&gt;"",M23+VLOOKUP(A23,Dividende_je_Aktie!A$3:AM$103,18,FALSE),M23),IF(VLOOKUP(A23,Dividende_je_Aktie!A$3:AM$103,18,FALSE)&lt;&gt;"",VLOOKUP(A23,Dividende_je_Aktie!A$3:AM$103,18,FALSE),""))</f>
        <v>0.56000000000000005</v>
      </c>
    </row>
    <row r="24" spans="1:24">
      <c r="A24" t="s">
        <v>32</v>
      </c>
      <c r="B24" t="s">
        <v>33</v>
      </c>
      <c r="C24" s="13">
        <f>IF(VLOOKUP(A24,Aktien_im_Umlauf_splitbereinigt!A$3:AM$103,4,FALSE)&lt;&gt;"",IF(VLOOKUP(A24,Aktien_im_Umlauf_splitbereinigt!A$3:AM$103,3,FALSE)&lt;&gt;"",IF(VLOOKUP(A24,Schlußkurse!A$5:AU$105,36,FALSE)&gt;0,((VLOOKUP(A24,Aktien_im_Umlauf_splitbereinigt!A$3:AM$103,4,FALSE)-VLOOKUP(A24,Aktien_im_Umlauf_splitbereinigt!A$3:AM$103,3,FALSE))*VLOOKUP(A24,Schlußkurse!A$5:AU$105,36,FALSE))/VLOOKUP(A24,Aktien_im_Umlauf_splitbereinigt!A$3:AM$103,3,FALSE),0),0),0)</f>
        <v>0</v>
      </c>
      <c r="D24" s="97">
        <f>IF(VLOOKUP(A24,Aktien_im_Umlauf_splitbereinigt!A$3:AM$103,5,FALSE)&lt;&gt;"",IF(VLOOKUP(A24,Aktien_im_Umlauf_splitbereinigt!A$3:AM$103,4,FALSE)&lt;&gt;"",IF(VLOOKUP(A24,Schlußkurse!A$5:AU$105,37,FALSE)&gt;0,((VLOOKUP(A24,Aktien_im_Umlauf_splitbereinigt!A$3:AM$103,5,FALSE)-VLOOKUP(A24,Aktien_im_Umlauf_splitbereinigt!A$3:AM$103,4,FALSE))*VLOOKUP(A24,Schlußkurse!A$5:AU$105,37,FALSE))/VLOOKUP(A24,Aktien_im_Umlauf_splitbereinigt!A$3:AM$103,4,FALSE),0),0),0)</f>
        <v>0</v>
      </c>
      <c r="E24" s="97">
        <f>IF(VLOOKUP(A24,Aktien_im_Umlauf_splitbereinigt!A$3:AM$103,6,FALSE)&lt;&gt;"",IF(VLOOKUP(A24,Aktien_im_Umlauf_splitbereinigt!A$3:AM$103,5,FALSE)&lt;&gt;"",IF(VLOOKUP(A24,Schlußkurse!A$5:AU$105,38,FALSE)&gt;0,((VLOOKUP(A24,Aktien_im_Umlauf_splitbereinigt!A$3:AM$103,6,FALSE)-VLOOKUP(A24,Aktien_im_Umlauf_splitbereinigt!A$3:AM$103,5,FALSE))*VLOOKUP(A24,Schlußkurse!A$5:AU$105,38,FALSE))/VLOOKUP(A24,Aktien_im_Umlauf_splitbereinigt!A$3:AM$103,5,FALSE),0),0),0)</f>
        <v>0.82285714285714284</v>
      </c>
      <c r="F24" s="97">
        <f>IF(VLOOKUP(A24,Aktien_im_Umlauf_splitbereinigt!A$3:AM$103,7,FALSE)&lt;&gt;"",IF(VLOOKUP(A24,Aktien_im_Umlauf_splitbereinigt!A$3:AM$103,6,FALSE)&lt;&gt;"",IF(VLOOKUP(A24,Schlußkurse!A$5:AU$105,39,FALSE)&gt;0,((VLOOKUP(A24,Aktien_im_Umlauf_splitbereinigt!A$3:AM$103,7,FALSE)-VLOOKUP(A24,Aktien_im_Umlauf_splitbereinigt!A$3:AM$103,6,FALSE))*VLOOKUP(A24,Schlußkurse!A$5:AU$105,39,FALSE))/VLOOKUP(A24,Aktien_im_Umlauf_splitbereinigt!A$3:AM$103,6,FALSE),0),0),0)</f>
        <v>0</v>
      </c>
      <c r="G24" s="97">
        <f>IF(VLOOKUP(A24,Aktien_im_Umlauf_splitbereinigt!A$3:AM$103,8,FALSE)&lt;&gt;"",IF(VLOOKUP(A24,Aktien_im_Umlauf_splitbereinigt!A$3:AM$103,7,FALSE)&lt;&gt;"",IF(VLOOKUP(A24,Schlußkurse!A$5:AU$105,40,FALSE)&gt;0,((VLOOKUP(A24,Aktien_im_Umlauf_splitbereinigt!A$3:AM$103,8,FALSE)-VLOOKUP(A24,Aktien_im_Umlauf_splitbereinigt!A$3:AM$103,7,FALSE))*VLOOKUP(A24,Schlußkurse!A$5:AU$105,40,FALSE))/VLOOKUP(A24,Aktien_im_Umlauf_splitbereinigt!A$3:AM$103,7,FALSE),0),0),0)</f>
        <v>0</v>
      </c>
      <c r="H24" s="97">
        <f>IF(VLOOKUP(A24,Aktien_im_Umlauf_splitbereinigt!A$3:AM$103,9,FALSE)&lt;&gt;"",IF(VLOOKUP(A24,Aktien_im_Umlauf_splitbereinigt!A$3:AM$103,8,FALSE)&lt;&gt;"",IF(VLOOKUP(A24,Schlußkurse!A$5:AU$105,41,FALSE)&gt;0,((VLOOKUP(A24,Aktien_im_Umlauf_splitbereinigt!A$3:AM$103,9,FALSE)-VLOOKUP(A24,Aktien_im_Umlauf_splitbereinigt!A$3:AM$103,8,FALSE))*VLOOKUP(A24,Schlußkurse!A$5:AU$105,41,FALSE))/VLOOKUP(A24,Aktien_im_Umlauf_splitbereinigt!A$3:AM$103,8,FALSE),0),0),0)</f>
        <v>0</v>
      </c>
      <c r="I24" s="97">
        <f>IF(VLOOKUP(A24,Aktien_im_Umlauf_splitbereinigt!A$3:AM$103,10,FALSE)&lt;&gt;"",IF(VLOOKUP(A24,Aktien_im_Umlauf_splitbereinigt!A$3:AM$103,9,FALSE)&lt;&gt;"",IF(VLOOKUP(A24,Schlußkurse!A$5:AU$105,42,FALSE)&gt;0,((VLOOKUP(A24,Aktien_im_Umlauf_splitbereinigt!A$3:AM$103,10,FALSE)-VLOOKUP(A24,Aktien_im_Umlauf_splitbereinigt!A$3:AM$103,9,FALSE))*VLOOKUP(A24,Schlußkurse!A$5:AU$105,42,FALSE))/VLOOKUP(A24,Aktien_im_Umlauf_splitbereinigt!A$3:AM$103,9,FALSE),0),0),0)</f>
        <v>0</v>
      </c>
      <c r="J24" s="97">
        <f>IF(VLOOKUP(A24,Aktien_im_Umlauf_splitbereinigt!A$3:AM$103,11,FALSE)&lt;&gt;"",IF(VLOOKUP(A24,Aktien_im_Umlauf_splitbereinigt!A$3:AM$103,10,FALSE)&lt;&gt;"",IF(VLOOKUP(A24,Schlußkurse!A$5:AU$105,43,FALSE)&gt;0,((VLOOKUP(A24,Aktien_im_Umlauf_splitbereinigt!A$3:AM$103,11,FALSE)-VLOOKUP(A24,Aktien_im_Umlauf_splitbereinigt!A$3:AM$103,10,FALSE))*VLOOKUP(A24,Schlußkurse!A$5:AU$105,43,FALSE))/VLOOKUP(A24,Aktien_im_Umlauf_splitbereinigt!A$3:AM$103,10,FALSE),0),0),0)</f>
        <v>0</v>
      </c>
      <c r="K24" s="97">
        <f>IF(VLOOKUP(A24,Aktien_im_Umlauf_splitbereinigt!A$3:AM$103,12,FALSE)&lt;&gt;"",IF(VLOOKUP(A24,Aktien_im_Umlauf_splitbereinigt!A$3:AM$103,11,FALSE)&lt;&gt;"",IF(VLOOKUP(A24,Schlußkurse!A$5:AU$105,44,FALSE)&gt;0,((VLOOKUP(A24,Aktien_im_Umlauf_splitbereinigt!A$3:AM$103,12,FALSE)-VLOOKUP(A24,Aktien_im_Umlauf_splitbereinigt!A$3:AM$103,11,FALSE))*VLOOKUP(A24,Schlußkurse!A$5:AU$105,44,FALSE))/VLOOKUP(A24,Aktien_im_Umlauf_splitbereinigt!A$3:AM$103,11,FALSE),0),0),0)</f>
        <v>0</v>
      </c>
      <c r="L24" s="97">
        <f>IF(VLOOKUP(A24,Aktien_im_Umlauf_splitbereinigt!A$3:AM$103,13,FALSE)&lt;&gt;"",IF(VLOOKUP(A24,Aktien_im_Umlauf_splitbereinigt!A$3:AM$103,12,FALSE)&lt;&gt;"",IF(VLOOKUP(A24,Schlußkurse!A$5:AU$105,45,FALSE)&gt;0,((VLOOKUP(A24,Aktien_im_Umlauf_splitbereinigt!A$3:AM$103,13,FALSE)-VLOOKUP(A24,Aktien_im_Umlauf_splitbereinigt!A$3:AM$103,12,FALSE))*VLOOKUP(A24,Schlußkurse!A$5:AU$105,45,FALSE))/VLOOKUP(A24,Aktien_im_Umlauf_splitbereinigt!A$3:AM$103,12,FALSE),0),0),0)</f>
        <v>0</v>
      </c>
      <c r="M24" s="97">
        <f>IF(VLOOKUP(A24,Aktien_im_Umlauf_splitbereinigt!A$3:AM$103,14,FALSE)&lt;&gt;"",IF(VLOOKUP(A24,Aktien_im_Umlauf_splitbereinigt!A$3:AM$103,13,FALSE)&lt;&gt;"",IF(VLOOKUP(A24,Schlußkurse!A$5:AU$105,46,FALSE)&gt;0,((VLOOKUP(A24,Aktien_im_Umlauf_splitbereinigt!A$3:AM$103,14,FALSE)-VLOOKUP(A24,Aktien_im_Umlauf_splitbereinigt!A$3:AM$103,13,FALSE))*VLOOKUP(A24,Schlußkurse!A$5:AU$105,46,FALSE))/VLOOKUP(A24,Aktien_im_Umlauf_splitbereinigt!A$3:AM$103,13,FALSE),0),0),0)</f>
        <v>0</v>
      </c>
      <c r="N24" s="13">
        <f>IF(C24&gt;0,IF(VLOOKUP(A24,Dividende_je_Aktie!A$3:AM$103,8,FALSE)&lt;&gt;"",C24+VLOOKUP(A24,Dividende_je_Aktie!A$3:AM$103,8,FALSE),C24),IF(VLOOKUP(A24,Dividende_je_Aktie!A$3:AM$103,8,FALSE)&lt;&gt;"",VLOOKUP(A24,Dividende_je_Aktie!A$3:AM$103,8,FALSE),""))</f>
        <v>1.55</v>
      </c>
      <c r="O24" s="13">
        <f>IF(D24&gt;0,IF(VLOOKUP(A24,Dividende_je_Aktie!A$3:AM$103,9,FALSE)&lt;&gt;"",D24+VLOOKUP(A24,Dividende_je_Aktie!A$3:AM$103,9,FALSE),D24),IF(VLOOKUP(A24,Dividende_je_Aktie!A$3:AM$103,9,FALSE)&lt;&gt;"",VLOOKUP(A24,Dividende_je_Aktie!A$3:AM$103,9,FALSE),""))</f>
        <v>1.41</v>
      </c>
      <c r="P24" s="13">
        <f>IF(E24&gt;0,IF(VLOOKUP(A24,Dividende_je_Aktie!A$3:AM$103,10,FALSE)&lt;&gt;"",E24+VLOOKUP(A24,Dividende_je_Aktie!A$3:AM$103,10,FALSE),E24),IF(VLOOKUP(A24,Dividende_je_Aktie!A$3:AM$103,10,FALSE)&lt;&gt;"",VLOOKUP(A24,Dividende_je_Aktie!A$3:AM$103,10,FALSE),""))</f>
        <v>2.1028571428571428</v>
      </c>
      <c r="Q24" s="13">
        <f>IF(F24&gt;0,IF(VLOOKUP(A24,Dividende_je_Aktie!A$3:AM$103,11,FALSE)&lt;&gt;"",F24+VLOOKUP(A24,Dividende_je_Aktie!A$3:AM$103,11,FALSE),F24),IF(VLOOKUP(A24,Dividende_je_Aktie!A$3:AM$103,11,FALSE)&lt;&gt;"",VLOOKUP(A24,Dividende_je_Aktie!A$3:AM$103,11,FALSE),""))</f>
        <v>1.1599999999999999</v>
      </c>
      <c r="R24" s="13">
        <f>IF(G24&gt;0,IF(VLOOKUP(A24,Dividende_je_Aktie!A$3:AM$103,12,FALSE)&lt;&gt;"",G24+VLOOKUP(A24,Dividende_je_Aktie!A$3:AM$103,12,FALSE),G24),IF(VLOOKUP(A24,Dividende_je_Aktie!A$3:AM$103,12,FALSE)&lt;&gt;"",VLOOKUP(A24,Dividende_je_Aktie!A$3:AM$103,12,FALSE),""))</f>
        <v>1.06</v>
      </c>
      <c r="S24" s="13">
        <f>IF(H24&gt;0,IF(VLOOKUP(A24,Dividende_je_Aktie!A$3:AM$103,13,FALSE)&lt;&gt;"",H24+VLOOKUP(A24,Dividende_je_Aktie!A$3:AM$103,13,FALSE),H24),IF(VLOOKUP(A24,Dividende_je_Aktie!A$3:AM$103,13,FALSE)&lt;&gt;"",VLOOKUP(A24,Dividende_je_Aktie!A$3:AM$103,13,FALSE),""))</f>
        <v>0.95</v>
      </c>
      <c r="T24" s="13">
        <f>IF(I24&gt;0,IF(VLOOKUP(A24,Dividende_je_Aktie!A$3:AM$103,14,FALSE)&lt;&gt;"",I24+VLOOKUP(A24,Dividende_je_Aktie!A$3:AM$103,14,FALSE),I24),IF(VLOOKUP(A24,Dividende_je_Aktie!A$3:AM$103,14,FALSE)&lt;&gt;"",VLOOKUP(A24,Dividende_je_Aktie!A$3:AM$103,14,FALSE),""))</f>
        <v>0.84</v>
      </c>
      <c r="U24" s="13">
        <f>IF(J24&gt;0,IF(VLOOKUP(A24,Dividende_je_Aktie!A$3:AM$103,15,FALSE)&lt;&gt;"",J24+VLOOKUP(A24,Dividende_je_Aktie!A$3:AM$103,15,FALSE),J24),IF(VLOOKUP(A24,Dividende_je_Aktie!A$3:AM$103,15,FALSE)&lt;&gt;"",VLOOKUP(A24,Dividende_je_Aktie!A$3:AM$103,15,FALSE),""))</f>
        <v>0.73</v>
      </c>
      <c r="V24" s="13">
        <f>IF(K24&gt;0,IF(VLOOKUP(A24,Dividende_je_Aktie!A$3:AM$103,16,FALSE)&lt;&gt;"",K24+VLOOKUP(A24,Dividende_je_Aktie!A$3:AM$103,16,FALSE),K24),IF(VLOOKUP(A24,Dividende_je_Aktie!A$3:AM$103,16,FALSE)&lt;&gt;"",VLOOKUP(A24,Dividende_je_Aktie!A$3:AM$103,16,FALSE),""))</f>
        <v>0.63</v>
      </c>
      <c r="W24" s="13">
        <f>IF(L24&gt;0,IF(VLOOKUP(A24,Dividende_je_Aktie!A$3:AM$103,17,FALSE)&lt;&gt;"",L24+VLOOKUP(A24,Dividende_je_Aktie!A$3:AM$103,17,FALSE),L24),IF(VLOOKUP(A24,Dividende_je_Aktie!A$3:AM$103,17,FALSE)&lt;&gt;"",VLOOKUP(A24,Dividende_je_Aktie!A$3:AM$103,17,FALSE),""))</f>
        <v>0.6</v>
      </c>
      <c r="X24" s="13" t="str">
        <f>IF(M24&gt;0,IF(VLOOKUP(A24,Dividende_je_Aktie!A$3:AM$103,18,FALSE)&lt;&gt;"",M24+VLOOKUP(A24,Dividende_je_Aktie!A$3:AM$103,18,FALSE),M24),IF(VLOOKUP(A24,Dividende_je_Aktie!A$3:AM$103,18,FALSE)&lt;&gt;"",VLOOKUP(A24,Dividende_je_Aktie!A$3:AM$103,18,FALSE),""))</f>
        <v/>
      </c>
    </row>
    <row r="25" spans="1:24">
      <c r="A25" t="s">
        <v>34</v>
      </c>
      <c r="B25" t="s">
        <v>35</v>
      </c>
      <c r="C25" s="13">
        <f>IF(VLOOKUP(A25,Aktien_im_Umlauf_splitbereinigt!A$3:AM$103,4,FALSE)&lt;&gt;"",IF(VLOOKUP(A25,Aktien_im_Umlauf_splitbereinigt!A$3:AM$103,3,FALSE)&lt;&gt;"",IF(VLOOKUP(A25,Schlußkurse!A$5:AU$105,36,FALSE)&gt;0,((VLOOKUP(A25,Aktien_im_Umlauf_splitbereinigt!A$3:AM$103,4,FALSE)-VLOOKUP(A25,Aktien_im_Umlauf_splitbereinigt!A$3:AM$103,3,FALSE))*VLOOKUP(A25,Schlußkurse!A$5:AU$105,36,FALSE))/VLOOKUP(A25,Aktien_im_Umlauf_splitbereinigt!A$3:AM$103,3,FALSE),0),0),0)</f>
        <v>0</v>
      </c>
      <c r="D25" s="97">
        <f>IF(VLOOKUP(A25,Aktien_im_Umlauf_splitbereinigt!A$3:AM$103,5,FALSE)&lt;&gt;"",IF(VLOOKUP(A25,Aktien_im_Umlauf_splitbereinigt!A$3:AM$103,4,FALSE)&lt;&gt;"",IF(VLOOKUP(A25,Schlußkurse!A$5:AU$105,37,FALSE)&gt;0,((VLOOKUP(A25,Aktien_im_Umlauf_splitbereinigt!A$3:AM$103,5,FALSE)-VLOOKUP(A25,Aktien_im_Umlauf_splitbereinigt!A$3:AM$103,4,FALSE))*VLOOKUP(A25,Schlußkurse!A$5:AU$105,37,FALSE))/VLOOKUP(A25,Aktien_im_Umlauf_splitbereinigt!A$3:AM$103,4,FALSE),0),0),0)</f>
        <v>-7.6510602852878902E-5</v>
      </c>
      <c r="E25" s="97">
        <f>IF(VLOOKUP(A25,Aktien_im_Umlauf_splitbereinigt!A$3:AM$103,6,FALSE)&lt;&gt;"",IF(VLOOKUP(A25,Aktien_im_Umlauf_splitbereinigt!A$3:AM$103,5,FALSE)&lt;&gt;"",IF(VLOOKUP(A25,Schlußkurse!A$5:AU$105,38,FALSE)&gt;0,((VLOOKUP(A25,Aktien_im_Umlauf_splitbereinigt!A$3:AM$103,6,FALSE)-VLOOKUP(A25,Aktien_im_Umlauf_splitbereinigt!A$3:AM$103,5,FALSE))*VLOOKUP(A25,Schlußkurse!A$5:AU$105,38,FALSE))/VLOOKUP(A25,Aktien_im_Umlauf_splitbereinigt!A$3:AM$103,5,FALSE),0),0),0)</f>
        <v>0</v>
      </c>
      <c r="F25" s="97">
        <f>IF(VLOOKUP(A25,Aktien_im_Umlauf_splitbereinigt!A$3:AM$103,7,FALSE)&lt;&gt;"",IF(VLOOKUP(A25,Aktien_im_Umlauf_splitbereinigt!A$3:AM$103,6,FALSE)&lt;&gt;"",IF(VLOOKUP(A25,Schlußkurse!A$5:AU$105,39,FALSE)&gt;0,((VLOOKUP(A25,Aktien_im_Umlauf_splitbereinigt!A$3:AM$103,7,FALSE)-VLOOKUP(A25,Aktien_im_Umlauf_splitbereinigt!A$3:AM$103,6,FALSE))*VLOOKUP(A25,Schlußkurse!A$5:AU$105,39,FALSE))/VLOOKUP(A25,Aktien_im_Umlauf_splitbereinigt!A$3:AM$103,6,FALSE),0),0),0)</f>
        <v>0</v>
      </c>
      <c r="G25" s="97">
        <f>IF(VLOOKUP(A25,Aktien_im_Umlauf_splitbereinigt!A$3:AM$103,8,FALSE)&lt;&gt;"",IF(VLOOKUP(A25,Aktien_im_Umlauf_splitbereinigt!A$3:AM$103,7,FALSE)&lt;&gt;"",IF(VLOOKUP(A25,Schlußkurse!A$5:AU$105,40,FALSE)&gt;0,((VLOOKUP(A25,Aktien_im_Umlauf_splitbereinigt!A$3:AM$103,8,FALSE)-VLOOKUP(A25,Aktien_im_Umlauf_splitbereinigt!A$3:AM$103,7,FALSE))*VLOOKUP(A25,Schlußkurse!A$5:AU$105,40,FALSE))/VLOOKUP(A25,Aktien_im_Umlauf_splitbereinigt!A$3:AM$103,7,FALSE),0),0),0)</f>
        <v>0</v>
      </c>
      <c r="H25" s="97">
        <f>IF(VLOOKUP(A25,Aktien_im_Umlauf_splitbereinigt!A$3:AM$103,9,FALSE)&lt;&gt;"",IF(VLOOKUP(A25,Aktien_im_Umlauf_splitbereinigt!A$3:AM$103,8,FALSE)&lt;&gt;"",IF(VLOOKUP(A25,Schlußkurse!A$5:AU$105,41,FALSE)&gt;0,((VLOOKUP(A25,Aktien_im_Umlauf_splitbereinigt!A$3:AM$103,9,FALSE)-VLOOKUP(A25,Aktien_im_Umlauf_splitbereinigt!A$3:AM$103,8,FALSE))*VLOOKUP(A25,Schlußkurse!A$5:AU$105,41,FALSE))/VLOOKUP(A25,Aktien_im_Umlauf_splitbereinigt!A$3:AM$103,8,FALSE),0),0),0)</f>
        <v>0</v>
      </c>
      <c r="I25" s="97">
        <f>IF(VLOOKUP(A25,Aktien_im_Umlauf_splitbereinigt!A$3:AM$103,10,FALSE)&lt;&gt;"",IF(VLOOKUP(A25,Aktien_im_Umlauf_splitbereinigt!A$3:AM$103,9,FALSE)&lt;&gt;"",IF(VLOOKUP(A25,Schlußkurse!A$5:AU$105,42,FALSE)&gt;0,((VLOOKUP(A25,Aktien_im_Umlauf_splitbereinigt!A$3:AM$103,10,FALSE)-VLOOKUP(A25,Aktien_im_Umlauf_splitbereinigt!A$3:AM$103,9,FALSE))*VLOOKUP(A25,Schlußkurse!A$5:AU$105,42,FALSE))/VLOOKUP(A25,Aktien_im_Umlauf_splitbereinigt!A$3:AM$103,9,FALSE),0),0),0)</f>
        <v>0</v>
      </c>
      <c r="J25" s="97">
        <f>IF(VLOOKUP(A25,Aktien_im_Umlauf_splitbereinigt!A$3:AM$103,11,FALSE)&lt;&gt;"",IF(VLOOKUP(A25,Aktien_im_Umlauf_splitbereinigt!A$3:AM$103,10,FALSE)&lt;&gt;"",IF(VLOOKUP(A25,Schlußkurse!A$5:AU$105,43,FALSE)&gt;0,((VLOOKUP(A25,Aktien_im_Umlauf_splitbereinigt!A$3:AM$103,11,FALSE)-VLOOKUP(A25,Aktien_im_Umlauf_splitbereinigt!A$3:AM$103,10,FALSE))*VLOOKUP(A25,Schlußkurse!A$5:AU$105,43,FALSE))/VLOOKUP(A25,Aktien_im_Umlauf_splitbereinigt!A$3:AM$103,10,FALSE),0),0),0)</f>
        <v>0</v>
      </c>
      <c r="K25" s="97">
        <f>IF(VLOOKUP(A25,Aktien_im_Umlauf_splitbereinigt!A$3:AM$103,12,FALSE)&lt;&gt;"",IF(VLOOKUP(A25,Aktien_im_Umlauf_splitbereinigt!A$3:AM$103,11,FALSE)&lt;&gt;"",IF(VLOOKUP(A25,Schlußkurse!A$5:AU$105,44,FALSE)&gt;0,((VLOOKUP(A25,Aktien_im_Umlauf_splitbereinigt!A$3:AM$103,12,FALSE)-VLOOKUP(A25,Aktien_im_Umlauf_splitbereinigt!A$3:AM$103,11,FALSE))*VLOOKUP(A25,Schlußkurse!A$5:AU$105,44,FALSE))/VLOOKUP(A25,Aktien_im_Umlauf_splitbereinigt!A$3:AM$103,11,FALSE),0),0),0)</f>
        <v>0</v>
      </c>
      <c r="L25" s="97">
        <f>IF(VLOOKUP(A25,Aktien_im_Umlauf_splitbereinigt!A$3:AM$103,13,FALSE)&lt;&gt;"",IF(VLOOKUP(A25,Aktien_im_Umlauf_splitbereinigt!A$3:AM$103,12,FALSE)&lt;&gt;"",IF(VLOOKUP(A25,Schlußkurse!A$5:AU$105,45,FALSE)&gt;0,((VLOOKUP(A25,Aktien_im_Umlauf_splitbereinigt!A$3:AM$103,13,FALSE)-VLOOKUP(A25,Aktien_im_Umlauf_splitbereinigt!A$3:AM$103,12,FALSE))*VLOOKUP(A25,Schlußkurse!A$5:AU$105,45,FALSE))/VLOOKUP(A25,Aktien_im_Umlauf_splitbereinigt!A$3:AM$103,12,FALSE),0),0),0)</f>
        <v>0</v>
      </c>
      <c r="M25" s="97">
        <f>IF(VLOOKUP(A25,Aktien_im_Umlauf_splitbereinigt!A$3:AM$103,14,FALSE)&lt;&gt;"",IF(VLOOKUP(A25,Aktien_im_Umlauf_splitbereinigt!A$3:AM$103,13,FALSE)&lt;&gt;"",IF(VLOOKUP(A25,Schlußkurse!A$5:AU$105,46,FALSE)&gt;0,((VLOOKUP(A25,Aktien_im_Umlauf_splitbereinigt!A$3:AM$103,14,FALSE)-VLOOKUP(A25,Aktien_im_Umlauf_splitbereinigt!A$3:AM$103,13,FALSE))*VLOOKUP(A25,Schlußkurse!A$5:AU$105,46,FALSE))/VLOOKUP(A25,Aktien_im_Umlauf_splitbereinigt!A$3:AM$103,13,FALSE),0),0),0)</f>
        <v>0</v>
      </c>
      <c r="N25" s="13">
        <f>IF(C25&gt;0,IF(VLOOKUP(A25,Dividende_je_Aktie!A$3:AM$103,8,FALSE)&lt;&gt;"",C25+VLOOKUP(A25,Dividende_je_Aktie!A$3:AM$103,8,FALSE),C25),IF(VLOOKUP(A25,Dividende_je_Aktie!A$3:AM$103,8,FALSE)&lt;&gt;"",VLOOKUP(A25,Dividende_je_Aktie!A$3:AM$103,8,FALSE),""))</f>
        <v>0.115</v>
      </c>
      <c r="O25" s="13">
        <f>IF(D25&gt;0,IF(VLOOKUP(A25,Dividende_je_Aktie!A$3:AM$103,9,FALSE)&lt;&gt;"",D25+VLOOKUP(A25,Dividende_je_Aktie!A$3:AM$103,9,FALSE),D25),IF(VLOOKUP(A25,Dividende_je_Aktie!A$3:AM$103,9,FALSE)&lt;&gt;"",VLOOKUP(A25,Dividende_je_Aktie!A$3:AM$103,9,FALSE),""))</f>
        <v>0.11</v>
      </c>
      <c r="P25" s="13">
        <f>IF(E25&gt;0,IF(VLOOKUP(A25,Dividende_je_Aktie!A$3:AM$103,10,FALSE)&lt;&gt;"",E25+VLOOKUP(A25,Dividende_je_Aktie!A$3:AM$103,10,FALSE),E25),IF(VLOOKUP(A25,Dividende_je_Aktie!A$3:AM$103,10,FALSE)&lt;&gt;"",VLOOKUP(A25,Dividende_je_Aktie!A$3:AM$103,10,FALSE),""))</f>
        <v>0.11</v>
      </c>
      <c r="Q25" s="13">
        <f>IF(F25&gt;0,IF(VLOOKUP(A25,Dividende_je_Aktie!A$3:AM$103,11,FALSE)&lt;&gt;"",F25+VLOOKUP(A25,Dividende_je_Aktie!A$3:AM$103,11,FALSE),F25),IF(VLOOKUP(A25,Dividende_je_Aktie!A$3:AM$103,11,FALSE)&lt;&gt;"",VLOOKUP(A25,Dividende_je_Aktie!A$3:AM$103,11,FALSE),""))</f>
        <v>0.1</v>
      </c>
      <c r="R25" s="13">
        <f>IF(G25&gt;0,IF(VLOOKUP(A25,Dividende_je_Aktie!A$3:AM$103,12,FALSE)&lt;&gt;"",G25+VLOOKUP(A25,Dividende_je_Aktie!A$3:AM$103,12,FALSE),G25),IF(VLOOKUP(A25,Dividende_je_Aktie!A$3:AM$103,12,FALSE)&lt;&gt;"",VLOOKUP(A25,Dividende_je_Aktie!A$3:AM$103,12,FALSE),""))</f>
        <v>9.5000000000000001E-2</v>
      </c>
      <c r="S25" s="13">
        <f>IF(H25&gt;0,IF(VLOOKUP(A25,Dividende_je_Aktie!A$3:AM$103,13,FALSE)&lt;&gt;"",H25+VLOOKUP(A25,Dividende_je_Aktie!A$3:AM$103,13,FALSE),H25),IF(VLOOKUP(A25,Dividende_je_Aktie!A$3:AM$103,13,FALSE)&lt;&gt;"",VLOOKUP(A25,Dividende_je_Aktie!A$3:AM$103,13,FALSE),""))</f>
        <v>8.8999999999999996E-2</v>
      </c>
      <c r="T25" s="13">
        <f>IF(I25&gt;0,IF(VLOOKUP(A25,Dividende_je_Aktie!A$3:AM$103,14,FALSE)&lt;&gt;"",I25+VLOOKUP(A25,Dividende_je_Aktie!A$3:AM$103,14,FALSE),I25),IF(VLOOKUP(A25,Dividende_je_Aktie!A$3:AM$103,14,FALSE)&lt;&gt;"",VLOOKUP(A25,Dividende_je_Aktie!A$3:AM$103,14,FALSE),""))</f>
        <v>8.3000000000000004E-2</v>
      </c>
      <c r="U25" s="13">
        <f>IF(J25&gt;0,IF(VLOOKUP(A25,Dividende_je_Aktie!A$3:AM$103,15,FALSE)&lt;&gt;"",J25+VLOOKUP(A25,Dividende_je_Aktie!A$3:AM$103,15,FALSE),J25),IF(VLOOKUP(A25,Dividende_je_Aktie!A$3:AM$103,15,FALSE)&lt;&gt;"",VLOOKUP(A25,Dividende_je_Aktie!A$3:AM$103,15,FALSE),""))</f>
        <v>5.6000000000000001E-2</v>
      </c>
      <c r="V25" s="13">
        <f>IF(K25&gt;0,IF(VLOOKUP(A25,Dividende_je_Aktie!A$3:AM$103,16,FALSE)&lt;&gt;"",K25+VLOOKUP(A25,Dividende_je_Aktie!A$3:AM$103,16,FALSE),K25),IF(VLOOKUP(A25,Dividende_je_Aktie!A$3:AM$103,16,FALSE)&lt;&gt;"",VLOOKUP(A25,Dividende_je_Aktie!A$3:AM$103,16,FALSE),""))</f>
        <v>7.4999999999999997E-2</v>
      </c>
      <c r="W25" s="13">
        <f>IF(L25&gt;0,IF(VLOOKUP(A25,Dividende_je_Aktie!A$3:AM$103,17,FALSE)&lt;&gt;"",L25+VLOOKUP(A25,Dividende_je_Aktie!A$3:AM$103,17,FALSE),L25),IF(VLOOKUP(A25,Dividende_je_Aktie!A$3:AM$103,17,FALSE)&lt;&gt;"",VLOOKUP(A25,Dividende_je_Aktie!A$3:AM$103,17,FALSE),""))</f>
        <v>6.8000000000000005E-2</v>
      </c>
      <c r="X25" s="13">
        <f>IF(M25&gt;0,IF(VLOOKUP(A25,Dividende_je_Aktie!A$3:AM$103,18,FALSE)&lt;&gt;"",M25+VLOOKUP(A25,Dividende_je_Aktie!A$3:AM$103,18,FALSE),M25),IF(VLOOKUP(A25,Dividende_je_Aktie!A$3:AM$103,18,FALSE)&lt;&gt;"",VLOOKUP(A25,Dividende_je_Aktie!A$3:AM$103,18,FALSE),""))</f>
        <v>6.0999999999999999E-2</v>
      </c>
    </row>
    <row r="26" spans="1:24">
      <c r="A26" s="52" t="s">
        <v>277</v>
      </c>
      <c r="B26" s="52" t="s">
        <v>278</v>
      </c>
      <c r="C26" s="13">
        <f>IF(VLOOKUP(A26,Aktien_im_Umlauf_splitbereinigt!A$3:AM$103,4,FALSE)&lt;&gt;"",IF(VLOOKUP(A26,Aktien_im_Umlauf_splitbereinigt!A$3:AM$103,3,FALSE)&lt;&gt;"",IF(VLOOKUP(A26,Schlußkurse!A$5:AU$105,36,FALSE)&gt;0,((VLOOKUP(A26,Aktien_im_Umlauf_splitbereinigt!A$3:AM$103,4,FALSE)-VLOOKUP(A26,Aktien_im_Umlauf_splitbereinigt!A$3:AM$103,3,FALSE))*VLOOKUP(A26,Schlußkurse!A$5:AU$105,36,FALSE))/VLOOKUP(A26,Aktien_im_Umlauf_splitbereinigt!A$3:AM$103,3,FALSE),0),0),0)</f>
        <v>0</v>
      </c>
      <c r="D26" s="97">
        <f>IF(VLOOKUP(A26,Aktien_im_Umlauf_splitbereinigt!A$3:AM$103,5,FALSE)&lt;&gt;"",IF(VLOOKUP(A26,Aktien_im_Umlauf_splitbereinigt!A$3:AM$103,4,FALSE)&lt;&gt;"",IF(VLOOKUP(A26,Schlußkurse!A$5:AU$105,37,FALSE)&gt;0,((VLOOKUP(A26,Aktien_im_Umlauf_splitbereinigt!A$3:AM$103,5,FALSE)-VLOOKUP(A26,Aktien_im_Umlauf_splitbereinigt!A$3:AM$103,4,FALSE))*VLOOKUP(A26,Schlußkurse!A$5:AU$105,37,FALSE))/VLOOKUP(A26,Aktien_im_Umlauf_splitbereinigt!A$3:AM$103,4,FALSE),0),0),0)</f>
        <v>0.94554242815826461</v>
      </c>
      <c r="E26" s="97">
        <f>IF(VLOOKUP(A26,Aktien_im_Umlauf_splitbereinigt!A$3:AM$103,6,FALSE)&lt;&gt;"",IF(VLOOKUP(A26,Aktien_im_Umlauf_splitbereinigt!A$3:AM$103,5,FALSE)&lt;&gt;"",IF(VLOOKUP(A26,Schlußkurse!A$5:AU$105,38,FALSE)&gt;0,((VLOOKUP(A26,Aktien_im_Umlauf_splitbereinigt!A$3:AM$103,6,FALSE)-VLOOKUP(A26,Aktien_im_Umlauf_splitbereinigt!A$3:AM$103,5,FALSE))*VLOOKUP(A26,Schlußkurse!A$5:AU$105,38,FALSE))/VLOOKUP(A26,Aktien_im_Umlauf_splitbereinigt!A$3:AM$103,5,FALSE),0),0),0)</f>
        <v>1.2099244547337724</v>
      </c>
      <c r="F26" s="97">
        <f>IF(VLOOKUP(A26,Aktien_im_Umlauf_splitbereinigt!A$3:AM$103,7,FALSE)&lt;&gt;"",IF(VLOOKUP(A26,Aktien_im_Umlauf_splitbereinigt!A$3:AM$103,6,FALSE)&lt;&gt;"",IF(VLOOKUP(A26,Schlußkurse!A$5:AU$105,39,FALSE)&gt;0,((VLOOKUP(A26,Aktien_im_Umlauf_splitbereinigt!A$3:AM$103,7,FALSE)-VLOOKUP(A26,Aktien_im_Umlauf_splitbereinigt!A$3:AM$103,6,FALSE))*VLOOKUP(A26,Schlußkurse!A$5:AU$105,39,FALSE))/VLOOKUP(A26,Aktien_im_Umlauf_splitbereinigt!A$3:AM$103,6,FALSE),0),0),0)</f>
        <v>1.1102707245332861</v>
      </c>
      <c r="G26" s="97">
        <f>IF(VLOOKUP(A26,Aktien_im_Umlauf_splitbereinigt!A$3:AM$103,8,FALSE)&lt;&gt;"",IF(VLOOKUP(A26,Aktien_im_Umlauf_splitbereinigt!A$3:AM$103,7,FALSE)&lt;&gt;"",IF(VLOOKUP(A26,Schlußkurse!A$5:AU$105,40,FALSE)&gt;0,((VLOOKUP(A26,Aktien_im_Umlauf_splitbereinigt!A$3:AM$103,8,FALSE)-VLOOKUP(A26,Aktien_im_Umlauf_splitbereinigt!A$3:AM$103,7,FALSE))*VLOOKUP(A26,Schlußkurse!A$5:AU$105,40,FALSE))/VLOOKUP(A26,Aktien_im_Umlauf_splitbereinigt!A$3:AM$103,7,FALSE),0),0),0)</f>
        <v>1.2290866095181792</v>
      </c>
      <c r="H26" s="97">
        <f>IF(VLOOKUP(A26,Aktien_im_Umlauf_splitbereinigt!A$3:AM$103,9,FALSE)&lt;&gt;"",IF(VLOOKUP(A26,Aktien_im_Umlauf_splitbereinigt!A$3:AM$103,8,FALSE)&lt;&gt;"",IF(VLOOKUP(A26,Schlußkurse!A$5:AU$105,41,FALSE)&gt;0,((VLOOKUP(A26,Aktien_im_Umlauf_splitbereinigt!A$3:AM$103,9,FALSE)-VLOOKUP(A26,Aktien_im_Umlauf_splitbereinigt!A$3:AM$103,8,FALSE))*VLOOKUP(A26,Schlußkurse!A$5:AU$105,41,FALSE))/VLOOKUP(A26,Aktien_im_Umlauf_splitbereinigt!A$3:AM$103,8,FALSE),0),0),0)</f>
        <v>0.48922909723228164</v>
      </c>
      <c r="I26" s="97">
        <f>IF(VLOOKUP(A26,Aktien_im_Umlauf_splitbereinigt!A$3:AM$103,10,FALSE)&lt;&gt;"",IF(VLOOKUP(A26,Aktien_im_Umlauf_splitbereinigt!A$3:AM$103,9,FALSE)&lt;&gt;"",IF(VLOOKUP(A26,Schlußkurse!A$5:AU$105,42,FALSE)&gt;0,((VLOOKUP(A26,Aktien_im_Umlauf_splitbereinigt!A$3:AM$103,10,FALSE)-VLOOKUP(A26,Aktien_im_Umlauf_splitbereinigt!A$3:AM$103,9,FALSE))*VLOOKUP(A26,Schlußkurse!A$5:AU$105,42,FALSE))/VLOOKUP(A26,Aktien_im_Umlauf_splitbereinigt!A$3:AM$103,9,FALSE),0),0),0)</f>
        <v>0</v>
      </c>
      <c r="J26" s="97">
        <f>IF(VLOOKUP(A26,Aktien_im_Umlauf_splitbereinigt!A$3:AM$103,11,FALSE)&lt;&gt;"",IF(VLOOKUP(A26,Aktien_im_Umlauf_splitbereinigt!A$3:AM$103,10,FALSE)&lt;&gt;"",IF(VLOOKUP(A26,Schlußkurse!A$5:AU$105,43,FALSE)&gt;0,((VLOOKUP(A26,Aktien_im_Umlauf_splitbereinigt!A$3:AM$103,11,FALSE)-VLOOKUP(A26,Aktien_im_Umlauf_splitbereinigt!A$3:AM$103,10,FALSE))*VLOOKUP(A26,Schlußkurse!A$5:AU$105,43,FALSE))/VLOOKUP(A26,Aktien_im_Umlauf_splitbereinigt!A$3:AM$103,10,FALSE),0),0),0)</f>
        <v>0</v>
      </c>
      <c r="K26" s="97">
        <f>IF(VLOOKUP(A26,Aktien_im_Umlauf_splitbereinigt!A$3:AM$103,12,FALSE)&lt;&gt;"",IF(VLOOKUP(A26,Aktien_im_Umlauf_splitbereinigt!A$3:AM$103,11,FALSE)&lt;&gt;"",IF(VLOOKUP(A26,Schlußkurse!A$5:AU$105,44,FALSE)&gt;0,((VLOOKUP(A26,Aktien_im_Umlauf_splitbereinigt!A$3:AM$103,12,FALSE)-VLOOKUP(A26,Aktien_im_Umlauf_splitbereinigt!A$3:AM$103,11,FALSE))*VLOOKUP(A26,Schlußkurse!A$5:AU$105,44,FALSE))/VLOOKUP(A26,Aktien_im_Umlauf_splitbereinigt!A$3:AM$103,11,FALSE),0),0),0)</f>
        <v>0</v>
      </c>
      <c r="L26" s="97">
        <f>IF(VLOOKUP(A26,Aktien_im_Umlauf_splitbereinigt!A$3:AM$103,13,FALSE)&lt;&gt;"",IF(VLOOKUP(A26,Aktien_im_Umlauf_splitbereinigt!A$3:AM$103,12,FALSE)&lt;&gt;"",IF(VLOOKUP(A26,Schlußkurse!A$5:AU$105,45,FALSE)&gt;0,((VLOOKUP(A26,Aktien_im_Umlauf_splitbereinigt!A$3:AM$103,13,FALSE)-VLOOKUP(A26,Aktien_im_Umlauf_splitbereinigt!A$3:AM$103,12,FALSE))*VLOOKUP(A26,Schlußkurse!A$5:AU$105,45,FALSE))/VLOOKUP(A26,Aktien_im_Umlauf_splitbereinigt!A$3:AM$103,12,FALSE),0),0),0)</f>
        <v>0</v>
      </c>
      <c r="M26" s="97">
        <f>IF(VLOOKUP(A26,Aktien_im_Umlauf_splitbereinigt!A$3:AM$103,14,FALSE)&lt;&gt;"",IF(VLOOKUP(A26,Aktien_im_Umlauf_splitbereinigt!A$3:AM$103,13,FALSE)&lt;&gt;"",IF(VLOOKUP(A26,Schlußkurse!A$5:AU$105,46,FALSE)&gt;0,((VLOOKUP(A26,Aktien_im_Umlauf_splitbereinigt!A$3:AM$103,14,FALSE)-VLOOKUP(A26,Aktien_im_Umlauf_splitbereinigt!A$3:AM$103,13,FALSE))*VLOOKUP(A26,Schlußkurse!A$5:AU$105,46,FALSE))/VLOOKUP(A26,Aktien_im_Umlauf_splitbereinigt!A$3:AM$103,13,FALSE),0),0),0)</f>
        <v>0</v>
      </c>
      <c r="N26" s="13">
        <f>IF(C26&gt;0,IF(VLOOKUP(A26,Dividende_je_Aktie!A$3:AM$103,8,FALSE)&lt;&gt;"",C26+VLOOKUP(A26,Dividende_je_Aktie!A$3:AM$103,8,FALSE),C26),IF(VLOOKUP(A26,Dividende_je_Aktie!A$3:AM$103,8,FALSE)&lt;&gt;"",VLOOKUP(A26,Dividende_je_Aktie!A$3:AM$103,8,FALSE),""))</f>
        <v>2.2999999999999998</v>
      </c>
      <c r="O26" s="13">
        <f>IF(D26&gt;0,IF(VLOOKUP(A26,Dividende_je_Aktie!A$3:AM$103,9,FALSE)&lt;&gt;"",D26+VLOOKUP(A26,Dividende_je_Aktie!A$3:AM$103,9,FALSE),D26),IF(VLOOKUP(A26,Dividende_je_Aktie!A$3:AM$103,9,FALSE)&lt;&gt;"",VLOOKUP(A26,Dividende_je_Aktie!A$3:AM$103,9,FALSE),""))</f>
        <v>2.9855424281582645</v>
      </c>
      <c r="P26" s="13">
        <f>IF(E26&gt;0,IF(VLOOKUP(A26,Dividende_je_Aktie!A$3:AM$103,10,FALSE)&lt;&gt;"",E26+VLOOKUP(A26,Dividende_je_Aktie!A$3:AM$103,10,FALSE),E26),IF(VLOOKUP(A26,Dividende_je_Aktie!A$3:AM$103,10,FALSE)&lt;&gt;"",VLOOKUP(A26,Dividende_je_Aktie!A$3:AM$103,10,FALSE),""))</f>
        <v>3.0699244547337727</v>
      </c>
      <c r="Q26" s="13">
        <f>IF(F26&gt;0,IF(VLOOKUP(A26,Dividende_je_Aktie!A$3:AM$103,11,FALSE)&lt;&gt;"",F26+VLOOKUP(A26,Dividende_je_Aktie!A$3:AM$103,11,FALSE),F26),IF(VLOOKUP(A26,Dividende_je_Aktie!A$3:AM$103,11,FALSE)&lt;&gt;"",VLOOKUP(A26,Dividende_je_Aktie!A$3:AM$103,11,FALSE),""))</f>
        <v>2.7302707245332862</v>
      </c>
      <c r="R26" s="13">
        <f>IF(G26&gt;0,IF(VLOOKUP(A26,Dividende_je_Aktie!A$3:AM$103,12,FALSE)&lt;&gt;"",G26+VLOOKUP(A26,Dividende_je_Aktie!A$3:AM$103,12,FALSE),G26),IF(VLOOKUP(A26,Dividende_je_Aktie!A$3:AM$103,12,FALSE)&lt;&gt;"",VLOOKUP(A26,Dividende_je_Aktie!A$3:AM$103,12,FALSE),""))</f>
        <v>2.5790866095181793</v>
      </c>
      <c r="S26" s="13">
        <f>IF(H26&gt;0,IF(VLOOKUP(A26,Dividende_je_Aktie!A$3:AM$103,13,FALSE)&lt;&gt;"",H26+VLOOKUP(A26,Dividende_je_Aktie!A$3:AM$103,13,FALSE),H26),IF(VLOOKUP(A26,Dividende_je_Aktie!A$3:AM$103,13,FALSE)&lt;&gt;"",VLOOKUP(A26,Dividende_je_Aktie!A$3:AM$103,13,FALSE),""))</f>
        <v>1.3892290972322816</v>
      </c>
      <c r="T26" s="13">
        <f>IF(I26&gt;0,IF(VLOOKUP(A26,Dividende_je_Aktie!A$3:AM$103,14,FALSE)&lt;&gt;"",I26+VLOOKUP(A26,Dividende_je_Aktie!A$3:AM$103,14,FALSE),I26),IF(VLOOKUP(A26,Dividende_je_Aktie!A$3:AM$103,14,FALSE)&lt;&gt;"",VLOOKUP(A26,Dividende_je_Aktie!A$3:AM$103,14,FALSE),""))</f>
        <v>0.75</v>
      </c>
      <c r="U26" s="13">
        <f>IF(J26&gt;0,IF(VLOOKUP(A26,Dividende_je_Aktie!A$3:AM$103,15,FALSE)&lt;&gt;"",J26+VLOOKUP(A26,Dividende_je_Aktie!A$3:AM$103,15,FALSE),J26),IF(VLOOKUP(A26,Dividende_je_Aktie!A$3:AM$103,15,FALSE)&lt;&gt;"",VLOOKUP(A26,Dividende_je_Aktie!A$3:AM$103,15,FALSE),""))</f>
        <v>0.5</v>
      </c>
      <c r="V26" s="13">
        <f>IF(K26&gt;0,IF(VLOOKUP(A26,Dividende_je_Aktie!A$3:AM$103,16,FALSE)&lt;&gt;"",K26+VLOOKUP(A26,Dividende_je_Aktie!A$3:AM$103,16,FALSE),K26),IF(VLOOKUP(A26,Dividende_je_Aktie!A$3:AM$103,16,FALSE)&lt;&gt;"",VLOOKUP(A26,Dividende_je_Aktie!A$3:AM$103,16,FALSE),""))</f>
        <v>0.42</v>
      </c>
      <c r="W26" s="13">
        <f>IF(L26&gt;0,IF(VLOOKUP(A26,Dividende_je_Aktie!A$3:AM$103,17,FALSE)&lt;&gt;"",L26+VLOOKUP(A26,Dividende_je_Aktie!A$3:AM$103,17,FALSE),L26),IF(VLOOKUP(A26,Dividende_je_Aktie!A$3:AM$103,17,FALSE)&lt;&gt;"",VLOOKUP(A26,Dividende_je_Aktie!A$3:AM$103,17,FALSE),""))</f>
        <v>0.35</v>
      </c>
      <c r="X26" s="13">
        <f>IF(M26&gt;0,IF(VLOOKUP(A26,Dividende_je_Aktie!A$3:AM$103,18,FALSE)&lt;&gt;"",M26+VLOOKUP(A26,Dividende_je_Aktie!A$3:AM$103,18,FALSE),M26),IF(VLOOKUP(A26,Dividende_je_Aktie!A$3:AM$103,18,FALSE)&lt;&gt;"",VLOOKUP(A26,Dividende_je_Aktie!A$3:AM$103,18,FALSE),""))</f>
        <v>0.3</v>
      </c>
    </row>
    <row r="27" spans="1:24">
      <c r="A27" t="s">
        <v>36</v>
      </c>
      <c r="B27" t="s">
        <v>37</v>
      </c>
      <c r="C27" s="13">
        <f>IF(VLOOKUP(A27,Aktien_im_Umlauf_splitbereinigt!A$3:AM$103,4,FALSE)&lt;&gt;"",IF(VLOOKUP(A27,Aktien_im_Umlauf_splitbereinigt!A$3:AM$103,3,FALSE)&lt;&gt;"",IF(VLOOKUP(A27,Schlußkurse!A$5:AU$105,36,FALSE)&gt;0,((VLOOKUP(A27,Aktien_im_Umlauf_splitbereinigt!A$3:AM$103,4,FALSE)-VLOOKUP(A27,Aktien_im_Umlauf_splitbereinigt!A$3:AM$103,3,FALSE))*VLOOKUP(A27,Schlußkurse!A$5:AU$105,36,FALSE))/VLOOKUP(A27,Aktien_im_Umlauf_splitbereinigt!A$3:AM$103,3,FALSE),0),0),0)</f>
        <v>0</v>
      </c>
      <c r="D27" s="97">
        <f>IF(VLOOKUP(A27,Aktien_im_Umlauf_splitbereinigt!A$3:AM$103,5,FALSE)&lt;&gt;"",IF(VLOOKUP(A27,Aktien_im_Umlauf_splitbereinigt!A$3:AM$103,4,FALSE)&lt;&gt;"",IF(VLOOKUP(A27,Schlußkurse!A$5:AU$105,37,FALSE)&gt;0,((VLOOKUP(A27,Aktien_im_Umlauf_splitbereinigt!A$3:AM$103,5,FALSE)-VLOOKUP(A27,Aktien_im_Umlauf_splitbereinigt!A$3:AM$103,4,FALSE))*VLOOKUP(A27,Schlußkurse!A$5:AU$105,37,FALSE))/VLOOKUP(A27,Aktien_im_Umlauf_splitbereinigt!A$3:AM$103,4,FALSE),0),0),0)</f>
        <v>0</v>
      </c>
      <c r="E27" s="97">
        <f>IF(VLOOKUP(A27,Aktien_im_Umlauf_splitbereinigt!A$3:AM$103,6,FALSE)&lt;&gt;"",IF(VLOOKUP(A27,Aktien_im_Umlauf_splitbereinigt!A$3:AM$103,5,FALSE)&lt;&gt;"",IF(VLOOKUP(A27,Schlußkurse!A$5:AU$105,38,FALSE)&gt;0,((VLOOKUP(A27,Aktien_im_Umlauf_splitbereinigt!A$3:AM$103,6,FALSE)-VLOOKUP(A27,Aktien_im_Umlauf_splitbereinigt!A$3:AM$103,5,FALSE))*VLOOKUP(A27,Schlußkurse!A$5:AU$105,38,FALSE))/VLOOKUP(A27,Aktien_im_Umlauf_splitbereinigt!A$3:AM$103,5,FALSE),0),0),0)</f>
        <v>0</v>
      </c>
      <c r="F27" s="97">
        <f>IF(VLOOKUP(A27,Aktien_im_Umlauf_splitbereinigt!A$3:AM$103,7,FALSE)&lt;&gt;"",IF(VLOOKUP(A27,Aktien_im_Umlauf_splitbereinigt!A$3:AM$103,6,FALSE)&lt;&gt;"",IF(VLOOKUP(A27,Schlußkurse!A$5:AU$105,39,FALSE)&gt;0,((VLOOKUP(A27,Aktien_im_Umlauf_splitbereinigt!A$3:AM$103,7,FALSE)-VLOOKUP(A27,Aktien_im_Umlauf_splitbereinigt!A$3:AM$103,6,FALSE))*VLOOKUP(A27,Schlußkurse!A$5:AU$105,39,FALSE))/VLOOKUP(A27,Aktien_im_Umlauf_splitbereinigt!A$3:AM$103,6,FALSE),0),0),0)</f>
        <v>0</v>
      </c>
      <c r="G27" s="97">
        <f>IF(VLOOKUP(A27,Aktien_im_Umlauf_splitbereinigt!A$3:AM$103,8,FALSE)&lt;&gt;"",IF(VLOOKUP(A27,Aktien_im_Umlauf_splitbereinigt!A$3:AM$103,7,FALSE)&lt;&gt;"",IF(VLOOKUP(A27,Schlußkurse!A$5:AU$105,40,FALSE)&gt;0,((VLOOKUP(A27,Aktien_im_Umlauf_splitbereinigt!A$3:AM$103,8,FALSE)-VLOOKUP(A27,Aktien_im_Umlauf_splitbereinigt!A$3:AM$103,7,FALSE))*VLOOKUP(A27,Schlußkurse!A$5:AU$105,40,FALSE))/VLOOKUP(A27,Aktien_im_Umlauf_splitbereinigt!A$3:AM$103,7,FALSE),0),0),0)</f>
        <v>0</v>
      </c>
      <c r="H27" s="97">
        <f>IF(VLOOKUP(A27,Aktien_im_Umlauf_splitbereinigt!A$3:AM$103,9,FALSE)&lt;&gt;"",IF(VLOOKUP(A27,Aktien_im_Umlauf_splitbereinigt!A$3:AM$103,8,FALSE)&lt;&gt;"",IF(VLOOKUP(A27,Schlußkurse!A$5:AU$105,41,FALSE)&gt;0,((VLOOKUP(A27,Aktien_im_Umlauf_splitbereinigt!A$3:AM$103,9,FALSE)-VLOOKUP(A27,Aktien_im_Umlauf_splitbereinigt!A$3:AM$103,8,FALSE))*VLOOKUP(A27,Schlußkurse!A$5:AU$105,41,FALSE))/VLOOKUP(A27,Aktien_im_Umlauf_splitbereinigt!A$3:AM$103,8,FALSE),0),0),0)</f>
        <v>0</v>
      </c>
      <c r="I27" s="97">
        <f>IF(VLOOKUP(A27,Aktien_im_Umlauf_splitbereinigt!A$3:AM$103,10,FALSE)&lt;&gt;"",IF(VLOOKUP(A27,Aktien_im_Umlauf_splitbereinigt!A$3:AM$103,9,FALSE)&lt;&gt;"",IF(VLOOKUP(A27,Schlußkurse!A$5:AU$105,42,FALSE)&gt;0,((VLOOKUP(A27,Aktien_im_Umlauf_splitbereinigt!A$3:AM$103,10,FALSE)-VLOOKUP(A27,Aktien_im_Umlauf_splitbereinigt!A$3:AM$103,9,FALSE))*VLOOKUP(A27,Schlußkurse!A$5:AU$105,42,FALSE))/VLOOKUP(A27,Aktien_im_Umlauf_splitbereinigt!A$3:AM$103,9,FALSE),0),0),0)</f>
        <v>0</v>
      </c>
      <c r="J27" s="97">
        <f>IF(VLOOKUP(A27,Aktien_im_Umlauf_splitbereinigt!A$3:AM$103,11,FALSE)&lt;&gt;"",IF(VLOOKUP(A27,Aktien_im_Umlauf_splitbereinigt!A$3:AM$103,10,FALSE)&lt;&gt;"",IF(VLOOKUP(A27,Schlußkurse!A$5:AU$105,43,FALSE)&gt;0,((VLOOKUP(A27,Aktien_im_Umlauf_splitbereinigt!A$3:AM$103,11,FALSE)-VLOOKUP(A27,Aktien_im_Umlauf_splitbereinigt!A$3:AM$103,10,FALSE))*VLOOKUP(A27,Schlußkurse!A$5:AU$105,43,FALSE))/VLOOKUP(A27,Aktien_im_Umlauf_splitbereinigt!A$3:AM$103,10,FALSE),0),0),0)</f>
        <v>0</v>
      </c>
      <c r="K27" s="97">
        <f>IF(VLOOKUP(A27,Aktien_im_Umlauf_splitbereinigt!A$3:AM$103,12,FALSE)&lt;&gt;"",IF(VLOOKUP(A27,Aktien_im_Umlauf_splitbereinigt!A$3:AM$103,11,FALSE)&lt;&gt;"",IF(VLOOKUP(A27,Schlußkurse!A$5:AU$105,44,FALSE)&gt;0,((VLOOKUP(A27,Aktien_im_Umlauf_splitbereinigt!A$3:AM$103,12,FALSE)-VLOOKUP(A27,Aktien_im_Umlauf_splitbereinigt!A$3:AM$103,11,FALSE))*VLOOKUP(A27,Schlußkurse!A$5:AU$105,44,FALSE))/VLOOKUP(A27,Aktien_im_Umlauf_splitbereinigt!A$3:AM$103,11,FALSE),0),0),0)</f>
        <v>0</v>
      </c>
      <c r="L27" s="97">
        <f>IF(VLOOKUP(A27,Aktien_im_Umlauf_splitbereinigt!A$3:AM$103,13,FALSE)&lt;&gt;"",IF(VLOOKUP(A27,Aktien_im_Umlauf_splitbereinigt!A$3:AM$103,12,FALSE)&lt;&gt;"",IF(VLOOKUP(A27,Schlußkurse!A$5:AU$105,45,FALSE)&gt;0,((VLOOKUP(A27,Aktien_im_Umlauf_splitbereinigt!A$3:AM$103,13,FALSE)-VLOOKUP(A27,Aktien_im_Umlauf_splitbereinigt!A$3:AM$103,12,FALSE))*VLOOKUP(A27,Schlußkurse!A$5:AU$105,45,FALSE))/VLOOKUP(A27,Aktien_im_Umlauf_splitbereinigt!A$3:AM$103,12,FALSE),0),0),0)</f>
        <v>0</v>
      </c>
      <c r="M27" s="97">
        <f>IF(VLOOKUP(A27,Aktien_im_Umlauf_splitbereinigt!A$3:AM$103,14,FALSE)&lt;&gt;"",IF(VLOOKUP(A27,Aktien_im_Umlauf_splitbereinigt!A$3:AM$103,13,FALSE)&lt;&gt;"",IF(VLOOKUP(A27,Schlußkurse!A$5:AU$105,46,FALSE)&gt;0,((VLOOKUP(A27,Aktien_im_Umlauf_splitbereinigt!A$3:AM$103,14,FALSE)-VLOOKUP(A27,Aktien_im_Umlauf_splitbereinigt!A$3:AM$103,13,FALSE))*VLOOKUP(A27,Schlußkurse!A$5:AU$105,46,FALSE))/VLOOKUP(A27,Aktien_im_Umlauf_splitbereinigt!A$3:AM$103,13,FALSE),0),0),0)</f>
        <v>0</v>
      </c>
      <c r="N27" s="13">
        <f>IF(C27&gt;0,IF(VLOOKUP(A27,Dividende_je_Aktie!A$3:AM$103,8,FALSE)&lt;&gt;"",C27+VLOOKUP(A27,Dividende_je_Aktie!A$3:AM$103,8,FALSE),C27),IF(VLOOKUP(A27,Dividende_je_Aktie!A$3:AM$103,8,FALSE)&lt;&gt;"",VLOOKUP(A27,Dividende_je_Aktie!A$3:AM$103,8,FALSE),""))</f>
        <v>1.27</v>
      </c>
      <c r="O27" s="13">
        <f>IF(D27&gt;0,IF(VLOOKUP(A27,Dividende_je_Aktie!A$3:AM$103,9,FALSE)&lt;&gt;"",D27+VLOOKUP(A27,Dividende_je_Aktie!A$3:AM$103,9,FALSE),D27),IF(VLOOKUP(A27,Dividende_je_Aktie!A$3:AM$103,9,FALSE)&lt;&gt;"",VLOOKUP(A27,Dividende_je_Aktie!A$3:AM$103,9,FALSE),""))</f>
        <v>1.19</v>
      </c>
      <c r="P27" s="13">
        <f>IF(E27&gt;0,IF(VLOOKUP(A27,Dividende_je_Aktie!A$3:AM$103,10,FALSE)&lt;&gt;"",E27+VLOOKUP(A27,Dividende_je_Aktie!A$3:AM$103,10,FALSE),E27),IF(VLOOKUP(A27,Dividende_je_Aktie!A$3:AM$103,10,FALSE)&lt;&gt;"",VLOOKUP(A27,Dividende_je_Aktie!A$3:AM$103,10,FALSE),""))</f>
        <v>1.1200000000000001</v>
      </c>
      <c r="Q27" s="13">
        <f>IF(F27&gt;0,IF(VLOOKUP(A27,Dividende_je_Aktie!A$3:AM$103,11,FALSE)&lt;&gt;"",F27+VLOOKUP(A27,Dividende_je_Aktie!A$3:AM$103,11,FALSE),F27),IF(VLOOKUP(A27,Dividende_je_Aktie!A$3:AM$103,11,FALSE)&lt;&gt;"",VLOOKUP(A27,Dividende_je_Aktie!A$3:AM$103,11,FALSE),""))</f>
        <v>1.05</v>
      </c>
      <c r="R27" s="13">
        <f>IF(G27&gt;0,IF(VLOOKUP(A27,Dividende_je_Aktie!A$3:AM$103,12,FALSE)&lt;&gt;"",G27+VLOOKUP(A27,Dividende_je_Aktie!A$3:AM$103,12,FALSE),G27),IF(VLOOKUP(A27,Dividende_je_Aktie!A$3:AM$103,12,FALSE)&lt;&gt;"",VLOOKUP(A27,Dividende_je_Aktie!A$3:AM$103,12,FALSE),""))</f>
        <v>0.97</v>
      </c>
      <c r="S27" s="13">
        <f>IF(H27&gt;0,IF(VLOOKUP(A27,Dividende_je_Aktie!A$3:AM$103,13,FALSE)&lt;&gt;"",H27+VLOOKUP(A27,Dividende_je_Aktie!A$3:AM$103,13,FALSE),H27),IF(VLOOKUP(A27,Dividende_je_Aktie!A$3:AM$103,13,FALSE)&lt;&gt;"",VLOOKUP(A27,Dividende_je_Aktie!A$3:AM$103,13,FALSE),""))</f>
        <v>0.9</v>
      </c>
      <c r="T27" s="13">
        <f>IF(I27&gt;0,IF(VLOOKUP(A27,Dividende_je_Aktie!A$3:AM$103,14,FALSE)&lt;&gt;"",I27+VLOOKUP(A27,Dividende_je_Aktie!A$3:AM$103,14,FALSE),I27),IF(VLOOKUP(A27,Dividende_je_Aktie!A$3:AM$103,14,FALSE)&lt;&gt;"",VLOOKUP(A27,Dividende_je_Aktie!A$3:AM$103,14,FALSE),""))</f>
        <v>0.83</v>
      </c>
      <c r="U27" s="13">
        <f>IF(J27&gt;0,IF(VLOOKUP(A27,Dividende_je_Aktie!A$3:AM$103,15,FALSE)&lt;&gt;"",J27+VLOOKUP(A27,Dividende_je_Aktie!A$3:AM$103,15,FALSE),J27),IF(VLOOKUP(A27,Dividende_je_Aktie!A$3:AM$103,15,FALSE)&lt;&gt;"",VLOOKUP(A27,Dividende_je_Aktie!A$3:AM$103,15,FALSE),""))</f>
        <v>0.8</v>
      </c>
      <c r="V27" s="13">
        <f>IF(K27&gt;0,IF(VLOOKUP(A27,Dividende_je_Aktie!A$3:AM$103,16,FALSE)&lt;&gt;"",K27+VLOOKUP(A27,Dividende_je_Aktie!A$3:AM$103,16,FALSE),K27),IF(VLOOKUP(A27,Dividende_je_Aktie!A$3:AM$103,16,FALSE)&lt;&gt;"",VLOOKUP(A27,Dividende_je_Aktie!A$3:AM$103,16,FALSE),""))</f>
        <v>0.77</v>
      </c>
      <c r="W27" s="13">
        <f>IF(L27&gt;0,IF(VLOOKUP(A27,Dividende_je_Aktie!A$3:AM$103,17,FALSE)&lt;&gt;"",L27+VLOOKUP(A27,Dividende_je_Aktie!A$3:AM$103,17,FALSE),L27),IF(VLOOKUP(A27,Dividende_je_Aktie!A$3:AM$103,17,FALSE)&lt;&gt;"",VLOOKUP(A27,Dividende_je_Aktie!A$3:AM$103,17,FALSE),""))</f>
        <v>0.75</v>
      </c>
      <c r="X27" s="13">
        <f>IF(M27&gt;0,IF(VLOOKUP(A27,Dividende_je_Aktie!A$3:AM$103,18,FALSE)&lt;&gt;"",M27+VLOOKUP(A27,Dividende_je_Aktie!A$3:AM$103,18,FALSE),M27),IF(VLOOKUP(A27,Dividende_je_Aktie!A$3:AM$103,18,FALSE)&lt;&gt;"",VLOOKUP(A27,Dividende_je_Aktie!A$3:AM$103,18,FALSE),""))</f>
        <v>0.70499999999999996</v>
      </c>
    </row>
    <row r="28" spans="1:24">
      <c r="A28" t="s">
        <v>38</v>
      </c>
      <c r="B28" t="s">
        <v>39</v>
      </c>
      <c r="C28" s="13">
        <f>IF(VLOOKUP(A28,Aktien_im_Umlauf_splitbereinigt!A$3:AM$103,4,FALSE)&lt;&gt;"",IF(VLOOKUP(A28,Aktien_im_Umlauf_splitbereinigt!A$3:AM$103,3,FALSE)&lt;&gt;"",IF(VLOOKUP(A28,Schlußkurse!A$5:AU$105,36,FALSE)&gt;0,((VLOOKUP(A28,Aktien_im_Umlauf_splitbereinigt!A$3:AM$103,4,FALSE)-VLOOKUP(A28,Aktien_im_Umlauf_splitbereinigt!A$3:AM$103,3,FALSE))*VLOOKUP(A28,Schlußkurse!A$5:AU$105,36,FALSE))/VLOOKUP(A28,Aktien_im_Umlauf_splitbereinigt!A$3:AM$103,3,FALSE),0),0),0)</f>
        <v>0</v>
      </c>
      <c r="D28" s="97">
        <f>IF(VLOOKUP(A28,Aktien_im_Umlauf_splitbereinigt!A$3:AM$103,5,FALSE)&lt;&gt;"",IF(VLOOKUP(A28,Aktien_im_Umlauf_splitbereinigt!A$3:AM$103,4,FALSE)&lt;&gt;"",IF(VLOOKUP(A28,Schlußkurse!A$5:AU$105,37,FALSE)&gt;0,((VLOOKUP(A28,Aktien_im_Umlauf_splitbereinigt!A$3:AM$103,5,FALSE)-VLOOKUP(A28,Aktien_im_Umlauf_splitbereinigt!A$3:AM$103,4,FALSE))*VLOOKUP(A28,Schlußkurse!A$5:AU$105,37,FALSE))/VLOOKUP(A28,Aktien_im_Umlauf_splitbereinigt!A$3:AM$103,4,FALSE),0),0),0)</f>
        <v>-5.3644882017900732</v>
      </c>
      <c r="E28" s="97">
        <f>IF(VLOOKUP(A28,Aktien_im_Umlauf_splitbereinigt!A$3:AM$103,6,FALSE)&lt;&gt;"",IF(VLOOKUP(A28,Aktien_im_Umlauf_splitbereinigt!A$3:AM$103,5,FALSE)&lt;&gt;"",IF(VLOOKUP(A28,Schlußkurse!A$5:AU$105,38,FALSE)&gt;0,((VLOOKUP(A28,Aktien_im_Umlauf_splitbereinigt!A$3:AM$103,6,FALSE)-VLOOKUP(A28,Aktien_im_Umlauf_splitbereinigt!A$3:AM$103,5,FALSE))*VLOOKUP(A28,Schlußkurse!A$5:AU$105,38,FALSE))/VLOOKUP(A28,Aktien_im_Umlauf_splitbereinigt!A$3:AM$103,5,FALSE),0),0),0)</f>
        <v>0.25255639097744365</v>
      </c>
      <c r="F28" s="97">
        <f>IF(VLOOKUP(A28,Aktien_im_Umlauf_splitbereinigt!A$3:AM$103,7,FALSE)&lt;&gt;"",IF(VLOOKUP(A28,Aktien_im_Umlauf_splitbereinigt!A$3:AM$103,6,FALSE)&lt;&gt;"",IF(VLOOKUP(A28,Schlußkurse!A$5:AU$105,39,FALSE)&gt;0,((VLOOKUP(A28,Aktien_im_Umlauf_splitbereinigt!A$3:AM$103,7,FALSE)-VLOOKUP(A28,Aktien_im_Umlauf_splitbereinigt!A$3:AM$103,6,FALSE))*VLOOKUP(A28,Schlußkurse!A$5:AU$105,39,FALSE))/VLOOKUP(A28,Aktien_im_Umlauf_splitbereinigt!A$3:AM$103,6,FALSE),0),0),0)</f>
        <v>2.3884041331802526</v>
      </c>
      <c r="G28" s="97">
        <f>IF(VLOOKUP(A28,Aktien_im_Umlauf_splitbereinigt!A$3:AM$103,8,FALSE)&lt;&gt;"",IF(VLOOKUP(A28,Aktien_im_Umlauf_splitbereinigt!A$3:AM$103,7,FALSE)&lt;&gt;"",IF(VLOOKUP(A28,Schlußkurse!A$5:AU$105,40,FALSE)&gt;0,((VLOOKUP(A28,Aktien_im_Umlauf_splitbereinigt!A$3:AM$103,8,FALSE)-VLOOKUP(A28,Aktien_im_Umlauf_splitbereinigt!A$3:AM$103,7,FALSE))*VLOOKUP(A28,Schlußkurse!A$5:AU$105,40,FALSE))/VLOOKUP(A28,Aktien_im_Umlauf_splitbereinigt!A$3:AM$103,7,FALSE),0),0),0)</f>
        <v>2.0898871170041211</v>
      </c>
      <c r="H28" s="97">
        <f>IF(VLOOKUP(A28,Aktien_im_Umlauf_splitbereinigt!A$3:AM$103,9,FALSE)&lt;&gt;"",IF(VLOOKUP(A28,Aktien_im_Umlauf_splitbereinigt!A$3:AM$103,8,FALSE)&lt;&gt;"",IF(VLOOKUP(A28,Schlußkurse!A$5:AU$105,41,FALSE)&gt;0,((VLOOKUP(A28,Aktien_im_Umlauf_splitbereinigt!A$3:AM$103,9,FALSE)-VLOOKUP(A28,Aktien_im_Umlauf_splitbereinigt!A$3:AM$103,8,FALSE))*VLOOKUP(A28,Schlußkurse!A$5:AU$105,41,FALSE))/VLOOKUP(A28,Aktien_im_Umlauf_splitbereinigt!A$3:AM$103,8,FALSE),0),0),0)</f>
        <v>-8.1633203981778299E-2</v>
      </c>
      <c r="I28" s="97">
        <f>IF(VLOOKUP(A28,Aktien_im_Umlauf_splitbereinigt!A$3:AM$103,10,FALSE)&lt;&gt;"",IF(VLOOKUP(A28,Aktien_im_Umlauf_splitbereinigt!A$3:AM$103,9,FALSE)&lt;&gt;"",IF(VLOOKUP(A28,Schlußkurse!A$5:AU$105,42,FALSE)&gt;0,((VLOOKUP(A28,Aktien_im_Umlauf_splitbereinigt!A$3:AM$103,10,FALSE)-VLOOKUP(A28,Aktien_im_Umlauf_splitbereinigt!A$3:AM$103,9,FALSE))*VLOOKUP(A28,Schlußkurse!A$5:AU$105,42,FALSE))/VLOOKUP(A28,Aktien_im_Umlauf_splitbereinigt!A$3:AM$103,9,FALSE),0),0),0)</f>
        <v>-4.4733547623075624E-2</v>
      </c>
      <c r="J28" s="97">
        <f>IF(VLOOKUP(A28,Aktien_im_Umlauf_splitbereinigt!A$3:AM$103,11,FALSE)&lt;&gt;"",IF(VLOOKUP(A28,Aktien_im_Umlauf_splitbereinigt!A$3:AM$103,10,FALSE)&lt;&gt;"",IF(VLOOKUP(A28,Schlußkurse!A$5:AU$105,43,FALSE)&gt;0,((VLOOKUP(A28,Aktien_im_Umlauf_splitbereinigt!A$3:AM$103,11,FALSE)-VLOOKUP(A28,Aktien_im_Umlauf_splitbereinigt!A$3:AM$103,10,FALSE))*VLOOKUP(A28,Schlußkurse!A$5:AU$105,43,FALSE))/VLOOKUP(A28,Aktien_im_Umlauf_splitbereinigt!A$3:AM$103,10,FALSE),0),0),0)</f>
        <v>-4.2743137919349375E-2</v>
      </c>
      <c r="K28" s="97">
        <f>IF(VLOOKUP(A28,Aktien_im_Umlauf_splitbereinigt!A$3:AM$103,12,FALSE)&lt;&gt;"",IF(VLOOKUP(A28,Aktien_im_Umlauf_splitbereinigt!A$3:AM$103,11,FALSE)&lt;&gt;"",IF(VLOOKUP(A28,Schlußkurse!A$5:AU$105,44,FALSE)&gt;0,((VLOOKUP(A28,Aktien_im_Umlauf_splitbereinigt!A$3:AM$103,12,FALSE)-VLOOKUP(A28,Aktien_im_Umlauf_splitbereinigt!A$3:AM$103,11,FALSE))*VLOOKUP(A28,Schlußkurse!A$5:AU$105,44,FALSE))/VLOOKUP(A28,Aktien_im_Umlauf_splitbereinigt!A$3:AM$103,11,FALSE),0),0),0)</f>
        <v>0.73027320549804853</v>
      </c>
      <c r="L28" s="97">
        <f>IF(VLOOKUP(A28,Aktien_im_Umlauf_splitbereinigt!A$3:AM$103,13,FALSE)&lt;&gt;"",IF(VLOOKUP(A28,Aktien_im_Umlauf_splitbereinigt!A$3:AM$103,12,FALSE)&lt;&gt;"",IF(VLOOKUP(A28,Schlußkurse!A$5:AU$105,45,FALSE)&gt;0,((VLOOKUP(A28,Aktien_im_Umlauf_splitbereinigt!A$3:AM$103,13,FALSE)-VLOOKUP(A28,Aktien_im_Umlauf_splitbereinigt!A$3:AM$103,12,FALSE))*VLOOKUP(A28,Schlußkurse!A$5:AU$105,45,FALSE))/VLOOKUP(A28,Aktien_im_Umlauf_splitbereinigt!A$3:AM$103,12,FALSE),0),0),0)</f>
        <v>1.3408669755129055</v>
      </c>
      <c r="M28" s="97">
        <f>IF(VLOOKUP(A28,Aktien_im_Umlauf_splitbereinigt!A$3:AM$103,14,FALSE)&lt;&gt;"",IF(VLOOKUP(A28,Aktien_im_Umlauf_splitbereinigt!A$3:AM$103,13,FALSE)&lt;&gt;"",IF(VLOOKUP(A28,Schlußkurse!A$5:AU$105,46,FALSE)&gt;0,((VLOOKUP(A28,Aktien_im_Umlauf_splitbereinigt!A$3:AM$103,14,FALSE)-VLOOKUP(A28,Aktien_im_Umlauf_splitbereinigt!A$3:AM$103,13,FALSE))*VLOOKUP(A28,Schlußkurse!A$5:AU$105,46,FALSE))/VLOOKUP(A28,Aktien_im_Umlauf_splitbereinigt!A$3:AM$103,13,FALSE),0),0),0)</f>
        <v>0</v>
      </c>
      <c r="N28" s="13">
        <f>IF(C28&gt;0,IF(VLOOKUP(A28,Dividende_je_Aktie!A$3:AM$103,8,FALSE)&lt;&gt;"",C28+VLOOKUP(A28,Dividende_je_Aktie!A$3:AM$103,8,FALSE),C28),IF(VLOOKUP(A28,Dividende_je_Aktie!A$3:AM$103,8,FALSE)&lt;&gt;"",VLOOKUP(A28,Dividende_je_Aktie!A$3:AM$103,8,FALSE),""))</f>
        <v>1.93</v>
      </c>
      <c r="O28" s="13">
        <f>IF(D28&gt;0,IF(VLOOKUP(A28,Dividende_je_Aktie!A$3:AM$103,9,FALSE)&lt;&gt;"",D28+VLOOKUP(A28,Dividende_je_Aktie!A$3:AM$103,9,FALSE),D28),IF(VLOOKUP(A28,Dividende_je_Aktie!A$3:AM$103,9,FALSE)&lt;&gt;"",VLOOKUP(A28,Dividende_je_Aktie!A$3:AM$103,9,FALSE),""))</f>
        <v>1.92</v>
      </c>
      <c r="P28" s="13">
        <f>IF(E28&gt;0,IF(VLOOKUP(A28,Dividende_je_Aktie!A$3:AM$103,10,FALSE)&lt;&gt;"",E28+VLOOKUP(A28,Dividende_je_Aktie!A$3:AM$103,10,FALSE),E28),IF(VLOOKUP(A28,Dividende_je_Aktie!A$3:AM$103,10,FALSE)&lt;&gt;"",VLOOKUP(A28,Dividende_je_Aktie!A$3:AM$103,10,FALSE),""))</f>
        <v>2.1025563909774436</v>
      </c>
      <c r="Q28" s="13">
        <f>IF(F28&gt;0,IF(VLOOKUP(A28,Dividende_je_Aktie!A$3:AM$103,11,FALSE)&lt;&gt;"",F28+VLOOKUP(A28,Dividende_je_Aktie!A$3:AM$103,11,FALSE),F28),IF(VLOOKUP(A28,Dividende_je_Aktie!A$3:AM$103,11,FALSE)&lt;&gt;"",VLOOKUP(A28,Dividende_je_Aktie!A$3:AM$103,11,FALSE),""))</f>
        <v>4.1984041331802526</v>
      </c>
      <c r="R28" s="13">
        <f>IF(G28&gt;0,IF(VLOOKUP(A28,Dividende_je_Aktie!A$3:AM$103,12,FALSE)&lt;&gt;"",G28+VLOOKUP(A28,Dividende_je_Aktie!A$3:AM$103,12,FALSE),G28),IF(VLOOKUP(A28,Dividende_je_Aktie!A$3:AM$103,12,FALSE)&lt;&gt;"",VLOOKUP(A28,Dividende_je_Aktie!A$3:AM$103,12,FALSE),""))</f>
        <v>3.8598871170041211</v>
      </c>
      <c r="S28" s="13">
        <f>IF(H28&gt;0,IF(VLOOKUP(A28,Dividende_je_Aktie!A$3:AM$103,13,FALSE)&lt;&gt;"",H28+VLOOKUP(A28,Dividende_je_Aktie!A$3:AM$103,13,FALSE),H28),IF(VLOOKUP(A28,Dividende_je_Aktie!A$3:AM$103,13,FALSE)&lt;&gt;"",VLOOKUP(A28,Dividende_je_Aktie!A$3:AM$103,13,FALSE),""))</f>
        <v>1.72</v>
      </c>
      <c r="T28" s="13">
        <f>IF(I28&gt;0,IF(VLOOKUP(A28,Dividende_je_Aktie!A$3:AM$103,14,FALSE)&lt;&gt;"",I28+VLOOKUP(A28,Dividende_je_Aktie!A$3:AM$103,14,FALSE),I28),IF(VLOOKUP(A28,Dividende_je_Aktie!A$3:AM$103,14,FALSE)&lt;&gt;"",VLOOKUP(A28,Dividende_je_Aktie!A$3:AM$103,14,FALSE),""))</f>
        <v>1.68</v>
      </c>
      <c r="U28" s="13">
        <f>IF(J28&gt;0,IF(VLOOKUP(A28,Dividende_je_Aktie!A$3:AM$103,15,FALSE)&lt;&gt;"",J28+VLOOKUP(A28,Dividende_je_Aktie!A$3:AM$103,15,FALSE),J28),IF(VLOOKUP(A28,Dividende_je_Aktie!A$3:AM$103,15,FALSE)&lt;&gt;"",VLOOKUP(A28,Dividende_je_Aktie!A$3:AM$103,15,FALSE),""))</f>
        <v>1.65</v>
      </c>
      <c r="V28" s="13">
        <f>IF(K28&gt;0,IF(VLOOKUP(A28,Dividende_je_Aktie!A$3:AM$103,16,FALSE)&lt;&gt;"",K28+VLOOKUP(A28,Dividende_je_Aktie!A$3:AM$103,16,FALSE),K28),IF(VLOOKUP(A28,Dividende_je_Aktie!A$3:AM$103,16,FALSE)&lt;&gt;"",VLOOKUP(A28,Dividende_je_Aktie!A$3:AM$103,16,FALSE),""))</f>
        <v>2.3402732054980486</v>
      </c>
      <c r="W28" s="13">
        <f>IF(L28&gt;0,IF(VLOOKUP(A28,Dividende_je_Aktie!A$3:AM$103,17,FALSE)&lt;&gt;"",L28+VLOOKUP(A28,Dividende_je_Aktie!A$3:AM$103,17,FALSE),L28),IF(VLOOKUP(A28,Dividende_je_Aktie!A$3:AM$103,17,FALSE)&lt;&gt;"",VLOOKUP(A28,Dividende_je_Aktie!A$3:AM$103,17,FALSE),""))</f>
        <v>2.8108669755129054</v>
      </c>
      <c r="X28" s="13">
        <f>IF(M28&gt;0,IF(VLOOKUP(A28,Dividende_je_Aktie!A$3:AM$103,18,FALSE)&lt;&gt;"",M28+VLOOKUP(A28,Dividende_je_Aktie!A$3:AM$103,18,FALSE),M28),IF(VLOOKUP(A28,Dividende_je_Aktie!A$3:AM$103,18,FALSE)&lt;&gt;"",VLOOKUP(A28,Dividende_je_Aktie!A$3:AM$103,18,FALSE),""))</f>
        <v>1.35</v>
      </c>
    </row>
    <row r="29" spans="1:24">
      <c r="A29" s="52" t="s">
        <v>318</v>
      </c>
      <c r="B29" s="52" t="s">
        <v>319</v>
      </c>
      <c r="C29" s="13">
        <f>IF(VLOOKUP(A29,Aktien_im_Umlauf_splitbereinigt!A$3:AM$103,4,FALSE)&lt;&gt;"",IF(VLOOKUP(A29,Aktien_im_Umlauf_splitbereinigt!A$3:AM$103,3,FALSE)&lt;&gt;"",IF(VLOOKUP(A29,Schlußkurse!A$5:AU$105,36,FALSE)&gt;0,((VLOOKUP(A29,Aktien_im_Umlauf_splitbereinigt!A$3:AM$103,4,FALSE)-VLOOKUP(A29,Aktien_im_Umlauf_splitbereinigt!A$3:AM$103,3,FALSE))*VLOOKUP(A29,Schlußkurse!A$5:AU$105,36,FALSE))/VLOOKUP(A29,Aktien_im_Umlauf_splitbereinigt!A$3:AM$103,3,FALSE),0),0),0)</f>
        <v>0</v>
      </c>
      <c r="D29" s="97">
        <f>IF(VLOOKUP(A29,Aktien_im_Umlauf_splitbereinigt!A$3:AM$103,5,FALSE)&lt;&gt;"",IF(VLOOKUP(A29,Aktien_im_Umlauf_splitbereinigt!A$3:AM$103,4,FALSE)&lt;&gt;"",IF(VLOOKUP(A29,Schlußkurse!A$5:AU$105,37,FALSE)&gt;0,((VLOOKUP(A29,Aktien_im_Umlauf_splitbereinigt!A$3:AM$103,5,FALSE)-VLOOKUP(A29,Aktien_im_Umlauf_splitbereinigt!A$3:AM$103,4,FALSE))*VLOOKUP(A29,Schlußkurse!A$5:AU$105,37,FALSE))/VLOOKUP(A29,Aktien_im_Umlauf_splitbereinigt!A$3:AM$103,4,FALSE),0),0),0)</f>
        <v>-8.1270266967339051</v>
      </c>
      <c r="E29" s="97">
        <f>IF(VLOOKUP(A29,Aktien_im_Umlauf_splitbereinigt!A$3:AM$103,6,FALSE)&lt;&gt;"",IF(VLOOKUP(A29,Aktien_im_Umlauf_splitbereinigt!A$3:AM$103,5,FALSE)&lt;&gt;"",IF(VLOOKUP(A29,Schlußkurse!A$5:AU$105,38,FALSE)&gt;0,((VLOOKUP(A29,Aktien_im_Umlauf_splitbereinigt!A$3:AM$103,6,FALSE)-VLOOKUP(A29,Aktien_im_Umlauf_splitbereinigt!A$3:AM$103,5,FALSE))*VLOOKUP(A29,Schlußkurse!A$5:AU$105,38,FALSE))/VLOOKUP(A29,Aktien_im_Umlauf_splitbereinigt!A$3:AM$103,5,FALSE),0),0),0)</f>
        <v>-6.6393939750356461</v>
      </c>
      <c r="F29" s="97">
        <f>IF(VLOOKUP(A29,Aktien_im_Umlauf_splitbereinigt!A$3:AM$103,7,FALSE)&lt;&gt;"",IF(VLOOKUP(A29,Aktien_im_Umlauf_splitbereinigt!A$3:AM$103,6,FALSE)&lt;&gt;"",IF(VLOOKUP(A29,Schlußkurse!A$5:AU$105,39,FALSE)&gt;0,((VLOOKUP(A29,Aktien_im_Umlauf_splitbereinigt!A$3:AM$103,7,FALSE)-VLOOKUP(A29,Aktien_im_Umlauf_splitbereinigt!A$3:AM$103,6,FALSE))*VLOOKUP(A29,Schlußkurse!A$5:AU$105,39,FALSE))/VLOOKUP(A29,Aktien_im_Umlauf_splitbereinigt!A$3:AM$103,6,FALSE),0),0),0)</f>
        <v>-9.7611194652055548</v>
      </c>
      <c r="G29" s="97">
        <f>IF(VLOOKUP(A29,Aktien_im_Umlauf_splitbereinigt!A$3:AM$103,8,FALSE)&lt;&gt;"",IF(VLOOKUP(A29,Aktien_im_Umlauf_splitbereinigt!A$3:AM$103,7,FALSE)&lt;&gt;"",IF(VLOOKUP(A29,Schlußkurse!A$5:AU$105,40,FALSE)&gt;0,((VLOOKUP(A29,Aktien_im_Umlauf_splitbereinigt!A$3:AM$103,8,FALSE)-VLOOKUP(A29,Aktien_im_Umlauf_splitbereinigt!A$3:AM$103,7,FALSE))*VLOOKUP(A29,Schlußkurse!A$5:AU$105,40,FALSE))/VLOOKUP(A29,Aktien_im_Umlauf_splitbereinigt!A$3:AM$103,7,FALSE),0),0),0)</f>
        <v>-5.4503716891933234</v>
      </c>
      <c r="H29" s="97">
        <f>IF(VLOOKUP(A29,Aktien_im_Umlauf_splitbereinigt!A$3:AM$103,9,FALSE)&lt;&gt;"",IF(VLOOKUP(A29,Aktien_im_Umlauf_splitbereinigt!A$3:AM$103,8,FALSE)&lt;&gt;"",IF(VLOOKUP(A29,Schlußkurse!A$5:AU$105,41,FALSE)&gt;0,((VLOOKUP(A29,Aktien_im_Umlauf_splitbereinigt!A$3:AM$103,9,FALSE)-VLOOKUP(A29,Aktien_im_Umlauf_splitbereinigt!A$3:AM$103,8,FALSE))*VLOOKUP(A29,Schlußkurse!A$5:AU$105,41,FALSE))/VLOOKUP(A29,Aktien_im_Umlauf_splitbereinigt!A$3:AM$103,8,FALSE),0),0),0)</f>
        <v>-3.5734783545452853</v>
      </c>
      <c r="I29" s="97">
        <f>IF(VLOOKUP(A29,Aktien_im_Umlauf_splitbereinigt!A$3:AM$103,10,FALSE)&lt;&gt;"",IF(VLOOKUP(A29,Aktien_im_Umlauf_splitbereinigt!A$3:AM$103,9,FALSE)&lt;&gt;"",IF(VLOOKUP(A29,Schlußkurse!A$5:AU$105,42,FALSE)&gt;0,((VLOOKUP(A29,Aktien_im_Umlauf_splitbereinigt!A$3:AM$103,10,FALSE)-VLOOKUP(A29,Aktien_im_Umlauf_splitbereinigt!A$3:AM$103,9,FALSE))*VLOOKUP(A29,Schlußkurse!A$5:AU$105,42,FALSE))/VLOOKUP(A29,Aktien_im_Umlauf_splitbereinigt!A$3:AM$103,9,FALSE),0),0),0)</f>
        <v>-3.2351851851851854</v>
      </c>
      <c r="J29" s="97">
        <f>IF(VLOOKUP(A29,Aktien_im_Umlauf_splitbereinigt!A$3:AM$103,11,FALSE)&lt;&gt;"",IF(VLOOKUP(A29,Aktien_im_Umlauf_splitbereinigt!A$3:AM$103,10,FALSE)&lt;&gt;"",IF(VLOOKUP(A29,Schlußkurse!A$5:AU$105,43,FALSE)&gt;0,((VLOOKUP(A29,Aktien_im_Umlauf_splitbereinigt!A$3:AM$103,11,FALSE)-VLOOKUP(A29,Aktien_im_Umlauf_splitbereinigt!A$3:AM$103,10,FALSE))*VLOOKUP(A29,Schlußkurse!A$5:AU$105,43,FALSE))/VLOOKUP(A29,Aktien_im_Umlauf_splitbereinigt!A$3:AM$103,10,FALSE),0),0),0)</f>
        <v>-2.6336469477658797</v>
      </c>
      <c r="K29" s="97">
        <f>IF(VLOOKUP(A29,Aktien_im_Umlauf_splitbereinigt!A$3:AM$103,12,FALSE)&lt;&gt;"",IF(VLOOKUP(A29,Aktien_im_Umlauf_splitbereinigt!A$3:AM$103,11,FALSE)&lt;&gt;"",IF(VLOOKUP(A29,Schlußkurse!A$5:AU$105,44,FALSE)&gt;0,((VLOOKUP(A29,Aktien_im_Umlauf_splitbereinigt!A$3:AM$103,12,FALSE)-VLOOKUP(A29,Aktien_im_Umlauf_splitbereinigt!A$3:AM$103,11,FALSE))*VLOOKUP(A29,Schlußkurse!A$5:AU$105,44,FALSE))/VLOOKUP(A29,Aktien_im_Umlauf_splitbereinigt!A$3:AM$103,11,FALSE),0),0),0)</f>
        <v>-1.0739574738178577</v>
      </c>
      <c r="L29" s="97">
        <f>IF(VLOOKUP(A29,Aktien_im_Umlauf_splitbereinigt!A$3:AM$103,13,FALSE)&lt;&gt;"",IF(VLOOKUP(A29,Aktien_im_Umlauf_splitbereinigt!A$3:AM$103,12,FALSE)&lt;&gt;"",IF(VLOOKUP(A29,Schlußkurse!A$5:AU$105,45,FALSE)&gt;0,((VLOOKUP(A29,Aktien_im_Umlauf_splitbereinigt!A$3:AM$103,13,FALSE)-VLOOKUP(A29,Aktien_im_Umlauf_splitbereinigt!A$3:AM$103,12,FALSE))*VLOOKUP(A29,Schlußkurse!A$5:AU$105,45,FALSE))/VLOOKUP(A29,Aktien_im_Umlauf_splitbereinigt!A$3:AM$103,12,FALSE),0),0),0)</f>
        <v>-4.3093192713326696</v>
      </c>
      <c r="M29" s="97">
        <f>IF(VLOOKUP(A29,Aktien_im_Umlauf_splitbereinigt!A$3:AM$103,14,FALSE)&lt;&gt;"",IF(VLOOKUP(A29,Aktien_im_Umlauf_splitbereinigt!A$3:AM$103,13,FALSE)&lt;&gt;"",IF(VLOOKUP(A29,Schlußkurse!A$5:AU$105,46,FALSE)&gt;0,((VLOOKUP(A29,Aktien_im_Umlauf_splitbereinigt!A$3:AM$103,14,FALSE)-VLOOKUP(A29,Aktien_im_Umlauf_splitbereinigt!A$3:AM$103,13,FALSE))*VLOOKUP(A29,Schlußkurse!A$5:AU$105,46,FALSE))/VLOOKUP(A29,Aktien_im_Umlauf_splitbereinigt!A$3:AM$103,13,FALSE),0),0),0)</f>
        <v>-11.921812297734629</v>
      </c>
      <c r="N29" s="13">
        <f>IF(C29&gt;0,IF(VLOOKUP(A29,Dividende_je_Aktie!A$3:AM$103,8,FALSE)&lt;&gt;"",C29+VLOOKUP(A29,Dividende_je_Aktie!A$3:AM$103,8,FALSE),C29),IF(VLOOKUP(A29,Dividende_je_Aktie!A$3:AM$103,8,FALSE)&lt;&gt;"",VLOOKUP(A29,Dividende_je_Aktie!A$3:AM$103,8,FALSE),""))</f>
        <v>0</v>
      </c>
      <c r="O29" s="13">
        <f>IF(D29&gt;0,IF(VLOOKUP(A29,Dividende_je_Aktie!A$3:AM$103,9,FALSE)&lt;&gt;"",D29+VLOOKUP(A29,Dividende_je_Aktie!A$3:AM$103,9,FALSE),D29),IF(VLOOKUP(A29,Dividende_je_Aktie!A$3:AM$103,9,FALSE)&lt;&gt;"",VLOOKUP(A29,Dividende_je_Aktie!A$3:AM$103,9,FALSE),""))</f>
        <v>0</v>
      </c>
      <c r="P29" s="13">
        <f>IF(E29&gt;0,IF(VLOOKUP(A29,Dividende_je_Aktie!A$3:AM$103,10,FALSE)&lt;&gt;"",E29+VLOOKUP(A29,Dividende_je_Aktie!A$3:AM$103,10,FALSE),E29),IF(VLOOKUP(A29,Dividende_je_Aktie!A$3:AM$103,10,FALSE)&lt;&gt;"",VLOOKUP(A29,Dividende_je_Aktie!A$3:AM$103,10,FALSE),""))</f>
        <v>0</v>
      </c>
      <c r="Q29" s="13">
        <f>IF(F29&gt;0,IF(VLOOKUP(A29,Dividende_je_Aktie!A$3:AM$103,11,FALSE)&lt;&gt;"",F29+VLOOKUP(A29,Dividende_je_Aktie!A$3:AM$103,11,FALSE),F29),IF(VLOOKUP(A29,Dividende_je_Aktie!A$3:AM$103,11,FALSE)&lt;&gt;"",VLOOKUP(A29,Dividende_je_Aktie!A$3:AM$103,11,FALSE),""))</f>
        <v>0</v>
      </c>
      <c r="R29" s="13">
        <f>IF(G29&gt;0,IF(VLOOKUP(A29,Dividende_je_Aktie!A$3:AM$103,12,FALSE)&lt;&gt;"",G29+VLOOKUP(A29,Dividende_je_Aktie!A$3:AM$103,12,FALSE),G29),IF(VLOOKUP(A29,Dividende_je_Aktie!A$3:AM$103,12,FALSE)&lt;&gt;"",VLOOKUP(A29,Dividende_je_Aktie!A$3:AM$103,12,FALSE),""))</f>
        <v>0</v>
      </c>
      <c r="S29" s="13">
        <f>IF(H29&gt;0,IF(VLOOKUP(A29,Dividende_je_Aktie!A$3:AM$103,13,FALSE)&lt;&gt;"",H29+VLOOKUP(A29,Dividende_je_Aktie!A$3:AM$103,13,FALSE),H29),IF(VLOOKUP(A29,Dividende_je_Aktie!A$3:AM$103,13,FALSE)&lt;&gt;"",VLOOKUP(A29,Dividende_je_Aktie!A$3:AM$103,13,FALSE),""))</f>
        <v>0</v>
      </c>
      <c r="T29" s="13">
        <f>IF(I29&gt;0,IF(VLOOKUP(A29,Dividende_je_Aktie!A$3:AM$103,14,FALSE)&lt;&gt;"",I29+VLOOKUP(A29,Dividende_je_Aktie!A$3:AM$103,14,FALSE),I29),IF(VLOOKUP(A29,Dividende_je_Aktie!A$3:AM$103,14,FALSE)&lt;&gt;"",VLOOKUP(A29,Dividende_je_Aktie!A$3:AM$103,14,FALSE),""))</f>
        <v>0</v>
      </c>
      <c r="U29" s="13">
        <f>IF(J29&gt;0,IF(VLOOKUP(A29,Dividende_je_Aktie!A$3:AM$103,15,FALSE)&lt;&gt;"",J29+VLOOKUP(A29,Dividende_je_Aktie!A$3:AM$103,15,FALSE),J29),IF(VLOOKUP(A29,Dividende_je_Aktie!A$3:AM$103,15,FALSE)&lt;&gt;"",VLOOKUP(A29,Dividende_je_Aktie!A$3:AM$103,15,FALSE),""))</f>
        <v>0</v>
      </c>
      <c r="V29" s="13">
        <f>IF(K29&gt;0,IF(VLOOKUP(A29,Dividende_je_Aktie!A$3:AM$103,16,FALSE)&lt;&gt;"",K29+VLOOKUP(A29,Dividende_je_Aktie!A$3:AM$103,16,FALSE),K29),IF(VLOOKUP(A29,Dividende_je_Aktie!A$3:AM$103,16,FALSE)&lt;&gt;"",VLOOKUP(A29,Dividende_je_Aktie!A$3:AM$103,16,FALSE),""))</f>
        <v>0</v>
      </c>
      <c r="W29" s="13">
        <f>IF(L29&gt;0,IF(VLOOKUP(A29,Dividende_je_Aktie!A$3:AM$103,17,FALSE)&lt;&gt;"",L29+VLOOKUP(A29,Dividende_je_Aktie!A$3:AM$103,17,FALSE),L29),IF(VLOOKUP(A29,Dividende_je_Aktie!A$3:AM$103,17,FALSE)&lt;&gt;"",VLOOKUP(A29,Dividende_je_Aktie!A$3:AM$103,17,FALSE),""))</f>
        <v>0</v>
      </c>
      <c r="X29" s="13">
        <f>IF(M29&gt;0,IF(VLOOKUP(A29,Dividende_je_Aktie!A$3:AM$103,18,FALSE)&lt;&gt;"",M29+VLOOKUP(A29,Dividende_je_Aktie!A$3:AM$103,18,FALSE),M29),IF(VLOOKUP(A29,Dividende_je_Aktie!A$3:AM$103,18,FALSE)&lt;&gt;"",VLOOKUP(A29,Dividende_je_Aktie!A$3:AM$103,18,FALSE),""))</f>
        <v>0</v>
      </c>
    </row>
    <row r="30" spans="1:24">
      <c r="A30" t="s">
        <v>91</v>
      </c>
      <c r="B30" t="s">
        <v>194</v>
      </c>
      <c r="C30" s="13">
        <f>IF(VLOOKUP(A30,Aktien_im_Umlauf_splitbereinigt!A$3:AM$103,4,FALSE)&lt;&gt;"",IF(VLOOKUP(A30,Aktien_im_Umlauf_splitbereinigt!A$3:AM$103,3,FALSE)&lt;&gt;"",IF(VLOOKUP(A30,Schlußkurse!A$5:AU$105,36,FALSE)&gt;0,((VLOOKUP(A30,Aktien_im_Umlauf_splitbereinigt!A$3:AM$103,4,FALSE)-VLOOKUP(A30,Aktien_im_Umlauf_splitbereinigt!A$3:AM$103,3,FALSE))*VLOOKUP(A30,Schlußkurse!A$5:AU$105,36,FALSE))/VLOOKUP(A30,Aktien_im_Umlauf_splitbereinigt!A$3:AM$103,3,FALSE),0),0),0)</f>
        <v>0</v>
      </c>
      <c r="D30" s="97">
        <f>IF(VLOOKUP(A30,Aktien_im_Umlauf_splitbereinigt!A$3:AM$103,5,FALSE)&lt;&gt;"",IF(VLOOKUP(A30,Aktien_im_Umlauf_splitbereinigt!A$3:AM$103,4,FALSE)&lt;&gt;"",IF(VLOOKUP(A30,Schlußkurse!A$5:AU$105,37,FALSE)&gt;0,((VLOOKUP(A30,Aktien_im_Umlauf_splitbereinigt!A$3:AM$103,5,FALSE)-VLOOKUP(A30,Aktien_im_Umlauf_splitbereinigt!A$3:AM$103,4,FALSE))*VLOOKUP(A30,Schlußkurse!A$5:AU$105,37,FALSE))/VLOOKUP(A30,Aktien_im_Umlauf_splitbereinigt!A$3:AM$103,4,FALSE),0),0),0)</f>
        <v>-8.5613464268812116</v>
      </c>
      <c r="E30" s="97">
        <f>IF(VLOOKUP(A30,Aktien_im_Umlauf_splitbereinigt!A$3:AM$103,6,FALSE)&lt;&gt;"",IF(VLOOKUP(A30,Aktien_im_Umlauf_splitbereinigt!A$3:AM$103,5,FALSE)&lt;&gt;"",IF(VLOOKUP(A30,Schlußkurse!A$5:AU$105,38,FALSE)&gt;0,((VLOOKUP(A30,Aktien_im_Umlauf_splitbereinigt!A$3:AM$103,6,FALSE)-VLOOKUP(A30,Aktien_im_Umlauf_splitbereinigt!A$3:AM$103,5,FALSE))*VLOOKUP(A30,Schlußkurse!A$5:AU$105,38,FALSE))/VLOOKUP(A30,Aktien_im_Umlauf_splitbereinigt!A$3:AM$103,5,FALSE),0),0),0)</f>
        <v>3.9056253413435527</v>
      </c>
      <c r="F30" s="97">
        <f>IF(VLOOKUP(A30,Aktien_im_Umlauf_splitbereinigt!A$3:AM$103,7,FALSE)&lt;&gt;"",IF(VLOOKUP(A30,Aktien_im_Umlauf_splitbereinigt!A$3:AM$103,6,FALSE)&lt;&gt;"",IF(VLOOKUP(A30,Schlußkurse!A$5:AU$105,39,FALSE)&gt;0,((VLOOKUP(A30,Aktien_im_Umlauf_splitbereinigt!A$3:AM$103,7,FALSE)-VLOOKUP(A30,Aktien_im_Umlauf_splitbereinigt!A$3:AM$103,6,FALSE))*VLOOKUP(A30,Schlußkurse!A$5:AU$105,39,FALSE))/VLOOKUP(A30,Aktien_im_Umlauf_splitbereinigt!A$3:AM$103,6,FALSE),0),0),0)</f>
        <v>4.3502989375112406</v>
      </c>
      <c r="G30" s="97">
        <f>IF(VLOOKUP(A30,Aktien_im_Umlauf_splitbereinigt!A$3:AM$103,8,FALSE)&lt;&gt;"",IF(VLOOKUP(A30,Aktien_im_Umlauf_splitbereinigt!A$3:AM$103,7,FALSE)&lt;&gt;"",IF(VLOOKUP(A30,Schlußkurse!A$5:AU$105,40,FALSE)&gt;0,((VLOOKUP(A30,Aktien_im_Umlauf_splitbereinigt!A$3:AM$103,8,FALSE)-VLOOKUP(A30,Aktien_im_Umlauf_splitbereinigt!A$3:AM$103,7,FALSE))*VLOOKUP(A30,Schlußkurse!A$5:AU$105,40,FALSE))/VLOOKUP(A30,Aktien_im_Umlauf_splitbereinigt!A$3:AM$103,7,FALSE),0),0),0)</f>
        <v>-37.234238512553283</v>
      </c>
      <c r="H30" s="97">
        <f>IF(VLOOKUP(A30,Aktien_im_Umlauf_splitbereinigt!A$3:AM$103,9,FALSE)&lt;&gt;"",IF(VLOOKUP(A30,Aktien_im_Umlauf_splitbereinigt!A$3:AM$103,8,FALSE)&lt;&gt;"",IF(VLOOKUP(A30,Schlußkurse!A$5:AU$105,41,FALSE)&gt;0,((VLOOKUP(A30,Aktien_im_Umlauf_splitbereinigt!A$3:AM$103,9,FALSE)-VLOOKUP(A30,Aktien_im_Umlauf_splitbereinigt!A$3:AM$103,8,FALSE))*VLOOKUP(A30,Schlußkurse!A$5:AU$105,41,FALSE))/VLOOKUP(A30,Aktien_im_Umlauf_splitbereinigt!A$3:AM$103,8,FALSE),0),0),0)</f>
        <v>-9.3458211757908671</v>
      </c>
      <c r="I30" s="97">
        <f>IF(VLOOKUP(A30,Aktien_im_Umlauf_splitbereinigt!A$3:AM$103,10,FALSE)&lt;&gt;"",IF(VLOOKUP(A30,Aktien_im_Umlauf_splitbereinigt!A$3:AM$103,9,FALSE)&lt;&gt;"",IF(VLOOKUP(A30,Schlußkurse!A$5:AU$105,42,FALSE)&gt;0,((VLOOKUP(A30,Aktien_im_Umlauf_splitbereinigt!A$3:AM$103,10,FALSE)-VLOOKUP(A30,Aktien_im_Umlauf_splitbereinigt!A$3:AM$103,9,FALSE))*VLOOKUP(A30,Schlußkurse!A$5:AU$105,42,FALSE))/VLOOKUP(A30,Aktien_im_Umlauf_splitbereinigt!A$3:AM$103,9,FALSE),0),0),0)</f>
        <v>0</v>
      </c>
      <c r="J30" s="97">
        <f>IF(VLOOKUP(A30,Aktien_im_Umlauf_splitbereinigt!A$3:AM$103,11,FALSE)&lt;&gt;"",IF(VLOOKUP(A30,Aktien_im_Umlauf_splitbereinigt!A$3:AM$103,10,FALSE)&lt;&gt;"",IF(VLOOKUP(A30,Schlußkurse!A$5:AU$105,43,FALSE)&gt;0,((VLOOKUP(A30,Aktien_im_Umlauf_splitbereinigt!A$3:AM$103,11,FALSE)-VLOOKUP(A30,Aktien_im_Umlauf_splitbereinigt!A$3:AM$103,10,FALSE))*VLOOKUP(A30,Schlußkurse!A$5:AU$105,43,FALSE))/VLOOKUP(A30,Aktien_im_Umlauf_splitbereinigt!A$3:AM$103,10,FALSE),0),0),0)</f>
        <v>0</v>
      </c>
      <c r="K30" s="97">
        <f>IF(VLOOKUP(A30,Aktien_im_Umlauf_splitbereinigt!A$3:AM$103,12,FALSE)&lt;&gt;"",IF(VLOOKUP(A30,Aktien_im_Umlauf_splitbereinigt!A$3:AM$103,11,FALSE)&lt;&gt;"",IF(VLOOKUP(A30,Schlußkurse!A$5:AU$105,44,FALSE)&gt;0,((VLOOKUP(A30,Aktien_im_Umlauf_splitbereinigt!A$3:AM$103,12,FALSE)-VLOOKUP(A30,Aktien_im_Umlauf_splitbereinigt!A$3:AM$103,11,FALSE))*VLOOKUP(A30,Schlußkurse!A$5:AU$105,44,FALSE))/VLOOKUP(A30,Aktien_im_Umlauf_splitbereinigt!A$3:AM$103,11,FALSE),0),0),0)</f>
        <v>0</v>
      </c>
      <c r="L30" s="97">
        <f>IF(VLOOKUP(A30,Aktien_im_Umlauf_splitbereinigt!A$3:AM$103,13,FALSE)&lt;&gt;"",IF(VLOOKUP(A30,Aktien_im_Umlauf_splitbereinigt!A$3:AM$103,12,FALSE)&lt;&gt;"",IF(VLOOKUP(A30,Schlußkurse!A$5:AU$105,45,FALSE)&gt;0,((VLOOKUP(A30,Aktien_im_Umlauf_splitbereinigt!A$3:AM$103,13,FALSE)-VLOOKUP(A30,Aktien_im_Umlauf_splitbereinigt!A$3:AM$103,12,FALSE))*VLOOKUP(A30,Schlußkurse!A$5:AU$105,45,FALSE))/VLOOKUP(A30,Aktien_im_Umlauf_splitbereinigt!A$3:AM$103,12,FALSE),0),0),0)</f>
        <v>0</v>
      </c>
      <c r="M30" s="97">
        <f>IF(VLOOKUP(A30,Aktien_im_Umlauf_splitbereinigt!A$3:AM$103,14,FALSE)&lt;&gt;"",IF(VLOOKUP(A30,Aktien_im_Umlauf_splitbereinigt!A$3:AM$103,13,FALSE)&lt;&gt;"",IF(VLOOKUP(A30,Schlußkurse!A$5:AU$105,46,FALSE)&gt;0,((VLOOKUP(A30,Aktien_im_Umlauf_splitbereinigt!A$3:AM$103,14,FALSE)-VLOOKUP(A30,Aktien_im_Umlauf_splitbereinigt!A$3:AM$103,13,FALSE))*VLOOKUP(A30,Schlußkurse!A$5:AU$105,46,FALSE))/VLOOKUP(A30,Aktien_im_Umlauf_splitbereinigt!A$3:AM$103,13,FALSE),0),0),0)</f>
        <v>0</v>
      </c>
      <c r="N30" s="13">
        <f>IF(C30&gt;0,IF(VLOOKUP(A30,Dividende_je_Aktie!A$3:AM$103,8,FALSE)&lt;&gt;"",C30+VLOOKUP(A30,Dividende_je_Aktie!A$3:AM$103,8,FALSE),C30),IF(VLOOKUP(A30,Dividende_je_Aktie!A$3:AM$103,8,FALSE)&lt;&gt;"",VLOOKUP(A30,Dividende_je_Aktie!A$3:AM$103,8,FALSE),""))</f>
        <v>9.18</v>
      </c>
      <c r="O30" s="13">
        <f>IF(D30&gt;0,IF(VLOOKUP(A30,Dividende_je_Aktie!A$3:AM$103,9,FALSE)&lt;&gt;"",D30+VLOOKUP(A30,Dividende_je_Aktie!A$3:AM$103,9,FALSE),D30),IF(VLOOKUP(A30,Dividende_je_Aktie!A$3:AM$103,9,FALSE)&lt;&gt;"",VLOOKUP(A30,Dividende_je_Aktie!A$3:AM$103,9,FALSE),""))</f>
        <v>8.7200000000000006</v>
      </c>
      <c r="P30" s="13">
        <f>IF(E30&gt;0,IF(VLOOKUP(A30,Dividende_je_Aktie!A$3:AM$103,10,FALSE)&lt;&gt;"",E30+VLOOKUP(A30,Dividende_je_Aktie!A$3:AM$103,10,FALSE),E30),IF(VLOOKUP(A30,Dividende_je_Aktie!A$3:AM$103,10,FALSE)&lt;&gt;"",VLOOKUP(A30,Dividende_je_Aktie!A$3:AM$103,10,FALSE),""))</f>
        <v>11.625625341343552</v>
      </c>
      <c r="Q30" s="13">
        <f>IF(F30&gt;0,IF(VLOOKUP(A30,Dividende_je_Aktie!A$3:AM$103,11,FALSE)&lt;&gt;"",F30+VLOOKUP(A30,Dividende_je_Aktie!A$3:AM$103,11,FALSE),F30),IF(VLOOKUP(A30,Dividende_je_Aktie!A$3:AM$103,11,FALSE)&lt;&gt;"",VLOOKUP(A30,Dividende_je_Aktie!A$3:AM$103,11,FALSE),""))</f>
        <v>11.07029893751124</v>
      </c>
      <c r="R30" s="13">
        <f>IF(G30&gt;0,IF(VLOOKUP(A30,Dividende_je_Aktie!A$3:AM$103,12,FALSE)&lt;&gt;"",G30+VLOOKUP(A30,Dividende_je_Aktie!A$3:AM$103,12,FALSE),G30),IF(VLOOKUP(A30,Dividende_je_Aktie!A$3:AM$103,12,FALSE)&lt;&gt;"",VLOOKUP(A30,Dividende_je_Aktie!A$3:AM$103,12,FALSE),""))</f>
        <v>6</v>
      </c>
      <c r="S30" s="13">
        <f>IF(H30&gt;0,IF(VLOOKUP(A30,Dividende_je_Aktie!A$3:AM$103,13,FALSE)&lt;&gt;"",H30+VLOOKUP(A30,Dividende_je_Aktie!A$3:AM$103,13,FALSE),H30),IF(VLOOKUP(A30,Dividende_je_Aktie!A$3:AM$103,13,FALSE)&lt;&gt;"",VLOOKUP(A30,Dividende_je_Aktie!A$3:AM$103,13,FALSE),""))</f>
        <v>5.5</v>
      </c>
      <c r="T30" s="13">
        <f>IF(I30&gt;0,IF(VLOOKUP(A30,Dividende_je_Aktie!A$3:AM$103,14,FALSE)&lt;&gt;"",I30+VLOOKUP(A30,Dividende_je_Aktie!A$3:AM$103,14,FALSE),I30),IF(VLOOKUP(A30,Dividende_je_Aktie!A$3:AM$103,14,FALSE)&lt;&gt;"",VLOOKUP(A30,Dividende_je_Aktie!A$3:AM$103,14,FALSE),""))</f>
        <v>4</v>
      </c>
      <c r="U30" s="13">
        <f>IF(J30&gt;0,IF(VLOOKUP(A30,Dividende_je_Aktie!A$3:AM$103,15,FALSE)&lt;&gt;"",J30+VLOOKUP(A30,Dividende_je_Aktie!A$3:AM$103,15,FALSE),J30),IF(VLOOKUP(A30,Dividende_je_Aktie!A$3:AM$103,15,FALSE)&lt;&gt;"",VLOOKUP(A30,Dividende_je_Aktie!A$3:AM$103,15,FALSE),""))</f>
        <v>3.12</v>
      </c>
      <c r="V30" s="13">
        <f>IF(K30&gt;0,IF(VLOOKUP(A30,Dividende_je_Aktie!A$3:AM$103,16,FALSE)&lt;&gt;"",K30+VLOOKUP(A30,Dividende_je_Aktie!A$3:AM$103,16,FALSE),K30),IF(VLOOKUP(A30,Dividende_je_Aktie!A$3:AM$103,16,FALSE)&lt;&gt;"",VLOOKUP(A30,Dividende_je_Aktie!A$3:AM$103,16,FALSE),""))</f>
        <v>3.12</v>
      </c>
      <c r="W30" s="13">
        <f>IF(L30&gt;0,IF(VLOOKUP(A30,Dividende_je_Aktie!A$3:AM$103,17,FALSE)&lt;&gt;"",L30+VLOOKUP(A30,Dividende_je_Aktie!A$3:AM$103,17,FALSE),L30),IF(VLOOKUP(A30,Dividende_je_Aktie!A$3:AM$103,17,FALSE)&lt;&gt;"",VLOOKUP(A30,Dividende_je_Aktie!A$3:AM$103,17,FALSE),""))</f>
        <v>2.68</v>
      </c>
      <c r="X30" s="13">
        <f>IF(M30&gt;0,IF(VLOOKUP(A30,Dividende_je_Aktie!A$3:AM$103,18,FALSE)&lt;&gt;"",M30+VLOOKUP(A30,Dividende_je_Aktie!A$3:AM$103,18,FALSE),M30),IF(VLOOKUP(A30,Dividende_je_Aktie!A$3:AM$103,18,FALSE)&lt;&gt;"",VLOOKUP(A30,Dividende_je_Aktie!A$3:AM$103,18,FALSE),""))</f>
        <v>1.68</v>
      </c>
    </row>
    <row r="31" spans="1:24">
      <c r="A31" s="52" t="s">
        <v>267</v>
      </c>
      <c r="B31" s="52" t="s">
        <v>273</v>
      </c>
      <c r="C31" s="13">
        <f>IF(VLOOKUP(A31,Aktien_im_Umlauf_splitbereinigt!A$3:AM$103,4,FALSE)&lt;&gt;"",IF(VLOOKUP(A31,Aktien_im_Umlauf_splitbereinigt!A$3:AM$103,3,FALSE)&lt;&gt;"",IF(VLOOKUP(A31,Schlußkurse!A$5:AU$105,36,FALSE)&gt;0,((VLOOKUP(A31,Aktien_im_Umlauf_splitbereinigt!A$3:AM$103,4,FALSE)-VLOOKUP(A31,Aktien_im_Umlauf_splitbereinigt!A$3:AM$103,3,FALSE))*VLOOKUP(A31,Schlußkurse!A$5:AU$105,36,FALSE))/VLOOKUP(A31,Aktien_im_Umlauf_splitbereinigt!A$3:AM$103,3,FALSE),0),0),0)</f>
        <v>0</v>
      </c>
      <c r="D31" s="97">
        <f>IF(VLOOKUP(A31,Aktien_im_Umlauf_splitbereinigt!A$3:AM$103,5,FALSE)&lt;&gt;"",IF(VLOOKUP(A31,Aktien_im_Umlauf_splitbereinigt!A$3:AM$103,4,FALSE)&lt;&gt;"",IF(VLOOKUP(A31,Schlußkurse!A$5:AU$105,37,FALSE)&gt;0,((VLOOKUP(A31,Aktien_im_Umlauf_splitbereinigt!A$3:AM$103,5,FALSE)-VLOOKUP(A31,Aktien_im_Umlauf_splitbereinigt!A$3:AM$103,4,FALSE))*VLOOKUP(A31,Schlußkurse!A$5:AU$105,37,FALSE))/VLOOKUP(A31,Aktien_im_Umlauf_splitbereinigt!A$3:AM$103,4,FALSE),0),0),0)</f>
        <v>3.463242506811989</v>
      </c>
      <c r="E31" s="97">
        <f>IF(VLOOKUP(A31,Aktien_im_Umlauf_splitbereinigt!A$3:AM$103,6,FALSE)&lt;&gt;"",IF(VLOOKUP(A31,Aktien_im_Umlauf_splitbereinigt!A$3:AM$103,5,FALSE)&lt;&gt;"",IF(VLOOKUP(A31,Schlußkurse!A$5:AU$105,38,FALSE)&gt;0,((VLOOKUP(A31,Aktien_im_Umlauf_splitbereinigt!A$3:AM$103,6,FALSE)-VLOOKUP(A31,Aktien_im_Umlauf_splitbereinigt!A$3:AM$103,5,FALSE))*VLOOKUP(A31,Schlußkurse!A$5:AU$105,38,FALSE))/VLOOKUP(A31,Aktien_im_Umlauf_splitbereinigt!A$3:AM$103,5,FALSE),0),0),0)</f>
        <v>3.3792982456140352</v>
      </c>
      <c r="F31" s="97">
        <f>IF(VLOOKUP(A31,Aktien_im_Umlauf_splitbereinigt!A$3:AM$103,7,FALSE)&lt;&gt;"",IF(VLOOKUP(A31,Aktien_im_Umlauf_splitbereinigt!A$3:AM$103,6,FALSE)&lt;&gt;"",IF(VLOOKUP(A31,Schlußkurse!A$5:AU$105,39,FALSE)&gt;0,((VLOOKUP(A31,Aktien_im_Umlauf_splitbereinigt!A$3:AM$103,7,FALSE)-VLOOKUP(A31,Aktien_im_Umlauf_splitbereinigt!A$3:AM$103,6,FALSE))*VLOOKUP(A31,Schlußkurse!A$5:AU$105,39,FALSE))/VLOOKUP(A31,Aktien_im_Umlauf_splitbereinigt!A$3:AM$103,6,FALSE),0),0),0)</f>
        <v>3.0932796610169491</v>
      </c>
      <c r="G31" s="97">
        <f>IF(VLOOKUP(A31,Aktien_im_Umlauf_splitbereinigt!A$3:AM$103,8,FALSE)&lt;&gt;"",IF(VLOOKUP(A31,Aktien_im_Umlauf_splitbereinigt!A$3:AM$103,7,FALSE)&lt;&gt;"",IF(VLOOKUP(A31,Schlußkurse!A$5:AU$105,40,FALSE)&gt;0,((VLOOKUP(A31,Aktien_im_Umlauf_splitbereinigt!A$3:AM$103,8,FALSE)-VLOOKUP(A31,Aktien_im_Umlauf_splitbereinigt!A$3:AM$103,7,FALSE))*VLOOKUP(A31,Schlußkurse!A$5:AU$105,40,FALSE))/VLOOKUP(A31,Aktien_im_Umlauf_splitbereinigt!A$3:AM$103,7,FALSE),0),0),0)</f>
        <v>2.6315597075548336</v>
      </c>
      <c r="H31" s="97">
        <f>IF(VLOOKUP(A31,Aktien_im_Umlauf_splitbereinigt!A$3:AM$103,9,FALSE)&lt;&gt;"",IF(VLOOKUP(A31,Aktien_im_Umlauf_splitbereinigt!A$3:AM$103,8,FALSE)&lt;&gt;"",IF(VLOOKUP(A31,Schlußkurse!A$5:AU$105,41,FALSE)&gt;0,((VLOOKUP(A31,Aktien_im_Umlauf_splitbereinigt!A$3:AM$103,9,FALSE)-VLOOKUP(A31,Aktien_im_Umlauf_splitbereinigt!A$3:AM$103,8,FALSE))*VLOOKUP(A31,Schlußkurse!A$5:AU$105,41,FALSE))/VLOOKUP(A31,Aktien_im_Umlauf_splitbereinigt!A$3:AM$103,8,FALSE),0),0),0)</f>
        <v>2.0421417565485362</v>
      </c>
      <c r="I31" s="97">
        <f>IF(VLOOKUP(A31,Aktien_im_Umlauf_splitbereinigt!A$3:AM$103,10,FALSE)&lt;&gt;"",IF(VLOOKUP(A31,Aktien_im_Umlauf_splitbereinigt!A$3:AM$103,9,FALSE)&lt;&gt;"",IF(VLOOKUP(A31,Schlußkurse!A$5:AU$105,42,FALSE)&gt;0,((VLOOKUP(A31,Aktien_im_Umlauf_splitbereinigt!A$3:AM$103,10,FALSE)-VLOOKUP(A31,Aktien_im_Umlauf_splitbereinigt!A$3:AM$103,9,FALSE))*VLOOKUP(A31,Schlußkurse!A$5:AU$105,42,FALSE))/VLOOKUP(A31,Aktien_im_Umlauf_splitbereinigt!A$3:AM$103,9,FALSE),0),0),0)</f>
        <v>0.71427732942039623</v>
      </c>
      <c r="J31" s="97">
        <f>IF(VLOOKUP(A31,Aktien_im_Umlauf_splitbereinigt!A$3:AM$103,11,FALSE)&lt;&gt;"",IF(VLOOKUP(A31,Aktien_im_Umlauf_splitbereinigt!A$3:AM$103,10,FALSE)&lt;&gt;"",IF(VLOOKUP(A31,Schlußkurse!A$5:AU$105,43,FALSE)&gt;0,((VLOOKUP(A31,Aktien_im_Umlauf_splitbereinigt!A$3:AM$103,11,FALSE)-VLOOKUP(A31,Aktien_im_Umlauf_splitbereinigt!A$3:AM$103,10,FALSE))*VLOOKUP(A31,Schlußkurse!A$5:AU$105,43,FALSE))/VLOOKUP(A31,Aktien_im_Umlauf_splitbereinigt!A$3:AM$103,10,FALSE),0),0),0)</f>
        <v>1.111488138030194</v>
      </c>
      <c r="K31" s="97">
        <f>IF(VLOOKUP(A31,Aktien_im_Umlauf_splitbereinigt!A$3:AM$103,12,FALSE)&lt;&gt;"",IF(VLOOKUP(A31,Aktien_im_Umlauf_splitbereinigt!A$3:AM$103,11,FALSE)&lt;&gt;"",IF(VLOOKUP(A31,Schlußkurse!A$5:AU$105,44,FALSE)&gt;0,((VLOOKUP(A31,Aktien_im_Umlauf_splitbereinigt!A$3:AM$103,12,FALSE)-VLOOKUP(A31,Aktien_im_Umlauf_splitbereinigt!A$3:AM$103,11,FALSE))*VLOOKUP(A31,Schlußkurse!A$5:AU$105,44,FALSE))/VLOOKUP(A31,Aktien_im_Umlauf_splitbereinigt!A$3:AM$103,11,FALSE),0),0),0)</f>
        <v>-3.9944405837387072E-2</v>
      </c>
      <c r="L31" s="97">
        <f>IF(VLOOKUP(A31,Aktien_im_Umlauf_splitbereinigt!A$3:AM$103,13,FALSE)&lt;&gt;"",IF(VLOOKUP(A31,Aktien_im_Umlauf_splitbereinigt!A$3:AM$103,12,FALSE)&lt;&gt;"",IF(VLOOKUP(A31,Schlußkurse!A$5:AU$105,45,FALSE)&gt;0,((VLOOKUP(A31,Aktien_im_Umlauf_splitbereinigt!A$3:AM$103,13,FALSE)-VLOOKUP(A31,Aktien_im_Umlauf_splitbereinigt!A$3:AM$103,12,FALSE))*VLOOKUP(A31,Schlußkurse!A$5:AU$105,45,FALSE))/VLOOKUP(A31,Aktien_im_Umlauf_splitbereinigt!A$3:AM$103,12,FALSE),0),0),0)</f>
        <v>0</v>
      </c>
      <c r="M31" s="97">
        <f>IF(VLOOKUP(A31,Aktien_im_Umlauf_splitbereinigt!A$3:AM$103,14,FALSE)&lt;&gt;"",IF(VLOOKUP(A31,Aktien_im_Umlauf_splitbereinigt!A$3:AM$103,13,FALSE)&lt;&gt;"",IF(VLOOKUP(A31,Schlußkurse!A$5:AU$105,46,FALSE)&gt;0,((VLOOKUP(A31,Aktien_im_Umlauf_splitbereinigt!A$3:AM$103,14,FALSE)-VLOOKUP(A31,Aktien_im_Umlauf_splitbereinigt!A$3:AM$103,13,FALSE))*VLOOKUP(A31,Schlußkurse!A$5:AU$105,46,FALSE))/VLOOKUP(A31,Aktien_im_Umlauf_splitbereinigt!A$3:AM$103,13,FALSE),0),0),0)</f>
        <v>0</v>
      </c>
      <c r="N31" s="13">
        <f>IF(C31&gt;0,IF(VLOOKUP(A31,Dividende_je_Aktie!A$3:AM$103,8,FALSE)&lt;&gt;"",C31+VLOOKUP(A31,Dividende_je_Aktie!A$3:AM$103,8,FALSE),C31),IF(VLOOKUP(A31,Dividende_je_Aktie!A$3:AM$103,8,FALSE)&lt;&gt;"",VLOOKUP(A31,Dividende_je_Aktie!A$3:AM$103,8,FALSE),""))</f>
        <v>1.63</v>
      </c>
      <c r="O31" s="13">
        <f>IF(D31&gt;0,IF(VLOOKUP(A31,Dividende_je_Aktie!A$3:AM$103,9,FALSE)&lt;&gt;"",D31+VLOOKUP(A31,Dividende_je_Aktie!A$3:AM$103,9,FALSE),D31),IF(VLOOKUP(A31,Dividende_je_Aktie!A$3:AM$103,9,FALSE)&lt;&gt;"",VLOOKUP(A31,Dividende_je_Aktie!A$3:AM$103,9,FALSE),""))</f>
        <v>4.8632425068119893</v>
      </c>
      <c r="P31" s="13">
        <f>IF(E31&gt;0,IF(VLOOKUP(A31,Dividende_je_Aktie!A$3:AM$103,10,FALSE)&lt;&gt;"",E31+VLOOKUP(A31,Dividende_je_Aktie!A$3:AM$103,10,FALSE),E31),IF(VLOOKUP(A31,Dividende_je_Aktie!A$3:AM$103,10,FALSE)&lt;&gt;"",VLOOKUP(A31,Dividende_je_Aktie!A$3:AM$103,10,FALSE),""))</f>
        <v>4.4792982456140358</v>
      </c>
      <c r="Q31" s="13">
        <f>IF(F31&gt;0,IF(VLOOKUP(A31,Dividende_je_Aktie!A$3:AM$103,11,FALSE)&lt;&gt;"",F31+VLOOKUP(A31,Dividende_je_Aktie!A$3:AM$103,11,FALSE),F31),IF(VLOOKUP(A31,Dividende_je_Aktie!A$3:AM$103,11,FALSE)&lt;&gt;"",VLOOKUP(A31,Dividende_je_Aktie!A$3:AM$103,11,FALSE),""))</f>
        <v>3.993279661016949</v>
      </c>
      <c r="R31" s="13">
        <f>IF(G31&gt;0,IF(VLOOKUP(A31,Dividende_je_Aktie!A$3:AM$103,12,FALSE)&lt;&gt;"",G31+VLOOKUP(A31,Dividende_je_Aktie!A$3:AM$103,12,FALSE),G31),IF(VLOOKUP(A31,Dividende_je_Aktie!A$3:AM$103,12,FALSE)&lt;&gt;"",VLOOKUP(A31,Dividende_je_Aktie!A$3:AM$103,12,FALSE),""))</f>
        <v>3.2815597075548335</v>
      </c>
      <c r="S31" s="13">
        <f>IF(H31&gt;0,IF(VLOOKUP(A31,Dividende_je_Aktie!A$3:AM$103,13,FALSE)&lt;&gt;"",H31+VLOOKUP(A31,Dividende_je_Aktie!A$3:AM$103,13,FALSE),H31),IF(VLOOKUP(A31,Dividende_je_Aktie!A$3:AM$103,13,FALSE)&lt;&gt;"",VLOOKUP(A31,Dividende_je_Aktie!A$3:AM$103,13,FALSE),""))</f>
        <v>2.5421417565485362</v>
      </c>
      <c r="T31" s="13">
        <f>IF(I31&gt;0,IF(VLOOKUP(A31,Dividende_je_Aktie!A$3:AM$103,14,FALSE)&lt;&gt;"",I31+VLOOKUP(A31,Dividende_je_Aktie!A$3:AM$103,14,FALSE),I31),IF(VLOOKUP(A31,Dividende_je_Aktie!A$3:AM$103,14,FALSE)&lt;&gt;"",VLOOKUP(A31,Dividende_je_Aktie!A$3:AM$103,14,FALSE),""))</f>
        <v>1.0642773294203962</v>
      </c>
      <c r="U31" s="13">
        <f>IF(J31&gt;0,IF(VLOOKUP(A31,Dividende_je_Aktie!A$3:AM$103,15,FALSE)&lt;&gt;"",J31+VLOOKUP(A31,Dividende_je_Aktie!A$3:AM$103,15,FALSE),J31),IF(VLOOKUP(A31,Dividende_je_Aktie!A$3:AM$103,15,FALSE)&lt;&gt;"",VLOOKUP(A31,Dividende_je_Aktie!A$3:AM$103,15,FALSE),""))</f>
        <v>1.4164881380301939</v>
      </c>
      <c r="V31" s="13">
        <f>IF(K31&gt;0,IF(VLOOKUP(A31,Dividende_je_Aktie!A$3:AM$103,16,FALSE)&lt;&gt;"",K31+VLOOKUP(A31,Dividende_je_Aktie!A$3:AM$103,16,FALSE),K31),IF(VLOOKUP(A31,Dividende_je_Aktie!A$3:AM$103,16,FALSE)&lt;&gt;"",VLOOKUP(A31,Dividende_je_Aktie!A$3:AM$103,16,FALSE),""))</f>
        <v>0.25800000000000001</v>
      </c>
      <c r="W31" s="13">
        <f>IF(L31&gt;0,IF(VLOOKUP(A31,Dividende_je_Aktie!A$3:AM$103,17,FALSE)&lt;&gt;"",L31+VLOOKUP(A31,Dividende_je_Aktie!A$3:AM$103,17,FALSE),L31),IF(VLOOKUP(A31,Dividende_je_Aktie!A$3:AM$103,17,FALSE)&lt;&gt;"",VLOOKUP(A31,Dividende_je_Aktie!A$3:AM$103,17,FALSE),""))</f>
        <v>0.22875000000000001</v>
      </c>
      <c r="X31" s="13">
        <f>IF(M31&gt;0,IF(VLOOKUP(A31,Dividende_je_Aktie!A$3:AM$103,18,FALSE)&lt;&gt;"",M31+VLOOKUP(A31,Dividende_je_Aktie!A$3:AM$103,18,FALSE),M31),IF(VLOOKUP(A31,Dividende_je_Aktie!A$3:AM$103,18,FALSE)&lt;&gt;"",VLOOKUP(A31,Dividende_je_Aktie!A$3:AM$103,18,FALSE),""))</f>
        <v>0.155</v>
      </c>
    </row>
    <row r="32" spans="1:24">
      <c r="A32" s="52" t="s">
        <v>279</v>
      </c>
      <c r="B32" s="52" t="s">
        <v>280</v>
      </c>
      <c r="C32" s="13">
        <f>IF(VLOOKUP(A32,Aktien_im_Umlauf_splitbereinigt!A$3:AM$103,4,FALSE)&lt;&gt;"",IF(VLOOKUP(A32,Aktien_im_Umlauf_splitbereinigt!A$3:AM$103,3,FALSE)&lt;&gt;"",IF(VLOOKUP(A32,Schlußkurse!A$5:AU$105,36,FALSE)&gt;0,((VLOOKUP(A32,Aktien_im_Umlauf_splitbereinigt!A$3:AM$103,4,FALSE)-VLOOKUP(A32,Aktien_im_Umlauf_splitbereinigt!A$3:AM$103,3,FALSE))*VLOOKUP(A32,Schlußkurse!A$5:AU$105,36,FALSE))/VLOOKUP(A32,Aktien_im_Umlauf_splitbereinigt!A$3:AM$103,3,FALSE),0),0),0)</f>
        <v>0</v>
      </c>
      <c r="D32" s="97">
        <f>IF(VLOOKUP(A32,Aktien_im_Umlauf_splitbereinigt!A$3:AM$103,5,FALSE)&lt;&gt;"",IF(VLOOKUP(A32,Aktien_im_Umlauf_splitbereinigt!A$3:AM$103,4,FALSE)&lt;&gt;"",IF(VLOOKUP(A32,Schlußkurse!A$5:AU$105,37,FALSE)&gt;0,((VLOOKUP(A32,Aktien_im_Umlauf_splitbereinigt!A$3:AM$103,5,FALSE)-VLOOKUP(A32,Aktien_im_Umlauf_splitbereinigt!A$3:AM$103,4,FALSE))*VLOOKUP(A32,Schlußkurse!A$5:AU$105,37,FALSE))/VLOOKUP(A32,Aktien_im_Umlauf_splitbereinigt!A$3:AM$103,4,FALSE),0),0),0)</f>
        <v>0.12295771878072763</v>
      </c>
      <c r="E32" s="97">
        <f>IF(VLOOKUP(A32,Aktien_im_Umlauf_splitbereinigt!A$3:AM$103,6,FALSE)&lt;&gt;"",IF(VLOOKUP(A32,Aktien_im_Umlauf_splitbereinigt!A$3:AM$103,5,FALSE)&lt;&gt;"",IF(VLOOKUP(A32,Schlußkurse!A$5:AU$105,38,FALSE)&gt;0,((VLOOKUP(A32,Aktien_im_Umlauf_splitbereinigt!A$3:AM$103,6,FALSE)-VLOOKUP(A32,Aktien_im_Umlauf_splitbereinigt!A$3:AM$103,5,FALSE))*VLOOKUP(A32,Schlußkurse!A$5:AU$105,38,FALSE))/VLOOKUP(A32,Aktien_im_Umlauf_splitbereinigt!A$3:AM$103,5,FALSE),0),0),0)</f>
        <v>1.3931584100254553</v>
      </c>
      <c r="F32" s="97">
        <f>IF(VLOOKUP(A32,Aktien_im_Umlauf_splitbereinigt!A$3:AM$103,7,FALSE)&lt;&gt;"",IF(VLOOKUP(A32,Aktien_im_Umlauf_splitbereinigt!A$3:AM$103,6,FALSE)&lt;&gt;"",IF(VLOOKUP(A32,Schlußkurse!A$5:AU$105,39,FALSE)&gt;0,((VLOOKUP(A32,Aktien_im_Umlauf_splitbereinigt!A$3:AM$103,7,FALSE)-VLOOKUP(A32,Aktien_im_Umlauf_splitbereinigt!A$3:AM$103,6,FALSE))*VLOOKUP(A32,Schlußkurse!A$5:AU$105,39,FALSE))/VLOOKUP(A32,Aktien_im_Umlauf_splitbereinigt!A$3:AM$103,6,FALSE),0),0),0)</f>
        <v>-0.43211913156429765</v>
      </c>
      <c r="G32" s="97">
        <f>IF(VLOOKUP(A32,Aktien_im_Umlauf_splitbereinigt!A$3:AM$103,8,FALSE)&lt;&gt;"",IF(VLOOKUP(A32,Aktien_im_Umlauf_splitbereinigt!A$3:AM$103,7,FALSE)&lt;&gt;"",IF(VLOOKUP(A32,Schlußkurse!A$5:AU$105,40,FALSE)&gt;0,((VLOOKUP(A32,Aktien_im_Umlauf_splitbereinigt!A$3:AM$103,8,FALSE)-VLOOKUP(A32,Aktien_im_Umlauf_splitbereinigt!A$3:AM$103,7,FALSE))*VLOOKUP(A32,Schlußkurse!A$5:AU$105,40,FALSE))/VLOOKUP(A32,Aktien_im_Umlauf_splitbereinigt!A$3:AM$103,7,FALSE),0),0),0)</f>
        <v>0.41244809362023405</v>
      </c>
      <c r="H32" s="97">
        <f>IF(VLOOKUP(A32,Aktien_im_Umlauf_splitbereinigt!A$3:AM$103,9,FALSE)&lt;&gt;"",IF(VLOOKUP(A32,Aktien_im_Umlauf_splitbereinigt!A$3:AM$103,8,FALSE)&lt;&gt;"",IF(VLOOKUP(A32,Schlußkurse!A$5:AU$105,41,FALSE)&gt;0,((VLOOKUP(A32,Aktien_im_Umlauf_splitbereinigt!A$3:AM$103,9,FALSE)-VLOOKUP(A32,Aktien_im_Umlauf_splitbereinigt!A$3:AM$103,8,FALSE))*VLOOKUP(A32,Schlußkurse!A$5:AU$105,41,FALSE))/VLOOKUP(A32,Aktien_im_Umlauf_splitbereinigt!A$3:AM$103,8,FALSE),0),0),0)</f>
        <v>0.64643974241030355</v>
      </c>
      <c r="I32" s="97">
        <f>IF(VLOOKUP(A32,Aktien_im_Umlauf_splitbereinigt!A$3:AM$103,10,FALSE)&lt;&gt;"",IF(VLOOKUP(A32,Aktien_im_Umlauf_splitbereinigt!A$3:AM$103,9,FALSE)&lt;&gt;"",IF(VLOOKUP(A32,Schlußkurse!A$5:AU$105,42,FALSE)&gt;0,((VLOOKUP(A32,Aktien_im_Umlauf_splitbereinigt!A$3:AM$103,10,FALSE)-VLOOKUP(A32,Aktien_im_Umlauf_splitbereinigt!A$3:AM$103,9,FALSE))*VLOOKUP(A32,Schlußkurse!A$5:AU$105,42,FALSE))/VLOOKUP(A32,Aktien_im_Umlauf_splitbereinigt!A$3:AM$103,9,FALSE),0),0),0)</f>
        <v>0.53034482758620693</v>
      </c>
      <c r="J32" s="97">
        <f>IF(VLOOKUP(A32,Aktien_im_Umlauf_splitbereinigt!A$3:AM$103,11,FALSE)&lt;&gt;"",IF(VLOOKUP(A32,Aktien_im_Umlauf_splitbereinigt!A$3:AM$103,10,FALSE)&lt;&gt;"",IF(VLOOKUP(A32,Schlußkurse!A$5:AU$105,43,FALSE)&gt;0,((VLOOKUP(A32,Aktien_im_Umlauf_splitbereinigt!A$3:AM$103,11,FALSE)-VLOOKUP(A32,Aktien_im_Umlauf_splitbereinigt!A$3:AM$103,10,FALSE))*VLOOKUP(A32,Schlußkurse!A$5:AU$105,43,FALSE))/VLOOKUP(A32,Aktien_im_Umlauf_splitbereinigt!A$3:AM$103,10,FALSE),0),0),0)</f>
        <v>0.410904062229905</v>
      </c>
      <c r="K32" s="97">
        <f>IF(VLOOKUP(A32,Aktien_im_Umlauf_splitbereinigt!A$3:AM$103,12,FALSE)&lt;&gt;"",IF(VLOOKUP(A32,Aktien_im_Umlauf_splitbereinigt!A$3:AM$103,11,FALSE)&lt;&gt;"",IF(VLOOKUP(A32,Schlußkurse!A$5:AU$105,44,FALSE)&gt;0,((VLOOKUP(A32,Aktien_im_Umlauf_splitbereinigt!A$3:AM$103,12,FALSE)-VLOOKUP(A32,Aktien_im_Umlauf_splitbereinigt!A$3:AM$103,11,FALSE))*VLOOKUP(A32,Schlußkurse!A$5:AU$105,44,FALSE))/VLOOKUP(A32,Aktien_im_Umlauf_splitbereinigt!A$3:AM$103,11,FALSE),0),0),0)</f>
        <v>0.61943661971830977</v>
      </c>
      <c r="L32" s="97">
        <f>IF(VLOOKUP(A32,Aktien_im_Umlauf_splitbereinigt!A$3:AM$103,13,FALSE)&lt;&gt;"",IF(VLOOKUP(A32,Aktien_im_Umlauf_splitbereinigt!A$3:AM$103,12,FALSE)&lt;&gt;"",IF(VLOOKUP(A32,Schlußkurse!A$5:AU$105,45,FALSE)&gt;0,((VLOOKUP(A32,Aktien_im_Umlauf_splitbereinigt!A$3:AM$103,13,FALSE)-VLOOKUP(A32,Aktien_im_Umlauf_splitbereinigt!A$3:AM$103,12,FALSE))*VLOOKUP(A32,Schlußkurse!A$5:AU$105,45,FALSE))/VLOOKUP(A32,Aktien_im_Umlauf_splitbereinigt!A$3:AM$103,12,FALSE),0),0),0)</f>
        <v>0</v>
      </c>
      <c r="M32" s="97">
        <f>IF(VLOOKUP(A32,Aktien_im_Umlauf_splitbereinigt!A$3:AM$103,14,FALSE)&lt;&gt;"",IF(VLOOKUP(A32,Aktien_im_Umlauf_splitbereinigt!A$3:AM$103,13,FALSE)&lt;&gt;"",IF(VLOOKUP(A32,Schlußkurse!A$5:AU$105,46,FALSE)&gt;0,((VLOOKUP(A32,Aktien_im_Umlauf_splitbereinigt!A$3:AM$103,14,FALSE)-VLOOKUP(A32,Aktien_im_Umlauf_splitbereinigt!A$3:AM$103,13,FALSE))*VLOOKUP(A32,Schlußkurse!A$5:AU$105,46,FALSE))/VLOOKUP(A32,Aktien_im_Umlauf_splitbereinigt!A$3:AM$103,13,FALSE),0),0),0)</f>
        <v>0.80266710678329756</v>
      </c>
      <c r="N32" s="13">
        <f>IF(C32&gt;0,IF(VLOOKUP(A32,Dividende_je_Aktie!A$3:AM$103,8,FALSE)&lt;&gt;"",C32+VLOOKUP(A32,Dividende_je_Aktie!A$3:AM$103,8,FALSE),C32),IF(VLOOKUP(A32,Dividende_je_Aktie!A$3:AM$103,8,FALSE)&lt;&gt;"",VLOOKUP(A32,Dividende_je_Aktie!A$3:AM$103,8,FALSE),""))</f>
        <v>0.89</v>
      </c>
      <c r="O32" s="13">
        <f>IF(D32&gt;0,IF(VLOOKUP(A32,Dividende_je_Aktie!A$3:AM$103,9,FALSE)&lt;&gt;"",D32+VLOOKUP(A32,Dividende_je_Aktie!A$3:AM$103,9,FALSE),D32),IF(VLOOKUP(A32,Dividende_je_Aktie!A$3:AM$103,9,FALSE)&lt;&gt;"",VLOOKUP(A32,Dividende_je_Aktie!A$3:AM$103,9,FALSE),""))</f>
        <v>0.92295771878072763</v>
      </c>
      <c r="P32" s="13">
        <f>IF(E32&gt;0,IF(VLOOKUP(A32,Dividende_je_Aktie!A$3:AM$103,10,FALSE)&lt;&gt;"",E32+VLOOKUP(A32,Dividende_je_Aktie!A$3:AM$103,10,FALSE),E32),IF(VLOOKUP(A32,Dividende_je_Aktie!A$3:AM$103,10,FALSE)&lt;&gt;"",VLOOKUP(A32,Dividende_je_Aktie!A$3:AM$103,10,FALSE),""))</f>
        <v>2.1131584100254552</v>
      </c>
      <c r="Q32" s="13">
        <f>IF(F32&gt;0,IF(VLOOKUP(A32,Dividende_je_Aktie!A$3:AM$103,11,FALSE)&lt;&gt;"",F32+VLOOKUP(A32,Dividende_je_Aktie!A$3:AM$103,11,FALSE),F32),IF(VLOOKUP(A32,Dividende_je_Aktie!A$3:AM$103,11,FALSE)&lt;&gt;"",VLOOKUP(A32,Dividende_je_Aktie!A$3:AM$103,11,FALSE),""))</f>
        <v>0.62</v>
      </c>
      <c r="R32" s="13">
        <f>IF(G32&gt;0,IF(VLOOKUP(A32,Dividende_je_Aktie!A$3:AM$103,12,FALSE)&lt;&gt;"",G32+VLOOKUP(A32,Dividende_je_Aktie!A$3:AM$103,12,FALSE),G32),IF(VLOOKUP(A32,Dividende_je_Aktie!A$3:AM$103,12,FALSE)&lt;&gt;"",VLOOKUP(A32,Dividende_je_Aktie!A$3:AM$103,12,FALSE),""))</f>
        <v>0.69244809362023407</v>
      </c>
      <c r="S32" s="13">
        <f>IF(H32&gt;0,IF(VLOOKUP(A32,Dividende_je_Aktie!A$3:AM$103,13,FALSE)&lt;&gt;"",H32+VLOOKUP(A32,Dividende_je_Aktie!A$3:AM$103,13,FALSE),H32),IF(VLOOKUP(A32,Dividende_je_Aktie!A$3:AM$103,13,FALSE)&lt;&gt;"",VLOOKUP(A32,Dividende_je_Aktie!A$3:AM$103,13,FALSE),""))</f>
        <v>0.76643974241030355</v>
      </c>
      <c r="T32" s="13">
        <f>IF(I32&gt;0,IF(VLOOKUP(A32,Dividende_je_Aktie!A$3:AM$103,14,FALSE)&lt;&gt;"",I32+VLOOKUP(A32,Dividende_je_Aktie!A$3:AM$103,14,FALSE),I32),IF(VLOOKUP(A32,Dividende_je_Aktie!A$3:AM$103,14,FALSE)&lt;&gt;"",VLOOKUP(A32,Dividende_je_Aktie!A$3:AM$103,14,FALSE),""))</f>
        <v>0.53034482758620693</v>
      </c>
      <c r="U32" s="13">
        <f>IF(J32&gt;0,IF(VLOOKUP(A32,Dividende_je_Aktie!A$3:AM$103,15,FALSE)&lt;&gt;"",J32+VLOOKUP(A32,Dividende_je_Aktie!A$3:AM$103,15,FALSE),J32),IF(VLOOKUP(A32,Dividende_je_Aktie!A$3:AM$103,15,FALSE)&lt;&gt;"",VLOOKUP(A32,Dividende_je_Aktie!A$3:AM$103,15,FALSE),""))</f>
        <v>0.410904062229905</v>
      </c>
      <c r="V32" s="13">
        <f>IF(K32&gt;0,IF(VLOOKUP(A32,Dividende_je_Aktie!A$3:AM$103,16,FALSE)&lt;&gt;"",K32+VLOOKUP(A32,Dividende_je_Aktie!A$3:AM$103,16,FALSE),K32),IF(VLOOKUP(A32,Dividende_je_Aktie!A$3:AM$103,16,FALSE)&lt;&gt;"",VLOOKUP(A32,Dividende_je_Aktie!A$3:AM$103,16,FALSE),""))</f>
        <v>0.61943661971830977</v>
      </c>
      <c r="W32" s="13">
        <f>IF(L32&gt;0,IF(VLOOKUP(A32,Dividende_je_Aktie!A$3:AM$103,17,FALSE)&lt;&gt;"",L32+VLOOKUP(A32,Dividende_je_Aktie!A$3:AM$103,17,FALSE),L32),IF(VLOOKUP(A32,Dividende_je_Aktie!A$3:AM$103,17,FALSE)&lt;&gt;"",VLOOKUP(A32,Dividende_je_Aktie!A$3:AM$103,17,FALSE),""))</f>
        <v>0</v>
      </c>
      <c r="X32" s="13">
        <f>IF(M32&gt;0,IF(VLOOKUP(A32,Dividende_je_Aktie!A$3:AM$103,18,FALSE)&lt;&gt;"",M32+VLOOKUP(A32,Dividende_je_Aktie!A$3:AM$103,18,FALSE),M32),IF(VLOOKUP(A32,Dividende_je_Aktie!A$3:AM$103,18,FALSE)&lt;&gt;"",VLOOKUP(A32,Dividende_je_Aktie!A$3:AM$103,18,FALSE),""))</f>
        <v>0.80266710678329756</v>
      </c>
    </row>
    <row r="33" spans="1:24">
      <c r="A33" t="s">
        <v>40</v>
      </c>
      <c r="B33" t="s">
        <v>41</v>
      </c>
      <c r="C33" s="13">
        <f>IF(VLOOKUP(A33,Aktien_im_Umlauf_splitbereinigt!A$3:AM$103,4,FALSE)&lt;&gt;"",IF(VLOOKUP(A33,Aktien_im_Umlauf_splitbereinigt!A$3:AM$103,3,FALSE)&lt;&gt;"",IF(VLOOKUP(A33,Schlußkurse!A$5:AU$105,36,FALSE)&gt;0,((VLOOKUP(A33,Aktien_im_Umlauf_splitbereinigt!A$3:AM$103,4,FALSE)-VLOOKUP(A33,Aktien_im_Umlauf_splitbereinigt!A$3:AM$103,3,FALSE))*VLOOKUP(A33,Schlußkurse!A$5:AU$105,36,FALSE))/VLOOKUP(A33,Aktien_im_Umlauf_splitbereinigt!A$3:AM$103,3,FALSE),0),0),0)</f>
        <v>0</v>
      </c>
      <c r="D33" s="97">
        <f>IF(VLOOKUP(A33,Aktien_im_Umlauf_splitbereinigt!A$3:AM$103,5,FALSE)&lt;&gt;"",IF(VLOOKUP(A33,Aktien_im_Umlauf_splitbereinigt!A$3:AM$103,4,FALSE)&lt;&gt;"",IF(VLOOKUP(A33,Schlußkurse!A$5:AU$105,37,FALSE)&gt;0,((VLOOKUP(A33,Aktien_im_Umlauf_splitbereinigt!A$3:AM$103,5,FALSE)-VLOOKUP(A33,Aktien_im_Umlauf_splitbereinigt!A$3:AM$103,4,FALSE))*VLOOKUP(A33,Schlußkurse!A$5:AU$105,37,FALSE))/VLOOKUP(A33,Aktien_im_Umlauf_splitbereinigt!A$3:AM$103,4,FALSE),0),0),0)</f>
        <v>0.16792825936997011</v>
      </c>
      <c r="E33" s="97">
        <f>IF(VLOOKUP(A33,Aktien_im_Umlauf_splitbereinigt!A$3:AM$103,6,FALSE)&lt;&gt;"",IF(VLOOKUP(A33,Aktien_im_Umlauf_splitbereinigt!A$3:AM$103,5,FALSE)&lt;&gt;"",IF(VLOOKUP(A33,Schlußkurse!A$5:AU$105,38,FALSE)&gt;0,((VLOOKUP(A33,Aktien_im_Umlauf_splitbereinigt!A$3:AM$103,6,FALSE)-VLOOKUP(A33,Aktien_im_Umlauf_splitbereinigt!A$3:AM$103,5,FALSE))*VLOOKUP(A33,Schlußkurse!A$5:AU$105,38,FALSE))/VLOOKUP(A33,Aktien_im_Umlauf_splitbereinigt!A$3:AM$103,5,FALSE),0),0),0)</f>
        <v>0.34812643151626205</v>
      </c>
      <c r="F33" s="97">
        <f>IF(VLOOKUP(A33,Aktien_im_Umlauf_splitbereinigt!A$3:AM$103,7,FALSE)&lt;&gt;"",IF(VLOOKUP(A33,Aktien_im_Umlauf_splitbereinigt!A$3:AM$103,6,FALSE)&lt;&gt;"",IF(VLOOKUP(A33,Schlußkurse!A$5:AU$105,39,FALSE)&gt;0,((VLOOKUP(A33,Aktien_im_Umlauf_splitbereinigt!A$3:AM$103,7,FALSE)-VLOOKUP(A33,Aktien_im_Umlauf_splitbereinigt!A$3:AM$103,6,FALSE))*VLOOKUP(A33,Schlußkurse!A$5:AU$105,39,FALSE))/VLOOKUP(A33,Aktien_im_Umlauf_splitbereinigt!A$3:AM$103,6,FALSE),0),0),0)</f>
        <v>0.62875283961835526</v>
      </c>
      <c r="G33" s="97">
        <f>IF(VLOOKUP(A33,Aktien_im_Umlauf_splitbereinigt!A$3:AM$103,8,FALSE)&lt;&gt;"",IF(VLOOKUP(A33,Aktien_im_Umlauf_splitbereinigt!A$3:AM$103,7,FALSE)&lt;&gt;"",IF(VLOOKUP(A33,Schlußkurse!A$5:AU$105,40,FALSE)&gt;0,((VLOOKUP(A33,Aktien_im_Umlauf_splitbereinigt!A$3:AM$103,8,FALSE)-VLOOKUP(A33,Aktien_im_Umlauf_splitbereinigt!A$3:AM$103,7,FALSE))*VLOOKUP(A33,Schlußkurse!A$5:AU$105,40,FALSE))/VLOOKUP(A33,Aktien_im_Umlauf_splitbereinigt!A$3:AM$103,7,FALSE),0),0),0)</f>
        <v>0.46235175654508837</v>
      </c>
      <c r="H33" s="97">
        <f>IF(VLOOKUP(A33,Aktien_im_Umlauf_splitbereinigt!A$3:AM$103,9,FALSE)&lt;&gt;"",IF(VLOOKUP(A33,Aktien_im_Umlauf_splitbereinigt!A$3:AM$103,8,FALSE)&lt;&gt;"",IF(VLOOKUP(A33,Schlußkurse!A$5:AU$105,41,FALSE)&gt;0,((VLOOKUP(A33,Aktien_im_Umlauf_splitbereinigt!A$3:AM$103,9,FALSE)-VLOOKUP(A33,Aktien_im_Umlauf_splitbereinigt!A$3:AM$103,8,FALSE))*VLOOKUP(A33,Schlußkurse!A$5:AU$105,41,FALSE))/VLOOKUP(A33,Aktien_im_Umlauf_splitbereinigt!A$3:AM$103,8,FALSE),0),0),0)</f>
        <v>0.4483274414494034</v>
      </c>
      <c r="I33" s="97">
        <f>IF(VLOOKUP(A33,Aktien_im_Umlauf_splitbereinigt!A$3:AM$103,10,FALSE)&lt;&gt;"",IF(VLOOKUP(A33,Aktien_im_Umlauf_splitbereinigt!A$3:AM$103,9,FALSE)&lt;&gt;"",IF(VLOOKUP(A33,Schlußkurse!A$5:AU$105,42,FALSE)&gt;0,((VLOOKUP(A33,Aktien_im_Umlauf_splitbereinigt!A$3:AM$103,10,FALSE)-VLOOKUP(A33,Aktien_im_Umlauf_splitbereinigt!A$3:AM$103,9,FALSE))*VLOOKUP(A33,Schlußkurse!A$5:AU$105,42,FALSE))/VLOOKUP(A33,Aktien_im_Umlauf_splitbereinigt!A$3:AM$103,9,FALSE),0),0),0)</f>
        <v>0.15782504363001743</v>
      </c>
      <c r="J33" s="97">
        <f>IF(VLOOKUP(A33,Aktien_im_Umlauf_splitbereinigt!A$3:AM$103,11,FALSE)&lt;&gt;"",IF(VLOOKUP(A33,Aktien_im_Umlauf_splitbereinigt!A$3:AM$103,10,FALSE)&lt;&gt;"",IF(VLOOKUP(A33,Schlußkurse!A$5:AU$105,43,FALSE)&gt;0,((VLOOKUP(A33,Aktien_im_Umlauf_splitbereinigt!A$3:AM$103,11,FALSE)-VLOOKUP(A33,Aktien_im_Umlauf_splitbereinigt!A$3:AM$103,10,FALSE))*VLOOKUP(A33,Schlußkurse!A$5:AU$105,43,FALSE))/VLOOKUP(A33,Aktien_im_Umlauf_splitbereinigt!A$3:AM$103,10,FALSE),0),0),0)</f>
        <v>0.11137646547980895</v>
      </c>
      <c r="K33" s="97">
        <f>IF(VLOOKUP(A33,Aktien_im_Umlauf_splitbereinigt!A$3:AM$103,12,FALSE)&lt;&gt;"",IF(VLOOKUP(A33,Aktien_im_Umlauf_splitbereinigt!A$3:AM$103,11,FALSE)&lt;&gt;"",IF(VLOOKUP(A33,Schlußkurse!A$5:AU$105,44,FALSE)&gt;0,((VLOOKUP(A33,Aktien_im_Umlauf_splitbereinigt!A$3:AM$103,12,FALSE)-VLOOKUP(A33,Aktien_im_Umlauf_splitbereinigt!A$3:AM$103,11,FALSE))*VLOOKUP(A33,Schlußkurse!A$5:AU$105,44,FALSE))/VLOOKUP(A33,Aktien_im_Umlauf_splitbereinigt!A$3:AM$103,11,FALSE),0),0),0)</f>
        <v>5.874134948096886E-2</v>
      </c>
      <c r="L33" s="97">
        <f>IF(VLOOKUP(A33,Aktien_im_Umlauf_splitbereinigt!A$3:AM$103,13,FALSE)&lt;&gt;"",IF(VLOOKUP(A33,Aktien_im_Umlauf_splitbereinigt!A$3:AM$103,12,FALSE)&lt;&gt;"",IF(VLOOKUP(A33,Schlußkurse!A$5:AU$105,45,FALSE)&gt;0,((VLOOKUP(A33,Aktien_im_Umlauf_splitbereinigt!A$3:AM$103,13,FALSE)-VLOOKUP(A33,Aktien_im_Umlauf_splitbereinigt!A$3:AM$103,12,FALSE))*VLOOKUP(A33,Schlußkurse!A$5:AU$105,45,FALSE))/VLOOKUP(A33,Aktien_im_Umlauf_splitbereinigt!A$3:AM$103,12,FALSE),0),0),0)</f>
        <v>0</v>
      </c>
      <c r="M33" s="97">
        <f>IF(VLOOKUP(A33,Aktien_im_Umlauf_splitbereinigt!A$3:AM$103,14,FALSE)&lt;&gt;"",IF(VLOOKUP(A33,Aktien_im_Umlauf_splitbereinigt!A$3:AM$103,13,FALSE)&lt;&gt;"",IF(VLOOKUP(A33,Schlußkurse!A$5:AU$105,46,FALSE)&gt;0,((VLOOKUP(A33,Aktien_im_Umlauf_splitbereinigt!A$3:AM$103,14,FALSE)-VLOOKUP(A33,Aktien_im_Umlauf_splitbereinigt!A$3:AM$103,13,FALSE))*VLOOKUP(A33,Schlußkurse!A$5:AU$105,46,FALSE))/VLOOKUP(A33,Aktien_im_Umlauf_splitbereinigt!A$3:AM$103,13,FALSE),0),0),0)</f>
        <v>0.53244176013805011</v>
      </c>
      <c r="N33" s="13">
        <f>IF(C33&gt;0,IF(VLOOKUP(A33,Dividende_je_Aktie!A$3:AM$103,8,FALSE)&lt;&gt;"",C33+VLOOKUP(A33,Dividende_je_Aktie!A$3:AM$103,8,FALSE),C33),IF(VLOOKUP(A33,Dividende_je_Aktie!A$3:AM$103,8,FALSE)&lt;&gt;"",VLOOKUP(A33,Dividende_je_Aktie!A$3:AM$103,8,FALSE),""))</f>
        <v>1.38</v>
      </c>
      <c r="O33" s="13">
        <f>IF(D33&gt;0,IF(VLOOKUP(A33,Dividende_je_Aktie!A$3:AM$103,9,FALSE)&lt;&gt;"",D33+VLOOKUP(A33,Dividende_je_Aktie!A$3:AM$103,9,FALSE),D33),IF(VLOOKUP(A33,Dividende_je_Aktie!A$3:AM$103,9,FALSE)&lt;&gt;"",VLOOKUP(A33,Dividende_je_Aktie!A$3:AM$103,9,FALSE),""))</f>
        <v>1.4879282593699701</v>
      </c>
      <c r="P33" s="13">
        <f>IF(E33&gt;0,IF(VLOOKUP(A33,Dividende_je_Aktie!A$3:AM$103,10,FALSE)&lt;&gt;"",E33+VLOOKUP(A33,Dividende_je_Aktie!A$3:AM$103,10,FALSE),E33),IF(VLOOKUP(A33,Dividende_je_Aktie!A$3:AM$103,10,FALSE)&lt;&gt;"",VLOOKUP(A33,Dividende_je_Aktie!A$3:AM$103,10,FALSE),""))</f>
        <v>1.568126431516262</v>
      </c>
      <c r="Q33" s="13">
        <f>IF(F33&gt;0,IF(VLOOKUP(A33,Dividende_je_Aktie!A$3:AM$103,11,FALSE)&lt;&gt;"",F33+VLOOKUP(A33,Dividende_je_Aktie!A$3:AM$103,11,FALSE),F33),IF(VLOOKUP(A33,Dividende_je_Aktie!A$3:AM$103,11,FALSE)&lt;&gt;"",VLOOKUP(A33,Dividende_je_Aktie!A$3:AM$103,11,FALSE),""))</f>
        <v>1.7487528396183554</v>
      </c>
      <c r="R33" s="13">
        <f>IF(G33&gt;0,IF(VLOOKUP(A33,Dividende_je_Aktie!A$3:AM$103,12,FALSE)&lt;&gt;"",G33+VLOOKUP(A33,Dividende_je_Aktie!A$3:AM$103,12,FALSE),G33),IF(VLOOKUP(A33,Dividende_je_Aktie!A$3:AM$103,12,FALSE)&lt;&gt;"",VLOOKUP(A33,Dividende_je_Aktie!A$3:AM$103,12,FALSE),""))</f>
        <v>1.4823517565450883</v>
      </c>
      <c r="S33" s="13">
        <f>IF(H33&gt;0,IF(VLOOKUP(A33,Dividende_je_Aktie!A$3:AM$103,13,FALSE)&lt;&gt;"",H33+VLOOKUP(A33,Dividende_je_Aktie!A$3:AM$103,13,FALSE),H33),IF(VLOOKUP(A33,Dividende_je_Aktie!A$3:AM$103,13,FALSE)&lt;&gt;"",VLOOKUP(A33,Dividende_je_Aktie!A$3:AM$103,13,FALSE),""))</f>
        <v>1.3883274414494033</v>
      </c>
      <c r="T33" s="13">
        <f>IF(I33&gt;0,IF(VLOOKUP(A33,Dividende_je_Aktie!A$3:AM$103,14,FALSE)&lt;&gt;"",I33+VLOOKUP(A33,Dividende_je_Aktie!A$3:AM$103,14,FALSE),I33),IF(VLOOKUP(A33,Dividende_je_Aktie!A$3:AM$103,14,FALSE)&lt;&gt;"",VLOOKUP(A33,Dividende_je_Aktie!A$3:AM$103,14,FALSE),""))</f>
        <v>1.0378250436300174</v>
      </c>
      <c r="U33" s="13">
        <f>IF(J33&gt;0,IF(VLOOKUP(A33,Dividende_je_Aktie!A$3:AM$103,15,FALSE)&lt;&gt;"",J33+VLOOKUP(A33,Dividende_je_Aktie!A$3:AM$103,15,FALSE),J33),IF(VLOOKUP(A33,Dividende_je_Aktie!A$3:AM$103,15,FALSE)&lt;&gt;"",VLOOKUP(A33,Dividende_je_Aktie!A$3:AM$103,15,FALSE),""))</f>
        <v>0.9313764654798089</v>
      </c>
      <c r="V33" s="13">
        <f>IF(K33&gt;0,IF(VLOOKUP(A33,Dividende_je_Aktie!A$3:AM$103,16,FALSE)&lt;&gt;"",K33+VLOOKUP(A33,Dividende_je_Aktie!A$3:AM$103,16,FALSE),K33),IF(VLOOKUP(A33,Dividende_je_Aktie!A$3:AM$103,16,FALSE)&lt;&gt;"",VLOOKUP(A33,Dividende_je_Aktie!A$3:AM$103,16,FALSE),""))</f>
        <v>0.81874134948096888</v>
      </c>
      <c r="W33" s="13">
        <f>IF(L33&gt;0,IF(VLOOKUP(A33,Dividende_je_Aktie!A$3:AM$103,17,FALSE)&lt;&gt;"",L33+VLOOKUP(A33,Dividende_je_Aktie!A$3:AM$103,17,FALSE),L33),IF(VLOOKUP(A33,Dividende_je_Aktie!A$3:AM$103,17,FALSE)&lt;&gt;"",VLOOKUP(A33,Dividende_je_Aktie!A$3:AM$103,17,FALSE),""))</f>
        <v>0.68</v>
      </c>
      <c r="X33" s="13">
        <f>IF(M33&gt;0,IF(VLOOKUP(A33,Dividende_je_Aktie!A$3:AM$103,18,FALSE)&lt;&gt;"",M33+VLOOKUP(A33,Dividende_je_Aktie!A$3:AM$103,18,FALSE),M33),IF(VLOOKUP(A33,Dividende_je_Aktie!A$3:AM$103,18,FALSE)&lt;&gt;"",VLOOKUP(A33,Dividende_je_Aktie!A$3:AM$103,18,FALSE),""))</f>
        <v>1.1524417601380501</v>
      </c>
    </row>
    <row r="34" spans="1:24">
      <c r="A34" t="s">
        <v>42</v>
      </c>
      <c r="B34" t="s">
        <v>43</v>
      </c>
      <c r="C34" s="13">
        <f>IF(VLOOKUP(A34,Aktien_im_Umlauf_splitbereinigt!A$3:AM$103,4,FALSE)&lt;&gt;"",IF(VLOOKUP(A34,Aktien_im_Umlauf_splitbereinigt!A$3:AM$103,3,FALSE)&lt;&gt;"",IF(VLOOKUP(A34,Schlußkurse!A$5:AU$105,36,FALSE)&gt;0,((VLOOKUP(A34,Aktien_im_Umlauf_splitbereinigt!A$3:AM$103,4,FALSE)-VLOOKUP(A34,Aktien_im_Umlauf_splitbereinigt!A$3:AM$103,3,FALSE))*VLOOKUP(A34,Schlußkurse!A$5:AU$105,36,FALSE))/VLOOKUP(A34,Aktien_im_Umlauf_splitbereinigt!A$3:AM$103,3,FALSE),0),0),0)</f>
        <v>0</v>
      </c>
      <c r="D34" s="97">
        <f>IF(VLOOKUP(A34,Aktien_im_Umlauf_splitbereinigt!A$3:AM$103,5,FALSE)&lt;&gt;"",IF(VLOOKUP(A34,Aktien_im_Umlauf_splitbereinigt!A$3:AM$103,4,FALSE)&lt;&gt;"",IF(VLOOKUP(A34,Schlußkurse!A$5:AU$105,37,FALSE)&gt;0,((VLOOKUP(A34,Aktien_im_Umlauf_splitbereinigt!A$3:AM$103,5,FALSE)-VLOOKUP(A34,Aktien_im_Umlauf_splitbereinigt!A$3:AM$103,4,FALSE))*VLOOKUP(A34,Schlußkurse!A$5:AU$105,37,FALSE))/VLOOKUP(A34,Aktien_im_Umlauf_splitbereinigt!A$3:AM$103,4,FALSE),0),0),0)</f>
        <v>1.0701108945493674</v>
      </c>
      <c r="E34" s="97">
        <f>IF(VLOOKUP(A34,Aktien_im_Umlauf_splitbereinigt!A$3:AM$103,6,FALSE)&lt;&gt;"",IF(VLOOKUP(A34,Aktien_im_Umlauf_splitbereinigt!A$3:AM$103,5,FALSE)&lt;&gt;"",IF(VLOOKUP(A34,Schlußkurse!A$5:AU$105,38,FALSE)&gt;0,((VLOOKUP(A34,Aktien_im_Umlauf_splitbereinigt!A$3:AM$103,6,FALSE)-VLOOKUP(A34,Aktien_im_Umlauf_splitbereinigt!A$3:AM$103,5,FALSE))*VLOOKUP(A34,Schlußkurse!A$5:AU$105,38,FALSE))/VLOOKUP(A34,Aktien_im_Umlauf_splitbereinigt!A$3:AM$103,5,FALSE),0),0),0)</f>
        <v>0.90465383428143142</v>
      </c>
      <c r="F34" s="97">
        <f>IF(VLOOKUP(A34,Aktien_im_Umlauf_splitbereinigt!A$3:AM$103,7,FALSE)&lt;&gt;"",IF(VLOOKUP(A34,Aktien_im_Umlauf_splitbereinigt!A$3:AM$103,6,FALSE)&lt;&gt;"",IF(VLOOKUP(A34,Schlußkurse!A$5:AU$105,39,FALSE)&gt;0,((VLOOKUP(A34,Aktien_im_Umlauf_splitbereinigt!A$3:AM$103,7,FALSE)-VLOOKUP(A34,Aktien_im_Umlauf_splitbereinigt!A$3:AM$103,6,FALSE))*VLOOKUP(A34,Schlußkurse!A$5:AU$105,39,FALSE))/VLOOKUP(A34,Aktien_im_Umlauf_splitbereinigt!A$3:AM$103,6,FALSE),0),0),0)</f>
        <v>1.1673281171784833</v>
      </c>
      <c r="G34" s="97">
        <f>IF(VLOOKUP(A34,Aktien_im_Umlauf_splitbereinigt!A$3:AM$103,8,FALSE)&lt;&gt;"",IF(VLOOKUP(A34,Aktien_im_Umlauf_splitbereinigt!A$3:AM$103,7,FALSE)&lt;&gt;"",IF(VLOOKUP(A34,Schlußkurse!A$5:AU$105,40,FALSE)&gt;0,((VLOOKUP(A34,Aktien_im_Umlauf_splitbereinigt!A$3:AM$103,8,FALSE)-VLOOKUP(A34,Aktien_im_Umlauf_splitbereinigt!A$3:AM$103,7,FALSE))*VLOOKUP(A34,Schlußkurse!A$5:AU$105,40,FALSE))/VLOOKUP(A34,Aktien_im_Umlauf_splitbereinigt!A$3:AM$103,7,FALSE),0),0),0)</f>
        <v>1.3305131549407234</v>
      </c>
      <c r="H34" s="97">
        <f>IF(VLOOKUP(A34,Aktien_im_Umlauf_splitbereinigt!A$3:AM$103,9,FALSE)&lt;&gt;"",IF(VLOOKUP(A34,Aktien_im_Umlauf_splitbereinigt!A$3:AM$103,8,FALSE)&lt;&gt;"",IF(VLOOKUP(A34,Schlußkurse!A$5:AU$105,41,FALSE)&gt;0,((VLOOKUP(A34,Aktien_im_Umlauf_splitbereinigt!A$3:AM$103,9,FALSE)-VLOOKUP(A34,Aktien_im_Umlauf_splitbereinigt!A$3:AM$103,8,FALSE))*VLOOKUP(A34,Schlußkurse!A$5:AU$105,41,FALSE))/VLOOKUP(A34,Aktien_im_Umlauf_splitbereinigt!A$3:AM$103,8,FALSE),0),0),0)</f>
        <v>1.3773738532110047</v>
      </c>
      <c r="I34" s="97">
        <f>IF(VLOOKUP(A34,Aktien_im_Umlauf_splitbereinigt!A$3:AM$103,10,FALSE)&lt;&gt;"",IF(VLOOKUP(A34,Aktien_im_Umlauf_splitbereinigt!A$3:AM$103,9,FALSE)&lt;&gt;"",IF(VLOOKUP(A34,Schlußkurse!A$5:AU$105,42,FALSE)&gt;0,((VLOOKUP(A34,Aktien_im_Umlauf_splitbereinigt!A$3:AM$103,10,FALSE)-VLOOKUP(A34,Aktien_im_Umlauf_splitbereinigt!A$3:AM$103,9,FALSE))*VLOOKUP(A34,Schlußkurse!A$5:AU$105,42,FALSE))/VLOOKUP(A34,Aktien_im_Umlauf_splitbereinigt!A$3:AM$103,9,FALSE),0),0),0)</f>
        <v>-1.6272524802590695E-2</v>
      </c>
      <c r="J34" s="97">
        <f>IF(VLOOKUP(A34,Aktien_im_Umlauf_splitbereinigt!A$3:AM$103,11,FALSE)&lt;&gt;"",IF(VLOOKUP(A34,Aktien_im_Umlauf_splitbereinigt!A$3:AM$103,10,FALSE)&lt;&gt;"",IF(VLOOKUP(A34,Schlußkurse!A$5:AU$105,43,FALSE)&gt;0,((VLOOKUP(A34,Aktien_im_Umlauf_splitbereinigt!A$3:AM$103,11,FALSE)-VLOOKUP(A34,Aktien_im_Umlauf_splitbereinigt!A$3:AM$103,10,FALSE))*VLOOKUP(A34,Schlußkurse!A$5:AU$105,43,FALSE))/VLOOKUP(A34,Aktien_im_Umlauf_splitbereinigt!A$3:AM$103,10,FALSE),0),0),0)</f>
        <v>0.64894672878266257</v>
      </c>
      <c r="K34" s="97">
        <f>IF(VLOOKUP(A34,Aktien_im_Umlauf_splitbereinigt!A$3:AM$103,12,FALSE)&lt;&gt;"",IF(VLOOKUP(A34,Aktien_im_Umlauf_splitbereinigt!A$3:AM$103,11,FALSE)&lt;&gt;"",IF(VLOOKUP(A34,Schlußkurse!A$5:AU$105,44,FALSE)&gt;0,((VLOOKUP(A34,Aktien_im_Umlauf_splitbereinigt!A$3:AM$103,12,FALSE)-VLOOKUP(A34,Aktien_im_Umlauf_splitbereinigt!A$3:AM$103,11,FALSE))*VLOOKUP(A34,Schlußkurse!A$5:AU$105,44,FALSE))/VLOOKUP(A34,Aktien_im_Umlauf_splitbereinigt!A$3:AM$103,11,FALSE),0),0),0)</f>
        <v>0.51251246261216354</v>
      </c>
      <c r="L34" s="97">
        <f>IF(VLOOKUP(A34,Aktien_im_Umlauf_splitbereinigt!A$3:AM$103,13,FALSE)&lt;&gt;"",IF(VLOOKUP(A34,Aktien_im_Umlauf_splitbereinigt!A$3:AM$103,12,FALSE)&lt;&gt;"",IF(VLOOKUP(A34,Schlußkurse!A$5:AU$105,45,FALSE)&gt;0,((VLOOKUP(A34,Aktien_im_Umlauf_splitbereinigt!A$3:AM$103,13,FALSE)-VLOOKUP(A34,Aktien_im_Umlauf_splitbereinigt!A$3:AM$103,12,FALSE))*VLOOKUP(A34,Schlußkurse!A$5:AU$105,45,FALSE))/VLOOKUP(A34,Aktien_im_Umlauf_splitbereinigt!A$3:AM$103,12,FALSE),0),0),0)</f>
        <v>0.26803536345776025</v>
      </c>
      <c r="M34" s="97">
        <f>IF(VLOOKUP(A34,Aktien_im_Umlauf_splitbereinigt!A$3:AM$103,14,FALSE)&lt;&gt;"",IF(VLOOKUP(A34,Aktien_im_Umlauf_splitbereinigt!A$3:AM$103,13,FALSE)&lt;&gt;"",IF(VLOOKUP(A34,Schlußkurse!A$5:AU$105,46,FALSE)&gt;0,((VLOOKUP(A34,Aktien_im_Umlauf_splitbereinigt!A$3:AM$103,14,FALSE)-VLOOKUP(A34,Aktien_im_Umlauf_splitbereinigt!A$3:AM$103,13,FALSE))*VLOOKUP(A34,Schlußkurse!A$5:AU$105,46,FALSE))/VLOOKUP(A34,Aktien_im_Umlauf_splitbereinigt!A$3:AM$103,13,FALSE),0),0),0)</f>
        <v>0.22304390243902436</v>
      </c>
      <c r="N34" s="13">
        <f>IF(C34&gt;0,IF(VLOOKUP(A34,Dividende_je_Aktie!A$3:AM$103,8,FALSE)&lt;&gt;"",C34+VLOOKUP(A34,Dividende_je_Aktie!A$3:AM$103,8,FALSE),C34),IF(VLOOKUP(A34,Dividende_je_Aktie!A$3:AM$103,8,FALSE)&lt;&gt;"",VLOOKUP(A34,Dividende_je_Aktie!A$3:AM$103,8,FALSE),""))</f>
        <v>1.57</v>
      </c>
      <c r="O34" s="13">
        <f>IF(D34&gt;0,IF(VLOOKUP(A34,Dividende_je_Aktie!A$3:AM$103,9,FALSE)&lt;&gt;"",D34+VLOOKUP(A34,Dividende_je_Aktie!A$3:AM$103,9,FALSE),D34),IF(VLOOKUP(A34,Dividende_je_Aktie!A$3:AM$103,9,FALSE)&lt;&gt;"",VLOOKUP(A34,Dividende_je_Aktie!A$3:AM$103,9,FALSE),""))</f>
        <v>2.5701108945493676</v>
      </c>
      <c r="P34" s="13">
        <f>IF(E34&gt;0,IF(VLOOKUP(A34,Dividende_je_Aktie!A$3:AM$103,10,FALSE)&lt;&gt;"",E34+VLOOKUP(A34,Dividende_je_Aktie!A$3:AM$103,10,FALSE),E34),IF(VLOOKUP(A34,Dividende_je_Aktie!A$3:AM$103,10,FALSE)&lt;&gt;"",VLOOKUP(A34,Dividende_je_Aktie!A$3:AM$103,10,FALSE),""))</f>
        <v>2.3246538342814311</v>
      </c>
      <c r="Q34" s="13">
        <f>IF(F34&gt;0,IF(VLOOKUP(A34,Dividende_je_Aktie!A$3:AM$103,11,FALSE)&lt;&gt;"",F34+VLOOKUP(A34,Dividende_je_Aktie!A$3:AM$103,11,FALSE),F34),IF(VLOOKUP(A34,Dividende_je_Aktie!A$3:AM$103,11,FALSE)&lt;&gt;"",VLOOKUP(A34,Dividende_je_Aktie!A$3:AM$103,11,FALSE),""))</f>
        <v>2.4973281171784834</v>
      </c>
      <c r="R34" s="13">
        <f>IF(G34&gt;0,IF(VLOOKUP(A34,Dividende_je_Aktie!A$3:AM$103,12,FALSE)&lt;&gt;"",G34+VLOOKUP(A34,Dividende_je_Aktie!A$3:AM$103,12,FALSE),G34),IF(VLOOKUP(A34,Dividende_je_Aktie!A$3:AM$103,12,FALSE)&lt;&gt;"",VLOOKUP(A34,Dividende_je_Aktie!A$3:AM$103,12,FALSE),""))</f>
        <v>2.5505131549407234</v>
      </c>
      <c r="S34" s="13">
        <f>IF(H34&gt;0,IF(VLOOKUP(A34,Dividende_je_Aktie!A$3:AM$103,13,FALSE)&lt;&gt;"",H34+VLOOKUP(A34,Dividende_je_Aktie!A$3:AM$103,13,FALSE),H34),IF(VLOOKUP(A34,Dividende_je_Aktie!A$3:AM$103,13,FALSE)&lt;&gt;"",VLOOKUP(A34,Dividende_je_Aktie!A$3:AM$103,13,FALSE),""))</f>
        <v>2.5173738532110046</v>
      </c>
      <c r="T34" s="13">
        <f>IF(I34&gt;0,IF(VLOOKUP(A34,Dividende_je_Aktie!A$3:AM$103,14,FALSE)&lt;&gt;"",I34+VLOOKUP(A34,Dividende_je_Aktie!A$3:AM$103,14,FALSE),I34),IF(VLOOKUP(A34,Dividende_je_Aktie!A$3:AM$103,14,FALSE)&lt;&gt;"",VLOOKUP(A34,Dividende_je_Aktie!A$3:AM$103,14,FALSE),""))</f>
        <v>1.01</v>
      </c>
      <c r="U34" s="13">
        <f>IF(J34&gt;0,IF(VLOOKUP(A34,Dividende_je_Aktie!A$3:AM$103,15,FALSE)&lt;&gt;"",J34+VLOOKUP(A34,Dividende_je_Aktie!A$3:AM$103,15,FALSE),J34),IF(VLOOKUP(A34,Dividende_je_Aktie!A$3:AM$103,15,FALSE)&lt;&gt;"",VLOOKUP(A34,Dividende_je_Aktie!A$3:AM$103,15,FALSE),""))</f>
        <v>1.5089467287826626</v>
      </c>
      <c r="V34" s="13">
        <f>IF(K34&gt;0,IF(VLOOKUP(A34,Dividende_je_Aktie!A$3:AM$103,16,FALSE)&lt;&gt;"",K34+VLOOKUP(A34,Dividende_je_Aktie!A$3:AM$103,16,FALSE),K34),IF(VLOOKUP(A34,Dividende_je_Aktie!A$3:AM$103,16,FALSE)&lt;&gt;"",VLOOKUP(A34,Dividende_je_Aktie!A$3:AM$103,16,FALSE),""))</f>
        <v>1.2925124626121636</v>
      </c>
      <c r="W34" s="13">
        <f>IF(L34&gt;0,IF(VLOOKUP(A34,Dividende_je_Aktie!A$3:AM$103,17,FALSE)&lt;&gt;"",L34+VLOOKUP(A34,Dividende_je_Aktie!A$3:AM$103,17,FALSE),L34),IF(VLOOKUP(A34,Dividende_je_Aktie!A$3:AM$103,17,FALSE)&lt;&gt;"",VLOOKUP(A34,Dividende_je_Aktie!A$3:AM$103,17,FALSE),""))</f>
        <v>0.9680353634577602</v>
      </c>
      <c r="X34" s="13">
        <f>IF(M34&gt;0,IF(VLOOKUP(A34,Dividende_je_Aktie!A$3:AM$103,18,FALSE)&lt;&gt;"",M34+VLOOKUP(A34,Dividende_je_Aktie!A$3:AM$103,18,FALSE),M34),IF(VLOOKUP(A34,Dividende_je_Aktie!A$3:AM$103,18,FALSE)&lt;&gt;"",VLOOKUP(A34,Dividende_je_Aktie!A$3:AM$103,18,FALSE),""))</f>
        <v>0.85304390243902439</v>
      </c>
    </row>
    <row r="35" spans="1:24">
      <c r="A35" t="s">
        <v>44</v>
      </c>
      <c r="B35" t="s">
        <v>45</v>
      </c>
      <c r="C35" s="13">
        <f>IF(VLOOKUP(A35,Aktien_im_Umlauf_splitbereinigt!A$3:AM$103,4,FALSE)&lt;&gt;"",IF(VLOOKUP(A35,Aktien_im_Umlauf_splitbereinigt!A$3:AM$103,3,FALSE)&lt;&gt;"",IF(VLOOKUP(A35,Schlußkurse!A$5:AU$105,36,FALSE)&gt;0,((VLOOKUP(A35,Aktien_im_Umlauf_splitbereinigt!A$3:AM$103,4,FALSE)-VLOOKUP(A35,Aktien_im_Umlauf_splitbereinigt!A$3:AM$103,3,FALSE))*VLOOKUP(A35,Schlußkurse!A$5:AU$105,36,FALSE))/VLOOKUP(A35,Aktien_im_Umlauf_splitbereinigt!A$3:AM$103,3,FALSE),0),0),0)</f>
        <v>0</v>
      </c>
      <c r="D35" s="97">
        <f>IF(VLOOKUP(A35,Aktien_im_Umlauf_splitbereinigt!A$3:AM$103,5,FALSE)&lt;&gt;"",IF(VLOOKUP(A35,Aktien_im_Umlauf_splitbereinigt!A$3:AM$103,4,FALSE)&lt;&gt;"",IF(VLOOKUP(A35,Schlußkurse!A$5:AU$105,37,FALSE)&gt;0,((VLOOKUP(A35,Aktien_im_Umlauf_splitbereinigt!A$3:AM$103,5,FALSE)-VLOOKUP(A35,Aktien_im_Umlauf_splitbereinigt!A$3:AM$103,4,FALSE))*VLOOKUP(A35,Schlußkurse!A$5:AU$105,37,FALSE))/VLOOKUP(A35,Aktien_im_Umlauf_splitbereinigt!A$3:AM$103,4,FALSE),0),0),0)</f>
        <v>2.2518072289156628</v>
      </c>
      <c r="E35" s="97">
        <f>IF(VLOOKUP(A35,Aktien_im_Umlauf_splitbereinigt!A$3:AM$103,6,FALSE)&lt;&gt;"",IF(VLOOKUP(A35,Aktien_im_Umlauf_splitbereinigt!A$3:AM$103,5,FALSE)&lt;&gt;"",IF(VLOOKUP(A35,Schlußkurse!A$5:AU$105,38,FALSE)&gt;0,((VLOOKUP(A35,Aktien_im_Umlauf_splitbereinigt!A$3:AM$103,6,FALSE)-VLOOKUP(A35,Aktien_im_Umlauf_splitbereinigt!A$3:AM$103,5,FALSE))*VLOOKUP(A35,Schlußkurse!A$5:AU$105,38,FALSE))/VLOOKUP(A35,Aktien_im_Umlauf_splitbereinigt!A$3:AM$103,5,FALSE),0),0),0)</f>
        <v>1.0050710947598688E-2</v>
      </c>
      <c r="F35" s="97">
        <f>IF(VLOOKUP(A35,Aktien_im_Umlauf_splitbereinigt!A$3:AM$103,7,FALSE)&lt;&gt;"",IF(VLOOKUP(A35,Aktien_im_Umlauf_splitbereinigt!A$3:AM$103,6,FALSE)&lt;&gt;"",IF(VLOOKUP(A35,Schlußkurse!A$5:AU$105,39,FALSE)&gt;0,((VLOOKUP(A35,Aktien_im_Umlauf_splitbereinigt!A$3:AM$103,7,FALSE)-VLOOKUP(A35,Aktien_im_Umlauf_splitbereinigt!A$3:AM$103,6,FALSE))*VLOOKUP(A35,Schlußkurse!A$5:AU$105,39,FALSE))/VLOOKUP(A35,Aktien_im_Umlauf_splitbereinigt!A$3:AM$103,6,FALSE),0),0),0)</f>
        <v>0.96117185170460195</v>
      </c>
      <c r="G35" s="97">
        <f>IF(VLOOKUP(A35,Aktien_im_Umlauf_splitbereinigt!A$3:AM$103,8,FALSE)&lt;&gt;"",IF(VLOOKUP(A35,Aktien_im_Umlauf_splitbereinigt!A$3:AM$103,7,FALSE)&lt;&gt;"",IF(VLOOKUP(A35,Schlußkurse!A$5:AU$105,40,FALSE)&gt;0,((VLOOKUP(A35,Aktien_im_Umlauf_splitbereinigt!A$3:AM$103,8,FALSE)-VLOOKUP(A35,Aktien_im_Umlauf_splitbereinigt!A$3:AM$103,7,FALSE))*VLOOKUP(A35,Schlußkurse!A$5:AU$105,40,FALSE))/VLOOKUP(A35,Aktien_im_Umlauf_splitbereinigt!A$3:AM$103,7,FALSE),0),0),0)</f>
        <v>0.33685662118008841</v>
      </c>
      <c r="H35" s="97">
        <f>IF(VLOOKUP(A35,Aktien_im_Umlauf_splitbereinigt!A$3:AM$103,9,FALSE)&lt;&gt;"",IF(VLOOKUP(A35,Aktien_im_Umlauf_splitbereinigt!A$3:AM$103,8,FALSE)&lt;&gt;"",IF(VLOOKUP(A35,Schlußkurse!A$5:AU$105,41,FALSE)&gt;0,((VLOOKUP(A35,Aktien_im_Umlauf_splitbereinigt!A$3:AM$103,9,FALSE)-VLOOKUP(A35,Aktien_im_Umlauf_splitbereinigt!A$3:AM$103,8,FALSE))*VLOOKUP(A35,Schlußkurse!A$5:AU$105,41,FALSE))/VLOOKUP(A35,Aktien_im_Umlauf_splitbereinigt!A$3:AM$103,8,FALSE),0),0),0)</f>
        <v>7.11453702827958E-2</v>
      </c>
      <c r="I35" s="97">
        <f>IF(VLOOKUP(A35,Aktien_im_Umlauf_splitbereinigt!A$3:AM$103,10,FALSE)&lt;&gt;"",IF(VLOOKUP(A35,Aktien_im_Umlauf_splitbereinigt!A$3:AM$103,9,FALSE)&lt;&gt;"",IF(VLOOKUP(A35,Schlußkurse!A$5:AU$105,42,FALSE)&gt;0,((VLOOKUP(A35,Aktien_im_Umlauf_splitbereinigt!A$3:AM$103,10,FALSE)-VLOOKUP(A35,Aktien_im_Umlauf_splitbereinigt!A$3:AM$103,9,FALSE))*VLOOKUP(A35,Schlußkurse!A$5:AU$105,42,FALSE))/VLOOKUP(A35,Aktien_im_Umlauf_splitbereinigt!A$3:AM$103,9,FALSE),0),0),0)</f>
        <v>8.2705605275553457E-2</v>
      </c>
      <c r="J35" s="97">
        <f>IF(VLOOKUP(A35,Aktien_im_Umlauf_splitbereinigt!A$3:AM$103,11,FALSE)&lt;&gt;"",IF(VLOOKUP(A35,Aktien_im_Umlauf_splitbereinigt!A$3:AM$103,10,FALSE)&lt;&gt;"",IF(VLOOKUP(A35,Schlußkurse!A$5:AU$105,43,FALSE)&gt;0,((VLOOKUP(A35,Aktien_im_Umlauf_splitbereinigt!A$3:AM$103,11,FALSE)-VLOOKUP(A35,Aktien_im_Umlauf_splitbereinigt!A$3:AM$103,10,FALSE))*VLOOKUP(A35,Schlußkurse!A$5:AU$105,43,FALSE))/VLOOKUP(A35,Aktien_im_Umlauf_splitbereinigt!A$3:AM$103,10,FALSE),0),0),0)</f>
        <v>-0.1787845822001313</v>
      </c>
      <c r="K35" s="97">
        <f>IF(VLOOKUP(A35,Aktien_im_Umlauf_splitbereinigt!A$3:AM$103,12,FALSE)&lt;&gt;"",IF(VLOOKUP(A35,Aktien_im_Umlauf_splitbereinigt!A$3:AM$103,11,FALSE)&lt;&gt;"",IF(VLOOKUP(A35,Schlußkurse!A$5:AU$105,44,FALSE)&gt;0,((VLOOKUP(A35,Aktien_im_Umlauf_splitbereinigt!A$3:AM$103,12,FALSE)-VLOOKUP(A35,Aktien_im_Umlauf_splitbereinigt!A$3:AM$103,11,FALSE))*VLOOKUP(A35,Schlußkurse!A$5:AU$105,44,FALSE))/VLOOKUP(A35,Aktien_im_Umlauf_splitbereinigt!A$3:AM$103,11,FALSE),0),0),0)</f>
        <v>-0.84405428490082557</v>
      </c>
      <c r="L35" s="97">
        <f>IF(VLOOKUP(A35,Aktien_im_Umlauf_splitbereinigt!A$3:AM$103,13,FALSE)&lt;&gt;"",IF(VLOOKUP(A35,Aktien_im_Umlauf_splitbereinigt!A$3:AM$103,12,FALSE)&lt;&gt;"",IF(VLOOKUP(A35,Schlußkurse!A$5:AU$105,45,FALSE)&gt;0,((VLOOKUP(A35,Aktien_im_Umlauf_splitbereinigt!A$3:AM$103,13,FALSE)-VLOOKUP(A35,Aktien_im_Umlauf_splitbereinigt!A$3:AM$103,12,FALSE))*VLOOKUP(A35,Schlußkurse!A$5:AU$105,45,FALSE))/VLOOKUP(A35,Aktien_im_Umlauf_splitbereinigt!A$3:AM$103,12,FALSE),0),0),0)</f>
        <v>1.0726101321585904</v>
      </c>
      <c r="M35" s="97">
        <f>IF(VLOOKUP(A35,Aktien_im_Umlauf_splitbereinigt!A$3:AM$103,14,FALSE)&lt;&gt;"",IF(VLOOKUP(A35,Aktien_im_Umlauf_splitbereinigt!A$3:AM$103,13,FALSE)&lt;&gt;"",IF(VLOOKUP(A35,Schlußkurse!A$5:AU$105,46,FALSE)&gt;0,((VLOOKUP(A35,Aktien_im_Umlauf_splitbereinigt!A$3:AM$103,14,FALSE)-VLOOKUP(A35,Aktien_im_Umlauf_splitbereinigt!A$3:AM$103,13,FALSE))*VLOOKUP(A35,Schlußkurse!A$5:AU$105,46,FALSE))/VLOOKUP(A35,Aktien_im_Umlauf_splitbereinigt!A$3:AM$103,13,FALSE),0),0),0)</f>
        <v>0.75214498394473095</v>
      </c>
      <c r="N35" s="13">
        <f>IF(C35&gt;0,IF(VLOOKUP(A35,Dividende_je_Aktie!A$3:AM$103,8,FALSE)&lt;&gt;"",C35+VLOOKUP(A35,Dividende_je_Aktie!A$3:AM$103,8,FALSE),C35),IF(VLOOKUP(A35,Dividende_je_Aktie!A$3:AM$103,8,FALSE)&lt;&gt;"",VLOOKUP(A35,Dividende_je_Aktie!A$3:AM$103,8,FALSE),""))</f>
        <v>0.93</v>
      </c>
      <c r="O35" s="13">
        <f>IF(D35&gt;0,IF(VLOOKUP(A35,Dividende_je_Aktie!A$3:AM$103,9,FALSE)&lt;&gt;"",D35+VLOOKUP(A35,Dividende_je_Aktie!A$3:AM$103,9,FALSE),D35),IF(VLOOKUP(A35,Dividende_je_Aktie!A$3:AM$103,9,FALSE)&lt;&gt;"",VLOOKUP(A35,Dividende_je_Aktie!A$3:AM$103,9,FALSE),""))</f>
        <v>3.1718072289156627</v>
      </c>
      <c r="P35" s="13">
        <f>IF(E35&gt;0,IF(VLOOKUP(A35,Dividende_je_Aktie!A$3:AM$103,10,FALSE)&lt;&gt;"",E35+VLOOKUP(A35,Dividende_je_Aktie!A$3:AM$103,10,FALSE),E35),IF(VLOOKUP(A35,Dividende_je_Aktie!A$3:AM$103,10,FALSE)&lt;&gt;"",VLOOKUP(A35,Dividende_je_Aktie!A$3:AM$103,10,FALSE),""))</f>
        <v>0.9000507109475987</v>
      </c>
      <c r="Q35" s="13">
        <f>IF(F35&gt;0,IF(VLOOKUP(A35,Dividende_je_Aktie!A$3:AM$103,11,FALSE)&lt;&gt;"",F35+VLOOKUP(A35,Dividende_je_Aktie!A$3:AM$103,11,FALSE),F35),IF(VLOOKUP(A35,Dividende_je_Aktie!A$3:AM$103,11,FALSE)&lt;&gt;"",VLOOKUP(A35,Dividende_je_Aktie!A$3:AM$103,11,FALSE),""))</f>
        <v>1.751171851704602</v>
      </c>
      <c r="R35" s="13">
        <f>IF(G35&gt;0,IF(VLOOKUP(A35,Dividende_je_Aktie!A$3:AM$103,12,FALSE)&lt;&gt;"",G35+VLOOKUP(A35,Dividende_je_Aktie!A$3:AM$103,12,FALSE),G35),IF(VLOOKUP(A35,Dividende_je_Aktie!A$3:AM$103,12,FALSE)&lt;&gt;"",VLOOKUP(A35,Dividende_je_Aktie!A$3:AM$103,12,FALSE),""))</f>
        <v>1.0368566211800885</v>
      </c>
      <c r="S35" s="13">
        <f>IF(H35&gt;0,IF(VLOOKUP(A35,Dividende_je_Aktie!A$3:AM$103,13,FALSE)&lt;&gt;"",H35+VLOOKUP(A35,Dividende_je_Aktie!A$3:AM$103,13,FALSE),H35),IF(VLOOKUP(A35,Dividende_je_Aktie!A$3:AM$103,13,FALSE)&lt;&gt;"",VLOOKUP(A35,Dividende_je_Aktie!A$3:AM$103,13,FALSE),""))</f>
        <v>0.68114537028279576</v>
      </c>
      <c r="T35" s="13">
        <f>IF(I35&gt;0,IF(VLOOKUP(A35,Dividende_je_Aktie!A$3:AM$103,14,FALSE)&lt;&gt;"",I35+VLOOKUP(A35,Dividende_je_Aktie!A$3:AM$103,14,FALSE),I35),IF(VLOOKUP(A35,Dividende_je_Aktie!A$3:AM$103,14,FALSE)&lt;&gt;"",VLOOKUP(A35,Dividende_je_Aktie!A$3:AM$103,14,FALSE),""))</f>
        <v>0.54270560527555345</v>
      </c>
      <c r="U35" s="13">
        <f>IF(J35&gt;0,IF(VLOOKUP(A35,Dividende_je_Aktie!A$3:AM$103,15,FALSE)&lt;&gt;"",J35+VLOOKUP(A35,Dividende_je_Aktie!A$3:AM$103,15,FALSE),J35),IF(VLOOKUP(A35,Dividende_je_Aktie!A$3:AM$103,15,FALSE)&lt;&gt;"",VLOOKUP(A35,Dividende_je_Aktie!A$3:AM$103,15,FALSE),""))</f>
        <v>0.61</v>
      </c>
      <c r="V35" s="13">
        <f>IF(K35&gt;0,IF(VLOOKUP(A35,Dividende_je_Aktie!A$3:AM$103,16,FALSE)&lt;&gt;"",K35+VLOOKUP(A35,Dividende_je_Aktie!A$3:AM$103,16,FALSE),K35),IF(VLOOKUP(A35,Dividende_je_Aktie!A$3:AM$103,16,FALSE)&lt;&gt;"",VLOOKUP(A35,Dividende_je_Aktie!A$3:AM$103,16,FALSE),""))</f>
        <v>1.24</v>
      </c>
      <c r="W35" s="13">
        <f>IF(L35&gt;0,IF(VLOOKUP(A35,Dividende_je_Aktie!A$3:AM$103,17,FALSE)&lt;&gt;"",L35+VLOOKUP(A35,Dividende_je_Aktie!A$3:AM$103,17,FALSE),L35),IF(VLOOKUP(A35,Dividende_je_Aktie!A$3:AM$103,17,FALSE)&lt;&gt;"",VLOOKUP(A35,Dividende_je_Aktie!A$3:AM$103,17,FALSE),""))</f>
        <v>2.2226101321585903</v>
      </c>
      <c r="X35" s="13">
        <f>IF(M35&gt;0,IF(VLOOKUP(A35,Dividende_je_Aktie!A$3:AM$103,18,FALSE)&lt;&gt;"",M35+VLOOKUP(A35,Dividende_je_Aktie!A$3:AM$103,18,FALSE),M35),IF(VLOOKUP(A35,Dividende_je_Aktie!A$3:AM$103,18,FALSE)&lt;&gt;"",VLOOKUP(A35,Dividende_je_Aktie!A$3:AM$103,18,FALSE),""))</f>
        <v>1.782144983944731</v>
      </c>
    </row>
    <row r="36" spans="1:24">
      <c r="A36" t="s">
        <v>46</v>
      </c>
      <c r="B36" t="s">
        <v>47</v>
      </c>
      <c r="C36" s="13">
        <f>IF(VLOOKUP(A36,Aktien_im_Umlauf_splitbereinigt!A$3:AM$103,4,FALSE)&lt;&gt;"",IF(VLOOKUP(A36,Aktien_im_Umlauf_splitbereinigt!A$3:AM$103,3,FALSE)&lt;&gt;"",IF(VLOOKUP(A36,Schlußkurse!A$5:AU$105,36,FALSE)&gt;0,((VLOOKUP(A36,Aktien_im_Umlauf_splitbereinigt!A$3:AM$103,4,FALSE)-VLOOKUP(A36,Aktien_im_Umlauf_splitbereinigt!A$3:AM$103,3,FALSE))*VLOOKUP(A36,Schlußkurse!A$5:AU$105,36,FALSE))/VLOOKUP(A36,Aktien_im_Umlauf_splitbereinigt!A$3:AM$103,3,FALSE),0),0),0)</f>
        <v>0</v>
      </c>
      <c r="D36" s="97">
        <f>IF(VLOOKUP(A36,Aktien_im_Umlauf_splitbereinigt!A$3:AM$103,5,FALSE)&lt;&gt;"",IF(VLOOKUP(A36,Aktien_im_Umlauf_splitbereinigt!A$3:AM$103,4,FALSE)&lt;&gt;"",IF(VLOOKUP(A36,Schlußkurse!A$5:AU$105,37,FALSE)&gt;0,((VLOOKUP(A36,Aktien_im_Umlauf_splitbereinigt!A$3:AM$103,5,FALSE)-VLOOKUP(A36,Aktien_im_Umlauf_splitbereinigt!A$3:AM$103,4,FALSE))*VLOOKUP(A36,Schlußkurse!A$5:AU$105,37,FALSE))/VLOOKUP(A36,Aktien_im_Umlauf_splitbereinigt!A$3:AM$103,4,FALSE),0),0),0)</f>
        <v>2.8953667109915329</v>
      </c>
      <c r="E36" s="97">
        <f>IF(VLOOKUP(A36,Aktien_im_Umlauf_splitbereinigt!A$3:AM$103,6,FALSE)&lt;&gt;"",IF(VLOOKUP(A36,Aktien_im_Umlauf_splitbereinigt!A$3:AM$103,5,FALSE)&lt;&gt;"",IF(VLOOKUP(A36,Schlußkurse!A$5:AU$105,38,FALSE)&gt;0,((VLOOKUP(A36,Aktien_im_Umlauf_splitbereinigt!A$3:AM$103,6,FALSE)-VLOOKUP(A36,Aktien_im_Umlauf_splitbereinigt!A$3:AM$103,5,FALSE))*VLOOKUP(A36,Schlußkurse!A$5:AU$105,38,FALSE))/VLOOKUP(A36,Aktien_im_Umlauf_splitbereinigt!A$3:AM$103,5,FALSE),0),0),0)</f>
        <v>10.282206517788639</v>
      </c>
      <c r="F36" s="97">
        <f>IF(VLOOKUP(A36,Aktien_im_Umlauf_splitbereinigt!A$3:AM$103,7,FALSE)&lt;&gt;"",IF(VLOOKUP(A36,Aktien_im_Umlauf_splitbereinigt!A$3:AM$103,6,FALSE)&lt;&gt;"",IF(VLOOKUP(A36,Schlußkurse!A$5:AU$105,39,FALSE)&gt;0,((VLOOKUP(A36,Aktien_im_Umlauf_splitbereinigt!A$3:AM$103,7,FALSE)-VLOOKUP(A36,Aktien_im_Umlauf_splitbereinigt!A$3:AM$103,6,FALSE))*VLOOKUP(A36,Schlußkurse!A$5:AU$105,39,FALSE))/VLOOKUP(A36,Aktien_im_Umlauf_splitbereinigt!A$3:AM$103,6,FALSE),0),0),0)</f>
        <v>11.211489563567362</v>
      </c>
      <c r="G36" s="97">
        <f>IF(VLOOKUP(A36,Aktien_im_Umlauf_splitbereinigt!A$3:AM$103,8,FALSE)&lt;&gt;"",IF(VLOOKUP(A36,Aktien_im_Umlauf_splitbereinigt!A$3:AM$103,7,FALSE)&lt;&gt;"",IF(VLOOKUP(A36,Schlußkurse!A$5:AU$105,40,FALSE)&gt;0,((VLOOKUP(A36,Aktien_im_Umlauf_splitbereinigt!A$3:AM$103,8,FALSE)-VLOOKUP(A36,Aktien_im_Umlauf_splitbereinigt!A$3:AM$103,7,FALSE))*VLOOKUP(A36,Schlußkurse!A$5:AU$105,40,FALSE))/VLOOKUP(A36,Aktien_im_Umlauf_splitbereinigt!A$3:AM$103,7,FALSE),0),0),0)</f>
        <v>7.8883616830796788</v>
      </c>
      <c r="H36" s="97">
        <f>IF(VLOOKUP(A36,Aktien_im_Umlauf_splitbereinigt!A$3:AM$103,9,FALSE)&lt;&gt;"",IF(VLOOKUP(A36,Aktien_im_Umlauf_splitbereinigt!A$3:AM$103,8,FALSE)&lt;&gt;"",IF(VLOOKUP(A36,Schlußkurse!A$5:AU$105,41,FALSE)&gt;0,((VLOOKUP(A36,Aktien_im_Umlauf_splitbereinigt!A$3:AM$103,9,FALSE)-VLOOKUP(A36,Aktien_im_Umlauf_splitbereinigt!A$3:AM$103,8,FALSE))*VLOOKUP(A36,Schlußkurse!A$5:AU$105,41,FALSE))/VLOOKUP(A36,Aktien_im_Umlauf_splitbereinigt!A$3:AM$103,8,FALSE),0),0),0)</f>
        <v>9.0121754084264829</v>
      </c>
      <c r="I36" s="97">
        <f>IF(VLOOKUP(A36,Aktien_im_Umlauf_splitbereinigt!A$3:AM$103,10,FALSE)&lt;&gt;"",IF(VLOOKUP(A36,Aktien_im_Umlauf_splitbereinigt!A$3:AM$103,9,FALSE)&lt;&gt;"",IF(VLOOKUP(A36,Schlußkurse!A$5:AU$105,42,FALSE)&gt;0,((VLOOKUP(A36,Aktien_im_Umlauf_splitbereinigt!A$3:AM$103,10,FALSE)-VLOOKUP(A36,Aktien_im_Umlauf_splitbereinigt!A$3:AM$103,9,FALSE))*VLOOKUP(A36,Schlußkurse!A$5:AU$105,42,FALSE))/VLOOKUP(A36,Aktien_im_Umlauf_splitbereinigt!A$3:AM$103,9,FALSE),0),0),0)</f>
        <v>10.225081967213114</v>
      </c>
      <c r="J36" s="97">
        <f>IF(VLOOKUP(A36,Aktien_im_Umlauf_splitbereinigt!A$3:AM$103,11,FALSE)&lt;&gt;"",IF(VLOOKUP(A36,Aktien_im_Umlauf_splitbereinigt!A$3:AM$103,10,FALSE)&lt;&gt;"",IF(VLOOKUP(A36,Schlußkurse!A$5:AU$105,43,FALSE)&gt;0,((VLOOKUP(A36,Aktien_im_Umlauf_splitbereinigt!A$3:AM$103,11,FALSE)-VLOOKUP(A36,Aktien_im_Umlauf_splitbereinigt!A$3:AM$103,10,FALSE))*VLOOKUP(A36,Schlußkurse!A$5:AU$105,43,FALSE))/VLOOKUP(A36,Aktien_im_Umlauf_splitbereinigt!A$3:AM$103,10,FALSE),0),0),0)</f>
        <v>3.4104214559386974</v>
      </c>
      <c r="K36" s="97">
        <f>IF(VLOOKUP(A36,Aktien_im_Umlauf_splitbereinigt!A$3:AM$103,12,FALSE)&lt;&gt;"",IF(VLOOKUP(A36,Aktien_im_Umlauf_splitbereinigt!A$3:AM$103,11,FALSE)&lt;&gt;"",IF(VLOOKUP(A36,Schlußkurse!A$5:AU$105,44,FALSE)&gt;0,((VLOOKUP(A36,Aktien_im_Umlauf_splitbereinigt!A$3:AM$103,12,FALSE)-VLOOKUP(A36,Aktien_im_Umlauf_splitbereinigt!A$3:AM$103,11,FALSE))*VLOOKUP(A36,Schlußkurse!A$5:AU$105,44,FALSE))/VLOOKUP(A36,Aktien_im_Umlauf_splitbereinigt!A$3:AM$103,11,FALSE),0),0),0)</f>
        <v>2.891232262882748</v>
      </c>
      <c r="L36" s="97">
        <f>IF(VLOOKUP(A36,Aktien_im_Umlauf_splitbereinigt!A$3:AM$103,13,FALSE)&lt;&gt;"",IF(VLOOKUP(A36,Aktien_im_Umlauf_splitbereinigt!A$3:AM$103,12,FALSE)&lt;&gt;"",IF(VLOOKUP(A36,Schlußkurse!A$5:AU$105,45,FALSE)&gt;0,((VLOOKUP(A36,Aktien_im_Umlauf_splitbereinigt!A$3:AM$103,13,FALSE)-VLOOKUP(A36,Aktien_im_Umlauf_splitbereinigt!A$3:AM$103,12,FALSE))*VLOOKUP(A36,Schlußkurse!A$5:AU$105,45,FALSE))/VLOOKUP(A36,Aktien_im_Umlauf_splitbereinigt!A$3:AM$103,12,FALSE),0),0),0)</f>
        <v>9.5221660649819491</v>
      </c>
      <c r="M36" s="97">
        <f>IF(VLOOKUP(A36,Aktien_im_Umlauf_splitbereinigt!A$3:AM$103,14,FALSE)&lt;&gt;"",IF(VLOOKUP(A36,Aktien_im_Umlauf_splitbereinigt!A$3:AM$103,13,FALSE)&lt;&gt;"",IF(VLOOKUP(A36,Schlußkurse!A$5:AU$105,46,FALSE)&gt;0,((VLOOKUP(A36,Aktien_im_Umlauf_splitbereinigt!A$3:AM$103,14,FALSE)-VLOOKUP(A36,Aktien_im_Umlauf_splitbereinigt!A$3:AM$103,13,FALSE))*VLOOKUP(A36,Schlußkurse!A$5:AU$105,46,FALSE))/VLOOKUP(A36,Aktien_im_Umlauf_splitbereinigt!A$3:AM$103,13,FALSE),0),0),0)</f>
        <v>4.3272130059721299</v>
      </c>
      <c r="N36" s="13">
        <f>IF(C36&gt;0,IF(VLOOKUP(A36,Dividende_je_Aktie!A$3:AM$103,8,FALSE)&lt;&gt;"",C36+VLOOKUP(A36,Dividende_je_Aktie!A$3:AM$103,8,FALSE),C36),IF(VLOOKUP(A36,Dividende_je_Aktie!A$3:AM$103,8,FALSE)&lt;&gt;"",VLOOKUP(A36,Dividende_je_Aktie!A$3:AM$103,8,FALSE),""))</f>
        <v>5.12</v>
      </c>
      <c r="O36" s="13">
        <f>IF(D36&gt;0,IF(VLOOKUP(A36,Dividende_je_Aktie!A$3:AM$103,9,FALSE)&lt;&gt;"",D36+VLOOKUP(A36,Dividende_je_Aktie!A$3:AM$103,9,FALSE),D36),IF(VLOOKUP(A36,Dividende_je_Aktie!A$3:AM$103,9,FALSE)&lt;&gt;"",VLOOKUP(A36,Dividende_je_Aktie!A$3:AM$103,9,FALSE),""))</f>
        <v>7.8953667109915333</v>
      </c>
      <c r="P36" s="13">
        <f>IF(E36&gt;0,IF(VLOOKUP(A36,Dividende_je_Aktie!A$3:AM$103,10,FALSE)&lt;&gt;"",E36+VLOOKUP(A36,Dividende_je_Aktie!A$3:AM$103,10,FALSE),E36),IF(VLOOKUP(A36,Dividende_je_Aktie!A$3:AM$103,10,FALSE)&lt;&gt;"",VLOOKUP(A36,Dividende_je_Aktie!A$3:AM$103,10,FALSE),""))</f>
        <v>14.532206517788639</v>
      </c>
      <c r="Q36" s="13">
        <f>IF(F36&gt;0,IF(VLOOKUP(A36,Dividende_je_Aktie!A$3:AM$103,11,FALSE)&lt;&gt;"",F36+VLOOKUP(A36,Dividende_je_Aktie!A$3:AM$103,11,FALSE),F36),IF(VLOOKUP(A36,Dividende_je_Aktie!A$3:AM$103,11,FALSE)&lt;&gt;"",VLOOKUP(A36,Dividende_je_Aktie!A$3:AM$103,11,FALSE),""))</f>
        <v>14.911489563567361</v>
      </c>
      <c r="R36" s="13">
        <f>IF(G36&gt;0,IF(VLOOKUP(A36,Dividende_je_Aktie!A$3:AM$103,12,FALSE)&lt;&gt;"",G36+VLOOKUP(A36,Dividende_je_Aktie!A$3:AM$103,12,FALSE),G36),IF(VLOOKUP(A36,Dividende_je_Aktie!A$3:AM$103,12,FALSE)&lt;&gt;"",VLOOKUP(A36,Dividende_je_Aktie!A$3:AM$103,12,FALSE),""))</f>
        <v>11.188361683079679</v>
      </c>
      <c r="S36" s="13">
        <f>IF(H36&gt;0,IF(VLOOKUP(A36,Dividende_je_Aktie!A$3:AM$103,13,FALSE)&lt;&gt;"",H36+VLOOKUP(A36,Dividende_je_Aktie!A$3:AM$103,13,FALSE),H36),IF(VLOOKUP(A36,Dividende_je_Aktie!A$3:AM$103,13,FALSE)&lt;&gt;"",VLOOKUP(A36,Dividende_je_Aktie!A$3:AM$103,13,FALSE),""))</f>
        <v>11.912175408426483</v>
      </c>
      <c r="T36" s="13">
        <f>IF(I36&gt;0,IF(VLOOKUP(A36,Dividende_je_Aktie!A$3:AM$103,14,FALSE)&lt;&gt;"",I36+VLOOKUP(A36,Dividende_je_Aktie!A$3:AM$103,14,FALSE),I36),IF(VLOOKUP(A36,Dividende_je_Aktie!A$3:AM$103,14,FALSE)&lt;&gt;"",VLOOKUP(A36,Dividende_je_Aktie!A$3:AM$103,14,FALSE),""))</f>
        <v>12.725081967213114</v>
      </c>
      <c r="U36" s="13">
        <f>IF(J36&gt;0,IF(VLOOKUP(A36,Dividende_je_Aktie!A$3:AM$103,15,FALSE)&lt;&gt;"",J36+VLOOKUP(A36,Dividende_je_Aktie!A$3:AM$103,15,FALSE),J36),IF(VLOOKUP(A36,Dividende_je_Aktie!A$3:AM$103,15,FALSE)&lt;&gt;"",VLOOKUP(A36,Dividende_je_Aktie!A$3:AM$103,15,FALSE),""))</f>
        <v>5.5604214559386973</v>
      </c>
      <c r="V36" s="13">
        <f>IF(K36&gt;0,IF(VLOOKUP(A36,Dividende_je_Aktie!A$3:AM$103,16,FALSE)&lt;&gt;"",K36+VLOOKUP(A36,Dividende_je_Aktie!A$3:AM$103,16,FALSE),K36),IF(VLOOKUP(A36,Dividende_je_Aktie!A$3:AM$103,16,FALSE)&lt;&gt;"",VLOOKUP(A36,Dividende_je_Aktie!A$3:AM$103,16,FALSE),""))</f>
        <v>4.7912322628827475</v>
      </c>
      <c r="W36" s="13">
        <f>IF(L36&gt;0,IF(VLOOKUP(A36,Dividende_je_Aktie!A$3:AM$103,17,FALSE)&lt;&gt;"",L36+VLOOKUP(A36,Dividende_je_Aktie!A$3:AM$103,17,FALSE),L36),IF(VLOOKUP(A36,Dividende_je_Aktie!A$3:AM$103,17,FALSE)&lt;&gt;"",VLOOKUP(A36,Dividende_je_Aktie!A$3:AM$103,17,FALSE),""))</f>
        <v>11.022166064981949</v>
      </c>
      <c r="X36" s="13">
        <f>IF(M36&gt;0,IF(VLOOKUP(A36,Dividende_je_Aktie!A$3:AM$103,18,FALSE)&lt;&gt;"",M36+VLOOKUP(A36,Dividende_je_Aktie!A$3:AM$103,18,FALSE),M36),IF(VLOOKUP(A36,Dividende_je_Aktie!A$3:AM$103,18,FALSE)&lt;&gt;"",VLOOKUP(A36,Dividende_je_Aktie!A$3:AM$103,18,FALSE),""))</f>
        <v>5.4272130059721295</v>
      </c>
    </row>
    <row r="37" spans="1:24">
      <c r="A37" t="s">
        <v>48</v>
      </c>
      <c r="B37" t="s">
        <v>49</v>
      </c>
      <c r="C37" s="13">
        <f>IF(VLOOKUP(A37,Aktien_im_Umlauf_splitbereinigt!A$3:AM$103,4,FALSE)&lt;&gt;"",IF(VLOOKUP(A37,Aktien_im_Umlauf_splitbereinigt!A$3:AM$103,3,FALSE)&lt;&gt;"",IF(VLOOKUP(A37,Schlußkurse!A$5:AU$105,36,FALSE)&gt;0,((VLOOKUP(A37,Aktien_im_Umlauf_splitbereinigt!A$3:AM$103,4,FALSE)-VLOOKUP(A37,Aktien_im_Umlauf_splitbereinigt!A$3:AM$103,3,FALSE))*VLOOKUP(A37,Schlußkurse!A$5:AU$105,36,FALSE))/VLOOKUP(A37,Aktien_im_Umlauf_splitbereinigt!A$3:AM$103,3,FALSE),0),0),0)</f>
        <v>0</v>
      </c>
      <c r="D37" s="97">
        <f>IF(VLOOKUP(A37,Aktien_im_Umlauf_splitbereinigt!A$3:AM$103,5,FALSE)&lt;&gt;"",IF(VLOOKUP(A37,Aktien_im_Umlauf_splitbereinigt!A$3:AM$103,4,FALSE)&lt;&gt;"",IF(VLOOKUP(A37,Schlußkurse!A$5:AU$105,37,FALSE)&gt;0,((VLOOKUP(A37,Aktien_im_Umlauf_splitbereinigt!A$3:AM$103,5,FALSE)-VLOOKUP(A37,Aktien_im_Umlauf_splitbereinigt!A$3:AM$103,4,FALSE))*VLOOKUP(A37,Schlußkurse!A$5:AU$105,37,FALSE))/VLOOKUP(A37,Aktien_im_Umlauf_splitbereinigt!A$3:AM$103,4,FALSE),0),0),0)</f>
        <v>1.0439782214156079</v>
      </c>
      <c r="E37" s="97">
        <f>IF(VLOOKUP(A37,Aktien_im_Umlauf_splitbereinigt!A$3:AM$103,6,FALSE)&lt;&gt;"",IF(VLOOKUP(A37,Aktien_im_Umlauf_splitbereinigt!A$3:AM$103,5,FALSE)&lt;&gt;"",IF(VLOOKUP(A37,Schlußkurse!A$5:AU$105,38,FALSE)&gt;0,((VLOOKUP(A37,Aktien_im_Umlauf_splitbereinigt!A$3:AM$103,6,FALSE)-VLOOKUP(A37,Aktien_im_Umlauf_splitbereinigt!A$3:AM$103,5,FALSE))*VLOOKUP(A37,Schlußkurse!A$5:AU$105,38,FALSE))/VLOOKUP(A37,Aktien_im_Umlauf_splitbereinigt!A$3:AM$103,5,FALSE),0),0),0)</f>
        <v>1.4278332734459216</v>
      </c>
      <c r="F37" s="97">
        <f>IF(VLOOKUP(A37,Aktien_im_Umlauf_splitbereinigt!A$3:AM$103,7,FALSE)&lt;&gt;"",IF(VLOOKUP(A37,Aktien_im_Umlauf_splitbereinigt!A$3:AM$103,6,FALSE)&lt;&gt;"",IF(VLOOKUP(A37,Schlußkurse!A$5:AU$105,39,FALSE)&gt;0,((VLOOKUP(A37,Aktien_im_Umlauf_splitbereinigt!A$3:AM$103,7,FALSE)-VLOOKUP(A37,Aktien_im_Umlauf_splitbereinigt!A$3:AM$103,6,FALSE))*VLOOKUP(A37,Schlußkurse!A$5:AU$105,39,FALSE))/VLOOKUP(A37,Aktien_im_Umlauf_splitbereinigt!A$3:AM$103,6,FALSE),0),0),0)</f>
        <v>-1.3954803261254876</v>
      </c>
      <c r="G37" s="97">
        <f>IF(VLOOKUP(A37,Aktien_im_Umlauf_splitbereinigt!A$3:AM$103,8,FALSE)&lt;&gt;"",IF(VLOOKUP(A37,Aktien_im_Umlauf_splitbereinigt!A$3:AM$103,7,FALSE)&lt;&gt;"",IF(VLOOKUP(A37,Schlußkurse!A$5:AU$105,40,FALSE)&gt;0,((VLOOKUP(A37,Aktien_im_Umlauf_splitbereinigt!A$3:AM$103,8,FALSE)-VLOOKUP(A37,Aktien_im_Umlauf_splitbereinigt!A$3:AM$103,7,FALSE))*VLOOKUP(A37,Schlußkurse!A$5:AU$105,40,FALSE))/VLOOKUP(A37,Aktien_im_Umlauf_splitbereinigt!A$3:AM$103,7,FALSE),0),0),0)</f>
        <v>-1.3626349892008638</v>
      </c>
      <c r="H37" s="97">
        <f>IF(VLOOKUP(A37,Aktien_im_Umlauf_splitbereinigt!A$3:AM$103,9,FALSE)&lt;&gt;"",IF(VLOOKUP(A37,Aktien_im_Umlauf_splitbereinigt!A$3:AM$103,8,FALSE)&lt;&gt;"",IF(VLOOKUP(A37,Schlußkurse!A$5:AU$105,41,FALSE)&gt;0,((VLOOKUP(A37,Aktien_im_Umlauf_splitbereinigt!A$3:AM$103,9,FALSE)-VLOOKUP(A37,Aktien_im_Umlauf_splitbereinigt!A$3:AM$103,8,FALSE))*VLOOKUP(A37,Schlußkurse!A$5:AU$105,41,FALSE))/VLOOKUP(A37,Aktien_im_Umlauf_splitbereinigt!A$3:AM$103,8,FALSE),0),0),0)</f>
        <v>0.33704845814977974</v>
      </c>
      <c r="I37" s="97">
        <f>IF(VLOOKUP(A37,Aktien_im_Umlauf_splitbereinigt!A$3:AM$103,10,FALSE)&lt;&gt;"",IF(VLOOKUP(A37,Aktien_im_Umlauf_splitbereinigt!A$3:AM$103,9,FALSE)&lt;&gt;"",IF(VLOOKUP(A37,Schlußkurse!A$5:AU$105,42,FALSE)&gt;0,((VLOOKUP(A37,Aktien_im_Umlauf_splitbereinigt!A$3:AM$103,10,FALSE)-VLOOKUP(A37,Aktien_im_Umlauf_splitbereinigt!A$3:AM$103,9,FALSE))*VLOOKUP(A37,Schlußkurse!A$5:AU$105,42,FALSE))/VLOOKUP(A37,Aktien_im_Umlauf_splitbereinigt!A$3:AM$103,9,FALSE),0),0),0)</f>
        <v>0.3614317019722425</v>
      </c>
      <c r="J37" s="97">
        <f>IF(VLOOKUP(A37,Aktien_im_Umlauf_splitbereinigt!A$3:AM$103,11,FALSE)&lt;&gt;"",IF(VLOOKUP(A37,Aktien_im_Umlauf_splitbereinigt!A$3:AM$103,10,FALSE)&lt;&gt;"",IF(VLOOKUP(A37,Schlußkurse!A$5:AU$105,43,FALSE)&gt;0,((VLOOKUP(A37,Aktien_im_Umlauf_splitbereinigt!A$3:AM$103,11,FALSE)-VLOOKUP(A37,Aktien_im_Umlauf_splitbereinigt!A$3:AM$103,10,FALSE))*VLOOKUP(A37,Schlußkurse!A$5:AU$105,43,FALSE))/VLOOKUP(A37,Aktien_im_Umlauf_splitbereinigt!A$3:AM$103,10,FALSE),0),0),0)</f>
        <v>0.35081699346405226</v>
      </c>
      <c r="K37" s="97">
        <f>IF(VLOOKUP(A37,Aktien_im_Umlauf_splitbereinigt!A$3:AM$103,12,FALSE)&lt;&gt;"",IF(VLOOKUP(A37,Aktien_im_Umlauf_splitbereinigt!A$3:AM$103,11,FALSE)&lt;&gt;"",IF(VLOOKUP(A37,Schlußkurse!A$5:AU$105,44,FALSE)&gt;0,((VLOOKUP(A37,Aktien_im_Umlauf_splitbereinigt!A$3:AM$103,12,FALSE)-VLOOKUP(A37,Aktien_im_Umlauf_splitbereinigt!A$3:AM$103,11,FALSE))*VLOOKUP(A37,Schlußkurse!A$5:AU$105,44,FALSE))/VLOOKUP(A37,Aktien_im_Umlauf_splitbereinigt!A$3:AM$103,11,FALSE),0),0),0)</f>
        <v>1.5341025641025643</v>
      </c>
      <c r="L37" s="97">
        <f>IF(VLOOKUP(A37,Aktien_im_Umlauf_splitbereinigt!A$3:AM$103,13,FALSE)&lt;&gt;"",IF(VLOOKUP(A37,Aktien_im_Umlauf_splitbereinigt!A$3:AM$103,12,FALSE)&lt;&gt;"",IF(VLOOKUP(A37,Schlußkurse!A$5:AU$105,45,FALSE)&gt;0,((VLOOKUP(A37,Aktien_im_Umlauf_splitbereinigt!A$3:AM$103,13,FALSE)-VLOOKUP(A37,Aktien_im_Umlauf_splitbereinigt!A$3:AM$103,12,FALSE))*VLOOKUP(A37,Schlußkurse!A$5:AU$105,45,FALSE))/VLOOKUP(A37,Aktien_im_Umlauf_splitbereinigt!A$3:AM$103,12,FALSE),0),0),0)</f>
        <v>1.2447535211267606</v>
      </c>
      <c r="M37" s="97">
        <f>IF(VLOOKUP(A37,Aktien_im_Umlauf_splitbereinigt!A$3:AM$103,14,FALSE)&lt;&gt;"",IF(VLOOKUP(A37,Aktien_im_Umlauf_splitbereinigt!A$3:AM$103,13,FALSE)&lt;&gt;"",IF(VLOOKUP(A37,Schlußkurse!A$5:AU$105,46,FALSE)&gt;0,((VLOOKUP(A37,Aktien_im_Umlauf_splitbereinigt!A$3:AM$103,14,FALSE)-VLOOKUP(A37,Aktien_im_Umlauf_splitbereinigt!A$3:AM$103,13,FALSE))*VLOOKUP(A37,Schlußkurse!A$5:AU$105,46,FALSE))/VLOOKUP(A37,Aktien_im_Umlauf_splitbereinigt!A$3:AM$103,13,FALSE),0),0),0)</f>
        <v>1.8729899758036639</v>
      </c>
      <c r="N37" s="13">
        <f>IF(C37&gt;0,IF(VLOOKUP(A37,Dividende_je_Aktie!A$3:AM$103,8,FALSE)&lt;&gt;"",C37+VLOOKUP(A37,Dividende_je_Aktie!A$3:AM$103,8,FALSE),C37),IF(VLOOKUP(A37,Dividende_je_Aktie!A$3:AM$103,8,FALSE)&lt;&gt;"",VLOOKUP(A37,Dividende_je_Aktie!A$3:AM$103,8,FALSE),""))</f>
        <v>3.07</v>
      </c>
      <c r="O37" s="13">
        <f>IF(D37&gt;0,IF(VLOOKUP(A37,Dividende_je_Aktie!A$3:AM$103,9,FALSE)&lt;&gt;"",D37+VLOOKUP(A37,Dividende_je_Aktie!A$3:AM$103,9,FALSE),D37),IF(VLOOKUP(A37,Dividende_je_Aktie!A$3:AM$103,9,FALSE)&lt;&gt;"",VLOOKUP(A37,Dividende_je_Aktie!A$3:AM$103,9,FALSE),""))</f>
        <v>3.9939782214156079</v>
      </c>
      <c r="P37" s="13">
        <f>IF(E37&gt;0,IF(VLOOKUP(A37,Dividende_je_Aktie!A$3:AM$103,10,FALSE)&lt;&gt;"",E37+VLOOKUP(A37,Dividende_je_Aktie!A$3:AM$103,10,FALSE),E37),IF(VLOOKUP(A37,Dividende_je_Aktie!A$3:AM$103,10,FALSE)&lt;&gt;"",VLOOKUP(A37,Dividende_je_Aktie!A$3:AM$103,10,FALSE),""))</f>
        <v>4.1878332734459214</v>
      </c>
      <c r="Q37" s="13">
        <f>IF(F37&gt;0,IF(VLOOKUP(A37,Dividende_je_Aktie!A$3:AM$103,11,FALSE)&lt;&gt;"",F37+VLOOKUP(A37,Dividende_je_Aktie!A$3:AM$103,11,FALSE),F37),IF(VLOOKUP(A37,Dividende_je_Aktie!A$3:AM$103,11,FALSE)&lt;&gt;"",VLOOKUP(A37,Dividende_je_Aktie!A$3:AM$103,11,FALSE),""))</f>
        <v>2.59</v>
      </c>
      <c r="R37" s="13">
        <f>IF(G37&gt;0,IF(VLOOKUP(A37,Dividende_je_Aktie!A$3:AM$103,12,FALSE)&lt;&gt;"",G37+VLOOKUP(A37,Dividende_je_Aktie!A$3:AM$103,12,FALSE),G37),IF(VLOOKUP(A37,Dividende_je_Aktie!A$3:AM$103,12,FALSE)&lt;&gt;"",VLOOKUP(A37,Dividende_je_Aktie!A$3:AM$103,12,FALSE),""))</f>
        <v>2.4</v>
      </c>
      <c r="S37" s="13">
        <f>IF(H37&gt;0,IF(VLOOKUP(A37,Dividende_je_Aktie!A$3:AM$103,13,FALSE)&lt;&gt;"",H37+VLOOKUP(A37,Dividende_je_Aktie!A$3:AM$103,13,FALSE),H37),IF(VLOOKUP(A37,Dividende_je_Aktie!A$3:AM$103,13,FALSE)&lt;&gt;"",VLOOKUP(A37,Dividende_je_Aktie!A$3:AM$103,13,FALSE),""))</f>
        <v>2.5870484581497797</v>
      </c>
      <c r="T37" s="13">
        <f>IF(I37&gt;0,IF(VLOOKUP(A37,Dividende_je_Aktie!A$3:AM$103,14,FALSE)&lt;&gt;"",I37+VLOOKUP(A37,Dividende_je_Aktie!A$3:AM$103,14,FALSE),I37),IF(VLOOKUP(A37,Dividende_je_Aktie!A$3:AM$103,14,FALSE)&lt;&gt;"",VLOOKUP(A37,Dividende_je_Aktie!A$3:AM$103,14,FALSE),""))</f>
        <v>2.4714317019722425</v>
      </c>
      <c r="U37" s="13">
        <f>IF(J37&gt;0,IF(VLOOKUP(A37,Dividende_je_Aktie!A$3:AM$103,15,FALSE)&lt;&gt;"",J37+VLOOKUP(A37,Dividende_je_Aktie!A$3:AM$103,15,FALSE),J37),IF(VLOOKUP(A37,Dividende_je_Aktie!A$3:AM$103,15,FALSE)&lt;&gt;"",VLOOKUP(A37,Dividende_je_Aktie!A$3:AM$103,15,FALSE),""))</f>
        <v>2.2808169934640521</v>
      </c>
      <c r="V37" s="13">
        <f>IF(K37&gt;0,IF(VLOOKUP(A37,Dividende_je_Aktie!A$3:AM$103,16,FALSE)&lt;&gt;"",K37+VLOOKUP(A37,Dividende_je_Aktie!A$3:AM$103,16,FALSE),K37),IF(VLOOKUP(A37,Dividende_je_Aktie!A$3:AM$103,16,FALSE)&lt;&gt;"",VLOOKUP(A37,Dividende_je_Aktie!A$3:AM$103,16,FALSE),""))</f>
        <v>3.3291025641025644</v>
      </c>
      <c r="W37" s="13">
        <f>IF(L37&gt;0,IF(VLOOKUP(A37,Dividende_je_Aktie!A$3:AM$103,17,FALSE)&lt;&gt;"",L37+VLOOKUP(A37,Dividende_je_Aktie!A$3:AM$103,17,FALSE),L37),IF(VLOOKUP(A37,Dividende_je_Aktie!A$3:AM$103,17,FALSE)&lt;&gt;"",VLOOKUP(A37,Dividende_je_Aktie!A$3:AM$103,17,FALSE),""))</f>
        <v>2.8647535211267607</v>
      </c>
      <c r="X37" s="13">
        <f>IF(M37&gt;0,IF(VLOOKUP(A37,Dividende_je_Aktie!A$3:AM$103,18,FALSE)&lt;&gt;"",M37+VLOOKUP(A37,Dividende_je_Aktie!A$3:AM$103,18,FALSE),M37),IF(VLOOKUP(A37,Dividende_je_Aktie!A$3:AM$103,18,FALSE)&lt;&gt;"",VLOOKUP(A37,Dividende_je_Aktie!A$3:AM$103,18,FALSE),""))</f>
        <v>3.3279899758036642</v>
      </c>
    </row>
    <row r="38" spans="1:24">
      <c r="A38" t="s">
        <v>314</v>
      </c>
      <c r="B38" t="s">
        <v>315</v>
      </c>
      <c r="C38" s="13">
        <f>IF(VLOOKUP(A38,Aktien_im_Umlauf_splitbereinigt!A$3:AM$103,4,FALSE)&lt;&gt;"",IF(VLOOKUP(A38,Aktien_im_Umlauf_splitbereinigt!A$3:AM$103,3,FALSE)&lt;&gt;"",IF(VLOOKUP(A38,Schlußkurse!A$5:AU$105,36,FALSE)&gt;0,((VLOOKUP(A38,Aktien_im_Umlauf_splitbereinigt!A$3:AM$103,4,FALSE)-VLOOKUP(A38,Aktien_im_Umlauf_splitbereinigt!A$3:AM$103,3,FALSE))*VLOOKUP(A38,Schlußkurse!A$5:AU$105,36,FALSE))/VLOOKUP(A38,Aktien_im_Umlauf_splitbereinigt!A$3:AM$103,3,FALSE),0),0),0)</f>
        <v>0</v>
      </c>
      <c r="D38" s="97">
        <f>IF(VLOOKUP(A38,Aktien_im_Umlauf_splitbereinigt!A$3:AM$103,5,FALSE)&lt;&gt;"",IF(VLOOKUP(A38,Aktien_im_Umlauf_splitbereinigt!A$3:AM$103,4,FALSE)&lt;&gt;"",IF(VLOOKUP(A38,Schlußkurse!A$5:AU$105,37,FALSE)&gt;0,((VLOOKUP(A38,Aktien_im_Umlauf_splitbereinigt!A$3:AM$103,5,FALSE)-VLOOKUP(A38,Aktien_im_Umlauf_splitbereinigt!A$3:AM$103,4,FALSE))*VLOOKUP(A38,Schlußkurse!A$5:AU$105,37,FALSE))/VLOOKUP(A38,Aktien_im_Umlauf_splitbereinigt!A$3:AM$103,4,FALSE),0),0),0)</f>
        <v>0</v>
      </c>
      <c r="E38" s="97">
        <f>IF(VLOOKUP(A38,Aktien_im_Umlauf_splitbereinigt!A$3:AM$103,6,FALSE)&lt;&gt;"",IF(VLOOKUP(A38,Aktien_im_Umlauf_splitbereinigt!A$3:AM$103,5,FALSE)&lt;&gt;"",IF(VLOOKUP(A38,Schlußkurse!A$5:AU$105,38,FALSE)&gt;0,((VLOOKUP(A38,Aktien_im_Umlauf_splitbereinigt!A$3:AM$103,6,FALSE)-VLOOKUP(A38,Aktien_im_Umlauf_splitbereinigt!A$3:AM$103,5,FALSE))*VLOOKUP(A38,Schlußkurse!A$5:AU$105,38,FALSE))/VLOOKUP(A38,Aktien_im_Umlauf_splitbereinigt!A$3:AM$103,5,FALSE),0),0),0)</f>
        <v>0</v>
      </c>
      <c r="F38" s="97">
        <f>IF(VLOOKUP(A38,Aktien_im_Umlauf_splitbereinigt!A$3:AM$103,7,FALSE)&lt;&gt;"",IF(VLOOKUP(A38,Aktien_im_Umlauf_splitbereinigt!A$3:AM$103,6,FALSE)&lt;&gt;"",IF(VLOOKUP(A38,Schlußkurse!A$5:AU$105,39,FALSE)&gt;0,((VLOOKUP(A38,Aktien_im_Umlauf_splitbereinigt!A$3:AM$103,7,FALSE)-VLOOKUP(A38,Aktien_im_Umlauf_splitbereinigt!A$3:AM$103,6,FALSE))*VLOOKUP(A38,Schlußkurse!A$5:AU$105,39,FALSE))/VLOOKUP(A38,Aktien_im_Umlauf_splitbereinigt!A$3:AM$103,6,FALSE),0),0),0)</f>
        <v>0</v>
      </c>
      <c r="G38" s="97">
        <f>IF(VLOOKUP(A38,Aktien_im_Umlauf_splitbereinigt!A$3:AM$103,8,FALSE)&lt;&gt;"",IF(VLOOKUP(A38,Aktien_im_Umlauf_splitbereinigt!A$3:AM$103,7,FALSE)&lt;&gt;"",IF(VLOOKUP(A38,Schlußkurse!A$5:AU$105,40,FALSE)&gt;0,((VLOOKUP(A38,Aktien_im_Umlauf_splitbereinigt!A$3:AM$103,8,FALSE)-VLOOKUP(A38,Aktien_im_Umlauf_splitbereinigt!A$3:AM$103,7,FALSE))*VLOOKUP(A38,Schlußkurse!A$5:AU$105,40,FALSE))/VLOOKUP(A38,Aktien_im_Umlauf_splitbereinigt!A$3:AM$103,7,FALSE),0),0),0)</f>
        <v>0</v>
      </c>
      <c r="H38" s="97">
        <f>IF(VLOOKUP(A38,Aktien_im_Umlauf_splitbereinigt!A$3:AM$103,9,FALSE)&lt;&gt;"",IF(VLOOKUP(A38,Aktien_im_Umlauf_splitbereinigt!A$3:AM$103,8,FALSE)&lt;&gt;"",IF(VLOOKUP(A38,Schlußkurse!A$5:AU$105,41,FALSE)&gt;0,((VLOOKUP(A38,Aktien_im_Umlauf_splitbereinigt!A$3:AM$103,9,FALSE)-VLOOKUP(A38,Aktien_im_Umlauf_splitbereinigt!A$3:AM$103,8,FALSE))*VLOOKUP(A38,Schlußkurse!A$5:AU$105,41,FALSE))/VLOOKUP(A38,Aktien_im_Umlauf_splitbereinigt!A$3:AM$103,8,FALSE),0),0),0)</f>
        <v>0</v>
      </c>
      <c r="I38" s="97">
        <f>IF(VLOOKUP(A38,Aktien_im_Umlauf_splitbereinigt!A$3:AM$103,10,FALSE)&lt;&gt;"",IF(VLOOKUP(A38,Aktien_im_Umlauf_splitbereinigt!A$3:AM$103,9,FALSE)&lt;&gt;"",IF(VLOOKUP(A38,Schlußkurse!A$5:AU$105,42,FALSE)&gt;0,((VLOOKUP(A38,Aktien_im_Umlauf_splitbereinigt!A$3:AM$103,10,FALSE)-VLOOKUP(A38,Aktien_im_Umlauf_splitbereinigt!A$3:AM$103,9,FALSE))*VLOOKUP(A38,Schlußkurse!A$5:AU$105,42,FALSE))/VLOOKUP(A38,Aktien_im_Umlauf_splitbereinigt!A$3:AM$103,9,FALSE),0),0),0)</f>
        <v>0</v>
      </c>
      <c r="J38" s="97">
        <f>IF(VLOOKUP(A38,Aktien_im_Umlauf_splitbereinigt!A$3:AM$103,11,FALSE)&lt;&gt;"",IF(VLOOKUP(A38,Aktien_im_Umlauf_splitbereinigt!A$3:AM$103,10,FALSE)&lt;&gt;"",IF(VLOOKUP(A38,Schlußkurse!A$5:AU$105,43,FALSE)&gt;0,((VLOOKUP(A38,Aktien_im_Umlauf_splitbereinigt!A$3:AM$103,11,FALSE)-VLOOKUP(A38,Aktien_im_Umlauf_splitbereinigt!A$3:AM$103,10,FALSE))*VLOOKUP(A38,Schlußkurse!A$5:AU$105,43,FALSE))/VLOOKUP(A38,Aktien_im_Umlauf_splitbereinigt!A$3:AM$103,10,FALSE),0),0),0)</f>
        <v>0</v>
      </c>
      <c r="K38" s="97">
        <f>IF(VLOOKUP(A38,Aktien_im_Umlauf_splitbereinigt!A$3:AM$103,12,FALSE)&lt;&gt;"",IF(VLOOKUP(A38,Aktien_im_Umlauf_splitbereinigt!A$3:AM$103,11,FALSE)&lt;&gt;"",IF(VLOOKUP(A38,Schlußkurse!A$5:AU$105,44,FALSE)&gt;0,((VLOOKUP(A38,Aktien_im_Umlauf_splitbereinigt!A$3:AM$103,12,FALSE)-VLOOKUP(A38,Aktien_im_Umlauf_splitbereinigt!A$3:AM$103,11,FALSE))*VLOOKUP(A38,Schlußkurse!A$5:AU$105,44,FALSE))/VLOOKUP(A38,Aktien_im_Umlauf_splitbereinigt!A$3:AM$103,11,FALSE),0),0),0)</f>
        <v>0</v>
      </c>
      <c r="L38" s="97">
        <f>IF(VLOOKUP(A38,Aktien_im_Umlauf_splitbereinigt!A$3:AM$103,13,FALSE)&lt;&gt;"",IF(VLOOKUP(A38,Aktien_im_Umlauf_splitbereinigt!A$3:AM$103,12,FALSE)&lt;&gt;"",IF(VLOOKUP(A38,Schlußkurse!A$5:AU$105,45,FALSE)&gt;0,((VLOOKUP(A38,Aktien_im_Umlauf_splitbereinigt!A$3:AM$103,13,FALSE)-VLOOKUP(A38,Aktien_im_Umlauf_splitbereinigt!A$3:AM$103,12,FALSE))*VLOOKUP(A38,Schlußkurse!A$5:AU$105,45,FALSE))/VLOOKUP(A38,Aktien_im_Umlauf_splitbereinigt!A$3:AM$103,12,FALSE),0),0),0)</f>
        <v>0</v>
      </c>
      <c r="M38" s="97">
        <f>IF(VLOOKUP(A38,Aktien_im_Umlauf_splitbereinigt!A$3:AM$103,14,FALSE)&lt;&gt;"",IF(VLOOKUP(A38,Aktien_im_Umlauf_splitbereinigt!A$3:AM$103,13,FALSE)&lt;&gt;"",IF(VLOOKUP(A38,Schlußkurse!A$5:AU$105,46,FALSE)&gt;0,((VLOOKUP(A38,Aktien_im_Umlauf_splitbereinigt!A$3:AM$103,14,FALSE)-VLOOKUP(A38,Aktien_im_Umlauf_splitbereinigt!A$3:AM$103,13,FALSE))*VLOOKUP(A38,Schlußkurse!A$5:AU$105,46,FALSE))/VLOOKUP(A38,Aktien_im_Umlauf_splitbereinigt!A$3:AM$103,13,FALSE),0),0),0)</f>
        <v>0</v>
      </c>
      <c r="N38" s="13">
        <f>IF(C38&gt;0,IF(VLOOKUP(A38,Dividende_je_Aktie!A$3:AM$103,8,FALSE)&lt;&gt;"",C38+VLOOKUP(A38,Dividende_je_Aktie!A$3:AM$103,8,FALSE),C38),IF(VLOOKUP(A38,Dividende_je_Aktie!A$3:AM$103,8,FALSE)&lt;&gt;"",VLOOKUP(A38,Dividende_je_Aktie!A$3:AM$103,8,FALSE),""))</f>
        <v>2.3199999999999998</v>
      </c>
      <c r="O38" s="13">
        <f>IF(D38&gt;0,IF(VLOOKUP(A38,Dividende_je_Aktie!A$3:AM$103,9,FALSE)&lt;&gt;"",D38+VLOOKUP(A38,Dividende_je_Aktie!A$3:AM$103,9,FALSE),D38),IF(VLOOKUP(A38,Dividende_je_Aktie!A$3:AM$103,9,FALSE)&lt;&gt;"",VLOOKUP(A38,Dividende_je_Aktie!A$3:AM$103,9,FALSE),""))</f>
        <v>1.7</v>
      </c>
      <c r="P38" s="13" t="str">
        <f>IF(E38&gt;0,IF(VLOOKUP(A38,Dividende_je_Aktie!A$3:AM$103,10,FALSE)&lt;&gt;"",E38+VLOOKUP(A38,Dividende_je_Aktie!A$3:AM$103,10,FALSE),E38),IF(VLOOKUP(A38,Dividende_je_Aktie!A$3:AM$103,10,FALSE)&lt;&gt;"",VLOOKUP(A38,Dividende_je_Aktie!A$3:AM$103,10,FALSE),""))</f>
        <v/>
      </c>
      <c r="Q38" s="13" t="str">
        <f>IF(F38&gt;0,IF(VLOOKUP(A38,Dividende_je_Aktie!A$3:AM$103,11,FALSE)&lt;&gt;"",F38+VLOOKUP(A38,Dividende_je_Aktie!A$3:AM$103,11,FALSE),F38),IF(VLOOKUP(A38,Dividende_je_Aktie!A$3:AM$103,11,FALSE)&lt;&gt;"",VLOOKUP(A38,Dividende_je_Aktie!A$3:AM$103,11,FALSE),""))</f>
        <v/>
      </c>
      <c r="R38" s="13" t="str">
        <f>IF(G38&gt;0,IF(VLOOKUP(A38,Dividende_je_Aktie!A$3:AM$103,12,FALSE)&lt;&gt;"",G38+VLOOKUP(A38,Dividende_je_Aktie!A$3:AM$103,12,FALSE),G38),IF(VLOOKUP(A38,Dividende_je_Aktie!A$3:AM$103,12,FALSE)&lt;&gt;"",VLOOKUP(A38,Dividende_je_Aktie!A$3:AM$103,12,FALSE),""))</f>
        <v/>
      </c>
      <c r="S38" s="13" t="str">
        <f>IF(H38&gt;0,IF(VLOOKUP(A38,Dividende_je_Aktie!A$3:AM$103,13,FALSE)&lt;&gt;"",H38+VLOOKUP(A38,Dividende_je_Aktie!A$3:AM$103,13,FALSE),H38),IF(VLOOKUP(A38,Dividende_je_Aktie!A$3:AM$103,13,FALSE)&lt;&gt;"",VLOOKUP(A38,Dividende_je_Aktie!A$3:AM$103,13,FALSE),""))</f>
        <v/>
      </c>
      <c r="T38" s="13" t="str">
        <f>IF(I38&gt;0,IF(VLOOKUP(A38,Dividende_je_Aktie!A$3:AM$103,14,FALSE)&lt;&gt;"",I38+VLOOKUP(A38,Dividende_je_Aktie!A$3:AM$103,14,FALSE),I38),IF(VLOOKUP(A38,Dividende_je_Aktie!A$3:AM$103,14,FALSE)&lt;&gt;"",VLOOKUP(A38,Dividende_je_Aktie!A$3:AM$103,14,FALSE),""))</f>
        <v/>
      </c>
      <c r="U38" s="13" t="str">
        <f>IF(J38&gt;0,IF(VLOOKUP(A38,Dividende_je_Aktie!A$3:AM$103,15,FALSE)&lt;&gt;"",J38+VLOOKUP(A38,Dividende_je_Aktie!A$3:AM$103,15,FALSE),J38),IF(VLOOKUP(A38,Dividende_je_Aktie!A$3:AM$103,15,FALSE)&lt;&gt;"",VLOOKUP(A38,Dividende_je_Aktie!A$3:AM$103,15,FALSE),""))</f>
        <v/>
      </c>
      <c r="V38" s="13" t="str">
        <f>IF(K38&gt;0,IF(VLOOKUP(A38,Dividende_je_Aktie!A$3:AM$103,16,FALSE)&lt;&gt;"",K38+VLOOKUP(A38,Dividende_je_Aktie!A$3:AM$103,16,FALSE),K38),IF(VLOOKUP(A38,Dividende_je_Aktie!A$3:AM$103,16,FALSE)&lt;&gt;"",VLOOKUP(A38,Dividende_je_Aktie!A$3:AM$103,16,FALSE),""))</f>
        <v/>
      </c>
      <c r="W38" s="13" t="str">
        <f>IF(L38&gt;0,IF(VLOOKUP(A38,Dividende_je_Aktie!A$3:AM$103,17,FALSE)&lt;&gt;"",L38+VLOOKUP(A38,Dividende_je_Aktie!A$3:AM$103,17,FALSE),L38),IF(VLOOKUP(A38,Dividende_je_Aktie!A$3:AM$103,17,FALSE)&lt;&gt;"",VLOOKUP(A38,Dividende_je_Aktie!A$3:AM$103,17,FALSE),""))</f>
        <v/>
      </c>
      <c r="X38" s="13" t="str">
        <f>IF(M38&gt;0,IF(VLOOKUP(A38,Dividende_je_Aktie!A$3:AM$103,18,FALSE)&lt;&gt;"",M38+VLOOKUP(A38,Dividende_je_Aktie!A$3:AM$103,18,FALSE),M38),IF(VLOOKUP(A38,Dividende_je_Aktie!A$3:AM$103,18,FALSE)&lt;&gt;"",VLOOKUP(A38,Dividende_je_Aktie!A$3:AM$103,18,FALSE),""))</f>
        <v/>
      </c>
    </row>
    <row r="39" spans="1:24">
      <c r="A39" t="s">
        <v>50</v>
      </c>
      <c r="B39" t="s">
        <v>51</v>
      </c>
      <c r="C39" s="13">
        <f>IF(VLOOKUP(A39,Aktien_im_Umlauf_splitbereinigt!A$3:AM$103,4,FALSE)&lt;&gt;"",IF(VLOOKUP(A39,Aktien_im_Umlauf_splitbereinigt!A$3:AM$103,3,FALSE)&lt;&gt;"",IF(VLOOKUP(A39,Schlußkurse!A$5:AU$105,36,FALSE)&gt;0,((VLOOKUP(A39,Aktien_im_Umlauf_splitbereinigt!A$3:AM$103,4,FALSE)-VLOOKUP(A39,Aktien_im_Umlauf_splitbereinigt!A$3:AM$103,3,FALSE))*VLOOKUP(A39,Schlußkurse!A$5:AU$105,36,FALSE))/VLOOKUP(A39,Aktien_im_Umlauf_splitbereinigt!A$3:AM$103,3,FALSE),0),0),0)</f>
        <v>0</v>
      </c>
      <c r="D39" s="97">
        <f>IF(VLOOKUP(A39,Aktien_im_Umlauf_splitbereinigt!A$3:AM$103,5,FALSE)&lt;&gt;"",IF(VLOOKUP(A39,Aktien_im_Umlauf_splitbereinigt!A$3:AM$103,4,FALSE)&lt;&gt;"",IF(VLOOKUP(A39,Schlußkurse!A$5:AU$105,37,FALSE)&gt;0,((VLOOKUP(A39,Aktien_im_Umlauf_splitbereinigt!A$3:AM$103,5,FALSE)-VLOOKUP(A39,Aktien_im_Umlauf_splitbereinigt!A$3:AM$103,4,FALSE))*VLOOKUP(A39,Schlußkurse!A$5:AU$105,37,FALSE))/VLOOKUP(A39,Aktien_im_Umlauf_splitbereinigt!A$3:AM$103,4,FALSE),0),0),0)</f>
        <v>7.4085233092000617</v>
      </c>
      <c r="E39" s="97">
        <f>IF(VLOOKUP(A39,Aktien_im_Umlauf_splitbereinigt!A$3:AM$103,6,FALSE)&lt;&gt;"",IF(VLOOKUP(A39,Aktien_im_Umlauf_splitbereinigt!A$3:AM$103,5,FALSE)&lt;&gt;"",IF(VLOOKUP(A39,Schlußkurse!A$5:AU$105,38,FALSE)&gt;0,((VLOOKUP(A39,Aktien_im_Umlauf_splitbereinigt!A$3:AM$103,6,FALSE)-VLOOKUP(A39,Aktien_im_Umlauf_splitbereinigt!A$3:AM$103,5,FALSE))*VLOOKUP(A39,Schlußkurse!A$5:AU$105,38,FALSE))/VLOOKUP(A39,Aktien_im_Umlauf_splitbereinigt!A$3:AM$103,5,FALSE),0),0),0)</f>
        <v>2.6760307404714925</v>
      </c>
      <c r="F39" s="97">
        <f>IF(VLOOKUP(A39,Aktien_im_Umlauf_splitbereinigt!A$3:AM$103,7,FALSE)&lt;&gt;"",IF(VLOOKUP(A39,Aktien_im_Umlauf_splitbereinigt!A$3:AM$103,6,FALSE)&lt;&gt;"",IF(VLOOKUP(A39,Schlußkurse!A$5:AU$105,39,FALSE)&gt;0,((VLOOKUP(A39,Aktien_im_Umlauf_splitbereinigt!A$3:AM$103,7,FALSE)-VLOOKUP(A39,Aktien_im_Umlauf_splitbereinigt!A$3:AM$103,6,FALSE))*VLOOKUP(A39,Schlußkurse!A$5:AU$105,39,FALSE))/VLOOKUP(A39,Aktien_im_Umlauf_splitbereinigt!A$3:AM$103,6,FALSE),0),0),0)</f>
        <v>1.2344285137318278</v>
      </c>
      <c r="G39" s="97">
        <f>IF(VLOOKUP(A39,Aktien_im_Umlauf_splitbereinigt!A$3:AM$103,8,FALSE)&lt;&gt;"",IF(VLOOKUP(A39,Aktien_im_Umlauf_splitbereinigt!A$3:AM$103,7,FALSE)&lt;&gt;"",IF(VLOOKUP(A39,Schlußkurse!A$5:AU$105,40,FALSE)&gt;0,((VLOOKUP(A39,Aktien_im_Umlauf_splitbereinigt!A$3:AM$103,8,FALSE)-VLOOKUP(A39,Aktien_im_Umlauf_splitbereinigt!A$3:AM$103,7,FALSE))*VLOOKUP(A39,Schlußkurse!A$5:AU$105,40,FALSE))/VLOOKUP(A39,Aktien_im_Umlauf_splitbereinigt!A$3:AM$103,7,FALSE),0),0),0)</f>
        <v>1.5830309072781654</v>
      </c>
      <c r="H39" s="97">
        <f>IF(VLOOKUP(A39,Aktien_im_Umlauf_splitbereinigt!A$3:AM$103,9,FALSE)&lt;&gt;"",IF(VLOOKUP(A39,Aktien_im_Umlauf_splitbereinigt!A$3:AM$103,8,FALSE)&lt;&gt;"",IF(VLOOKUP(A39,Schlußkurse!A$5:AU$105,41,FALSE)&gt;0,((VLOOKUP(A39,Aktien_im_Umlauf_splitbereinigt!A$3:AM$103,9,FALSE)-VLOOKUP(A39,Aktien_im_Umlauf_splitbereinigt!A$3:AM$103,8,FALSE))*VLOOKUP(A39,Schlußkurse!A$5:AU$105,41,FALSE))/VLOOKUP(A39,Aktien_im_Umlauf_splitbereinigt!A$3:AM$103,8,FALSE),0),0),0)</f>
        <v>3.2427913809990203</v>
      </c>
      <c r="I39" s="97">
        <f>IF(VLOOKUP(A39,Aktien_im_Umlauf_splitbereinigt!A$3:AM$103,10,FALSE)&lt;&gt;"",IF(VLOOKUP(A39,Aktien_im_Umlauf_splitbereinigt!A$3:AM$103,9,FALSE)&lt;&gt;"",IF(VLOOKUP(A39,Schlußkurse!A$5:AU$105,42,FALSE)&gt;0,((VLOOKUP(A39,Aktien_im_Umlauf_splitbereinigt!A$3:AM$103,10,FALSE)-VLOOKUP(A39,Aktien_im_Umlauf_splitbereinigt!A$3:AM$103,9,FALSE))*VLOOKUP(A39,Schlußkurse!A$5:AU$105,42,FALSE))/VLOOKUP(A39,Aktien_im_Umlauf_splitbereinigt!A$3:AM$103,9,FALSE),0),0),0)</f>
        <v>3.8598481973434535</v>
      </c>
      <c r="J39" s="97">
        <f>IF(VLOOKUP(A39,Aktien_im_Umlauf_splitbereinigt!A$3:AM$103,11,FALSE)&lt;&gt;"",IF(VLOOKUP(A39,Aktien_im_Umlauf_splitbereinigt!A$3:AM$103,10,FALSE)&lt;&gt;"",IF(VLOOKUP(A39,Schlußkurse!A$5:AU$105,43,FALSE)&gt;0,((VLOOKUP(A39,Aktien_im_Umlauf_splitbereinigt!A$3:AM$103,11,FALSE)-VLOOKUP(A39,Aktien_im_Umlauf_splitbereinigt!A$3:AM$103,10,FALSE))*VLOOKUP(A39,Schlußkurse!A$5:AU$105,43,FALSE))/VLOOKUP(A39,Aktien_im_Umlauf_splitbereinigt!A$3:AM$103,10,FALSE),0),0),0)</f>
        <v>0.45123757904245709</v>
      </c>
      <c r="K39" s="97">
        <f>IF(VLOOKUP(A39,Aktien_im_Umlauf_splitbereinigt!A$3:AM$103,12,FALSE)&lt;&gt;"",IF(VLOOKUP(A39,Aktien_im_Umlauf_splitbereinigt!A$3:AM$103,11,FALSE)&lt;&gt;"",IF(VLOOKUP(A39,Schlußkurse!A$5:AU$105,44,FALSE)&gt;0,((VLOOKUP(A39,Aktien_im_Umlauf_splitbereinigt!A$3:AM$103,12,FALSE)-VLOOKUP(A39,Aktien_im_Umlauf_splitbereinigt!A$3:AM$103,11,FALSE))*VLOOKUP(A39,Schlußkurse!A$5:AU$105,44,FALSE))/VLOOKUP(A39,Aktien_im_Umlauf_splitbereinigt!A$3:AM$103,11,FALSE),0),0),0)</f>
        <v>2.7887892376681616</v>
      </c>
      <c r="L39" s="97">
        <f>IF(VLOOKUP(A39,Aktien_im_Umlauf_splitbereinigt!A$3:AM$103,13,FALSE)&lt;&gt;"",IF(VLOOKUP(A39,Aktien_im_Umlauf_splitbereinigt!A$3:AM$103,12,FALSE)&lt;&gt;"",IF(VLOOKUP(A39,Schlußkurse!A$5:AU$105,45,FALSE)&gt;0,((VLOOKUP(A39,Aktien_im_Umlauf_splitbereinigt!A$3:AM$103,13,FALSE)-VLOOKUP(A39,Aktien_im_Umlauf_splitbereinigt!A$3:AM$103,12,FALSE))*VLOOKUP(A39,Schlußkurse!A$5:AU$105,45,FALSE))/VLOOKUP(A39,Aktien_im_Umlauf_splitbereinigt!A$3:AM$103,12,FALSE),0),0),0)</f>
        <v>1.9720944206008582</v>
      </c>
      <c r="M39" s="97">
        <f>IF(VLOOKUP(A39,Aktien_im_Umlauf_splitbereinigt!A$3:AM$103,14,FALSE)&lt;&gt;"",IF(VLOOKUP(A39,Aktien_im_Umlauf_splitbereinigt!A$3:AM$103,13,FALSE)&lt;&gt;"",IF(VLOOKUP(A39,Schlußkurse!A$5:AU$105,46,FALSE)&gt;0,((VLOOKUP(A39,Aktien_im_Umlauf_splitbereinigt!A$3:AM$103,14,FALSE)-VLOOKUP(A39,Aktien_im_Umlauf_splitbereinigt!A$3:AM$103,13,FALSE))*VLOOKUP(A39,Schlußkurse!A$5:AU$105,46,FALSE))/VLOOKUP(A39,Aktien_im_Umlauf_splitbereinigt!A$3:AM$103,13,FALSE),0),0),0)</f>
        <v>2.1757475083056477</v>
      </c>
      <c r="N39" s="13">
        <f>IF(C39&gt;0,IF(VLOOKUP(A39,Dividende_je_Aktie!A$3:AM$103,8,FALSE)&lt;&gt;"",C39+VLOOKUP(A39,Dividende_je_Aktie!A$3:AM$103,8,FALSE),C39),IF(VLOOKUP(A39,Dividende_je_Aktie!A$3:AM$103,8,FALSE)&lt;&gt;"",VLOOKUP(A39,Dividende_je_Aktie!A$3:AM$103,8,FALSE),""))</f>
        <v>3.62</v>
      </c>
      <c r="O39" s="13">
        <f>IF(D39&gt;0,IF(VLOOKUP(A39,Dividende_je_Aktie!A$3:AM$103,9,FALSE)&lt;&gt;"",D39+VLOOKUP(A39,Dividende_je_Aktie!A$3:AM$103,9,FALSE),D39),IF(VLOOKUP(A39,Dividende_je_Aktie!A$3:AM$103,9,FALSE)&lt;&gt;"",VLOOKUP(A39,Dividende_je_Aktie!A$3:AM$103,9,FALSE),""))</f>
        <v>10.848523309200061</v>
      </c>
      <c r="P39" s="13">
        <f>IF(E39&gt;0,IF(VLOOKUP(A39,Dividende_je_Aktie!A$3:AM$103,10,FALSE)&lt;&gt;"",E39+VLOOKUP(A39,Dividende_je_Aktie!A$3:AM$103,10,FALSE),E39),IF(VLOOKUP(A39,Dividende_je_Aktie!A$3:AM$103,10,FALSE)&lt;&gt;"",VLOOKUP(A39,Dividende_je_Aktie!A$3:AM$103,10,FALSE),""))</f>
        <v>5.9560307404714923</v>
      </c>
      <c r="Q39" s="13">
        <f>IF(F39&gt;0,IF(VLOOKUP(A39,Dividende_je_Aktie!A$3:AM$103,11,FALSE)&lt;&gt;"",F39+VLOOKUP(A39,Dividende_je_Aktie!A$3:AM$103,11,FALSE),F39),IF(VLOOKUP(A39,Dividende_je_Aktie!A$3:AM$103,11,FALSE)&lt;&gt;"",VLOOKUP(A39,Dividende_je_Aktie!A$3:AM$103,11,FALSE),""))</f>
        <v>4.3544285137318282</v>
      </c>
      <c r="R39" s="13">
        <f>IF(G39&gt;0,IF(VLOOKUP(A39,Dividende_je_Aktie!A$3:AM$103,12,FALSE)&lt;&gt;"",G39+VLOOKUP(A39,Dividende_je_Aktie!A$3:AM$103,12,FALSE),G39),IF(VLOOKUP(A39,Dividende_je_Aktie!A$3:AM$103,12,FALSE)&lt;&gt;"",VLOOKUP(A39,Dividende_je_Aktie!A$3:AM$103,12,FALSE),""))</f>
        <v>4.4530309072781655</v>
      </c>
      <c r="S39" s="13">
        <f>IF(H39&gt;0,IF(VLOOKUP(A39,Dividende_je_Aktie!A$3:AM$103,13,FALSE)&lt;&gt;"",H39+VLOOKUP(A39,Dividende_je_Aktie!A$3:AM$103,13,FALSE),H39),IF(VLOOKUP(A39,Dividende_je_Aktie!A$3:AM$103,13,FALSE)&lt;&gt;"",VLOOKUP(A39,Dividende_je_Aktie!A$3:AM$103,13,FALSE),""))</f>
        <v>5.7727913809990206</v>
      </c>
      <c r="T39" s="13">
        <f>IF(I39&gt;0,IF(VLOOKUP(A39,Dividende_je_Aktie!A$3:AM$103,14,FALSE)&lt;&gt;"",I39+VLOOKUP(A39,Dividende_je_Aktie!A$3:AM$103,14,FALSE),I39),IF(VLOOKUP(A39,Dividende_je_Aktie!A$3:AM$103,14,FALSE)&lt;&gt;"",VLOOKUP(A39,Dividende_je_Aktie!A$3:AM$103,14,FALSE),""))</f>
        <v>6.1198481973434529</v>
      </c>
      <c r="U39" s="13">
        <f>IF(J39&gt;0,IF(VLOOKUP(A39,Dividende_je_Aktie!A$3:AM$103,15,FALSE)&lt;&gt;"",J39+VLOOKUP(A39,Dividende_je_Aktie!A$3:AM$103,15,FALSE),J39),IF(VLOOKUP(A39,Dividende_je_Aktie!A$3:AM$103,15,FALSE)&lt;&gt;"",VLOOKUP(A39,Dividende_je_Aktie!A$3:AM$103,15,FALSE),""))</f>
        <v>2.5012375790424568</v>
      </c>
      <c r="V39" s="13">
        <f>IF(K39&gt;0,IF(VLOOKUP(A39,Dividende_je_Aktie!A$3:AM$103,16,FALSE)&lt;&gt;"",K39+VLOOKUP(A39,Dividende_je_Aktie!A$3:AM$103,16,FALSE),K39),IF(VLOOKUP(A39,Dividende_je_Aktie!A$3:AM$103,16,FALSE)&lt;&gt;"",VLOOKUP(A39,Dividende_je_Aktie!A$3:AM$103,16,FALSE),""))</f>
        <v>4.418789237668161</v>
      </c>
      <c r="W39" s="13">
        <f>IF(L39&gt;0,IF(VLOOKUP(A39,Dividende_je_Aktie!A$3:AM$103,17,FALSE)&lt;&gt;"",L39+VLOOKUP(A39,Dividende_je_Aktie!A$3:AM$103,17,FALSE),L39),IF(VLOOKUP(A39,Dividende_je_Aktie!A$3:AM$103,17,FALSE)&lt;&gt;"",VLOOKUP(A39,Dividende_je_Aktie!A$3:AM$103,17,FALSE),""))</f>
        <v>3.4720944206008584</v>
      </c>
      <c r="X39" s="13">
        <f>IF(M39&gt;0,IF(VLOOKUP(A39,Dividende_je_Aktie!A$3:AM$103,18,FALSE)&lt;&gt;"",M39+VLOOKUP(A39,Dividende_je_Aktie!A$3:AM$103,18,FALSE),M39),IF(VLOOKUP(A39,Dividende_je_Aktie!A$3:AM$103,18,FALSE)&lt;&gt;"",VLOOKUP(A39,Dividende_je_Aktie!A$3:AM$103,18,FALSE),""))</f>
        <v>3.1757475083056477</v>
      </c>
    </row>
    <row r="40" spans="1:24">
      <c r="A40" t="s">
        <v>52</v>
      </c>
      <c r="B40" t="s">
        <v>53</v>
      </c>
      <c r="C40" s="13">
        <f>IF(VLOOKUP(A40,Aktien_im_Umlauf_splitbereinigt!A$3:AM$103,4,FALSE)&lt;&gt;"",IF(VLOOKUP(A40,Aktien_im_Umlauf_splitbereinigt!A$3:AM$103,3,FALSE)&lt;&gt;"",IF(VLOOKUP(A40,Schlußkurse!A$5:AU$105,36,FALSE)&gt;0,((VLOOKUP(A40,Aktien_im_Umlauf_splitbereinigt!A$3:AM$103,4,FALSE)-VLOOKUP(A40,Aktien_im_Umlauf_splitbereinigt!A$3:AM$103,3,FALSE))*VLOOKUP(A40,Schlußkurse!A$5:AU$105,36,FALSE))/VLOOKUP(A40,Aktien_im_Umlauf_splitbereinigt!A$3:AM$103,3,FALSE),0),0),0)</f>
        <v>0</v>
      </c>
      <c r="D40" s="97">
        <f>IF(VLOOKUP(A40,Aktien_im_Umlauf_splitbereinigt!A$3:AM$103,5,FALSE)&lt;&gt;"",IF(VLOOKUP(A40,Aktien_im_Umlauf_splitbereinigt!A$3:AM$103,4,FALSE)&lt;&gt;"",IF(VLOOKUP(A40,Schlußkurse!A$5:AU$105,37,FALSE)&gt;0,((VLOOKUP(A40,Aktien_im_Umlauf_splitbereinigt!A$3:AM$103,5,FALSE)-VLOOKUP(A40,Aktien_im_Umlauf_splitbereinigt!A$3:AM$103,4,FALSE))*VLOOKUP(A40,Schlußkurse!A$5:AU$105,37,FALSE))/VLOOKUP(A40,Aktien_im_Umlauf_splitbereinigt!A$3:AM$103,4,FALSE),0),0),0)</f>
        <v>1.0826105717367853</v>
      </c>
      <c r="E40" s="97">
        <f>IF(VLOOKUP(A40,Aktien_im_Umlauf_splitbereinigt!A$3:AM$103,6,FALSE)&lt;&gt;"",IF(VLOOKUP(A40,Aktien_im_Umlauf_splitbereinigt!A$3:AM$103,5,FALSE)&lt;&gt;"",IF(VLOOKUP(A40,Schlußkurse!A$5:AU$105,38,FALSE)&gt;0,((VLOOKUP(A40,Aktien_im_Umlauf_splitbereinigt!A$3:AM$103,6,FALSE)-VLOOKUP(A40,Aktien_im_Umlauf_splitbereinigt!A$3:AM$103,5,FALSE))*VLOOKUP(A40,Schlußkurse!A$5:AU$105,38,FALSE))/VLOOKUP(A40,Aktien_im_Umlauf_splitbereinigt!A$3:AM$103,5,FALSE),0),0),0)</f>
        <v>1.8009513742071883</v>
      </c>
      <c r="F40" s="97">
        <f>IF(VLOOKUP(A40,Aktien_im_Umlauf_splitbereinigt!A$3:AM$103,7,FALSE)&lt;&gt;"",IF(VLOOKUP(A40,Aktien_im_Umlauf_splitbereinigt!A$3:AM$103,6,FALSE)&lt;&gt;"",IF(VLOOKUP(A40,Schlußkurse!A$5:AU$105,39,FALSE)&gt;0,((VLOOKUP(A40,Aktien_im_Umlauf_splitbereinigt!A$3:AM$103,7,FALSE)-VLOOKUP(A40,Aktien_im_Umlauf_splitbereinigt!A$3:AM$103,6,FALSE))*VLOOKUP(A40,Schlußkurse!A$5:AU$105,39,FALSE))/VLOOKUP(A40,Aktien_im_Umlauf_splitbereinigt!A$3:AM$103,6,FALSE),0),0),0)</f>
        <v>1.6922643442622951</v>
      </c>
      <c r="G40" s="97">
        <f>IF(VLOOKUP(A40,Aktien_im_Umlauf_splitbereinigt!A$3:AM$103,8,FALSE)&lt;&gt;"",IF(VLOOKUP(A40,Aktien_im_Umlauf_splitbereinigt!A$3:AM$103,7,FALSE)&lt;&gt;"",IF(VLOOKUP(A40,Schlußkurse!A$5:AU$105,40,FALSE)&gt;0,((VLOOKUP(A40,Aktien_im_Umlauf_splitbereinigt!A$3:AM$103,8,FALSE)-VLOOKUP(A40,Aktien_im_Umlauf_splitbereinigt!A$3:AM$103,7,FALSE))*VLOOKUP(A40,Schlußkurse!A$5:AU$105,40,FALSE))/VLOOKUP(A40,Aktien_im_Umlauf_splitbereinigt!A$3:AM$103,7,FALSE),0),0),0)</f>
        <v>0.18934919061777336</v>
      </c>
      <c r="H40" s="97">
        <f>IF(VLOOKUP(A40,Aktien_im_Umlauf_splitbereinigt!A$3:AM$103,9,FALSE)&lt;&gt;"",IF(VLOOKUP(A40,Aktien_im_Umlauf_splitbereinigt!A$3:AM$103,8,FALSE)&lt;&gt;"",IF(VLOOKUP(A40,Schlußkurse!A$5:AU$105,41,FALSE)&gt;0,((VLOOKUP(A40,Aktien_im_Umlauf_splitbereinigt!A$3:AM$103,9,FALSE)-VLOOKUP(A40,Aktien_im_Umlauf_splitbereinigt!A$3:AM$103,8,FALSE))*VLOOKUP(A40,Schlußkurse!A$5:AU$105,41,FALSE))/VLOOKUP(A40,Aktien_im_Umlauf_splitbereinigt!A$3:AM$103,8,FALSE),0),0),0)</f>
        <v>0.50828674778033545</v>
      </c>
      <c r="I40" s="97">
        <f>IF(VLOOKUP(A40,Aktien_im_Umlauf_splitbereinigt!A$3:AM$103,10,FALSE)&lt;&gt;"",IF(VLOOKUP(A40,Aktien_im_Umlauf_splitbereinigt!A$3:AM$103,9,FALSE)&lt;&gt;"",IF(VLOOKUP(A40,Schlußkurse!A$5:AU$105,42,FALSE)&gt;0,((VLOOKUP(A40,Aktien_im_Umlauf_splitbereinigt!A$3:AM$103,10,FALSE)-VLOOKUP(A40,Aktien_im_Umlauf_splitbereinigt!A$3:AM$103,9,FALSE))*VLOOKUP(A40,Schlußkurse!A$5:AU$105,42,FALSE))/VLOOKUP(A40,Aktien_im_Umlauf_splitbereinigt!A$3:AM$103,9,FALSE),0),0),0)</f>
        <v>0.30403634003893576</v>
      </c>
      <c r="J40" s="97">
        <f>IF(VLOOKUP(A40,Aktien_im_Umlauf_splitbereinigt!A$3:AM$103,11,FALSE)&lt;&gt;"",IF(VLOOKUP(A40,Aktien_im_Umlauf_splitbereinigt!A$3:AM$103,10,FALSE)&lt;&gt;"",IF(VLOOKUP(A40,Schlußkurse!A$5:AU$105,43,FALSE)&gt;0,((VLOOKUP(A40,Aktien_im_Umlauf_splitbereinigt!A$3:AM$103,11,FALSE)-VLOOKUP(A40,Aktien_im_Umlauf_splitbereinigt!A$3:AM$103,10,FALSE))*VLOOKUP(A40,Schlußkurse!A$5:AU$105,43,FALSE))/VLOOKUP(A40,Aktien_im_Umlauf_splitbereinigt!A$3:AM$103,10,FALSE),0),0),0)</f>
        <v>0</v>
      </c>
      <c r="K40" s="97">
        <f>IF(VLOOKUP(A40,Aktien_im_Umlauf_splitbereinigt!A$3:AM$103,12,FALSE)&lt;&gt;"",IF(VLOOKUP(A40,Aktien_im_Umlauf_splitbereinigt!A$3:AM$103,11,FALSE)&lt;&gt;"",IF(VLOOKUP(A40,Schlußkurse!A$5:AU$105,44,FALSE)&gt;0,((VLOOKUP(A40,Aktien_im_Umlauf_splitbereinigt!A$3:AM$103,12,FALSE)-VLOOKUP(A40,Aktien_im_Umlauf_splitbereinigt!A$3:AM$103,11,FALSE))*VLOOKUP(A40,Schlußkurse!A$5:AU$105,44,FALSE))/VLOOKUP(A40,Aktien_im_Umlauf_splitbereinigt!A$3:AM$103,11,FALSE),0),0),0)</f>
        <v>0</v>
      </c>
      <c r="L40" s="97">
        <f>IF(VLOOKUP(A40,Aktien_im_Umlauf_splitbereinigt!A$3:AM$103,13,FALSE)&lt;&gt;"",IF(VLOOKUP(A40,Aktien_im_Umlauf_splitbereinigt!A$3:AM$103,12,FALSE)&lt;&gt;"",IF(VLOOKUP(A40,Schlußkurse!A$5:AU$105,45,FALSE)&gt;0,((VLOOKUP(A40,Aktien_im_Umlauf_splitbereinigt!A$3:AM$103,13,FALSE)-VLOOKUP(A40,Aktien_im_Umlauf_splitbereinigt!A$3:AM$103,12,FALSE))*VLOOKUP(A40,Schlußkurse!A$5:AU$105,45,FALSE))/VLOOKUP(A40,Aktien_im_Umlauf_splitbereinigt!A$3:AM$103,12,FALSE),0),0),0)</f>
        <v>0</v>
      </c>
      <c r="M40" s="97">
        <f>IF(VLOOKUP(A40,Aktien_im_Umlauf_splitbereinigt!A$3:AM$103,14,FALSE)&lt;&gt;"",IF(VLOOKUP(A40,Aktien_im_Umlauf_splitbereinigt!A$3:AM$103,13,FALSE)&lt;&gt;"",IF(VLOOKUP(A40,Schlußkurse!A$5:AU$105,46,FALSE)&gt;0,((VLOOKUP(A40,Aktien_im_Umlauf_splitbereinigt!A$3:AM$103,14,FALSE)-VLOOKUP(A40,Aktien_im_Umlauf_splitbereinigt!A$3:AM$103,13,FALSE))*VLOOKUP(A40,Schlußkurse!A$5:AU$105,46,FALSE))/VLOOKUP(A40,Aktien_im_Umlauf_splitbereinigt!A$3:AM$103,13,FALSE),0),0),0)</f>
        <v>0</v>
      </c>
      <c r="N40" s="13">
        <f>IF(C40&gt;0,IF(VLOOKUP(A40,Dividende_je_Aktie!A$3:AM$103,8,FALSE)&lt;&gt;"",C40+VLOOKUP(A40,Dividende_je_Aktie!A$3:AM$103,8,FALSE),C40),IF(VLOOKUP(A40,Dividende_je_Aktie!A$3:AM$103,8,FALSE)&lt;&gt;"",VLOOKUP(A40,Dividende_je_Aktie!A$3:AM$103,8,FALSE),""))</f>
        <v>1.85</v>
      </c>
      <c r="O40" s="13">
        <f>IF(D40&gt;0,IF(VLOOKUP(A40,Dividende_je_Aktie!A$3:AM$103,9,FALSE)&lt;&gt;"",D40+VLOOKUP(A40,Dividende_je_Aktie!A$3:AM$103,9,FALSE),D40),IF(VLOOKUP(A40,Dividende_je_Aktie!A$3:AM$103,9,FALSE)&lt;&gt;"",VLOOKUP(A40,Dividende_je_Aktie!A$3:AM$103,9,FALSE),""))</f>
        <v>2.8926105717367854</v>
      </c>
      <c r="P40" s="13">
        <f>IF(E40&gt;0,IF(VLOOKUP(A40,Dividende_je_Aktie!A$3:AM$103,10,FALSE)&lt;&gt;"",E40+VLOOKUP(A40,Dividende_je_Aktie!A$3:AM$103,10,FALSE),E40),IF(VLOOKUP(A40,Dividende_je_Aktie!A$3:AM$103,10,FALSE)&lt;&gt;"",VLOOKUP(A40,Dividende_je_Aktie!A$3:AM$103,10,FALSE),""))</f>
        <v>3.5709513742071883</v>
      </c>
      <c r="Q40" s="13">
        <f>IF(F40&gt;0,IF(VLOOKUP(A40,Dividende_je_Aktie!A$3:AM$103,11,FALSE)&lt;&gt;"",F40+VLOOKUP(A40,Dividende_je_Aktie!A$3:AM$103,11,FALSE),F40),IF(VLOOKUP(A40,Dividende_je_Aktie!A$3:AM$103,11,FALSE)&lt;&gt;"",VLOOKUP(A40,Dividende_je_Aktie!A$3:AM$103,11,FALSE),""))</f>
        <v>3.4222643442622953</v>
      </c>
      <c r="R40" s="13">
        <f>IF(G40&gt;0,IF(VLOOKUP(A40,Dividende_je_Aktie!A$3:AM$103,12,FALSE)&lt;&gt;"",G40+VLOOKUP(A40,Dividende_je_Aktie!A$3:AM$103,12,FALSE),G40),IF(VLOOKUP(A40,Dividende_je_Aktie!A$3:AM$103,12,FALSE)&lt;&gt;"",VLOOKUP(A40,Dividende_je_Aktie!A$3:AM$103,12,FALSE),""))</f>
        <v>1.8693491906177733</v>
      </c>
      <c r="S40" s="13">
        <f>IF(H40&gt;0,IF(VLOOKUP(A40,Dividende_je_Aktie!A$3:AM$103,13,FALSE)&lt;&gt;"",H40+VLOOKUP(A40,Dividende_je_Aktie!A$3:AM$103,13,FALSE),H40),IF(VLOOKUP(A40,Dividende_je_Aktie!A$3:AM$103,13,FALSE)&lt;&gt;"",VLOOKUP(A40,Dividende_je_Aktie!A$3:AM$103,13,FALSE),""))</f>
        <v>2.0282867477803355</v>
      </c>
      <c r="T40" s="13">
        <f>IF(I40&gt;0,IF(VLOOKUP(A40,Dividende_je_Aktie!A$3:AM$103,14,FALSE)&lt;&gt;"",I40+VLOOKUP(A40,Dividende_je_Aktie!A$3:AM$103,14,FALSE),I40),IF(VLOOKUP(A40,Dividende_je_Aktie!A$3:AM$103,14,FALSE)&lt;&gt;"",VLOOKUP(A40,Dividende_je_Aktie!A$3:AM$103,14,FALSE),""))</f>
        <v>1.8240363400389357</v>
      </c>
      <c r="U40" s="13">
        <f>IF(J40&gt;0,IF(VLOOKUP(A40,Dividende_je_Aktie!A$3:AM$103,15,FALSE)&lt;&gt;"",J40+VLOOKUP(A40,Dividende_je_Aktie!A$3:AM$103,15,FALSE),J40),IF(VLOOKUP(A40,Dividende_je_Aktie!A$3:AM$103,15,FALSE)&lt;&gt;"",VLOOKUP(A40,Dividende_je_Aktie!A$3:AM$103,15,FALSE),""))</f>
        <v>1.52</v>
      </c>
      <c r="V40" s="13">
        <f>IF(K40&gt;0,IF(VLOOKUP(A40,Dividende_je_Aktie!A$3:AM$103,16,FALSE)&lt;&gt;"",K40+VLOOKUP(A40,Dividende_je_Aktie!A$3:AM$103,16,FALSE),K40),IF(VLOOKUP(A40,Dividende_je_Aktie!A$3:AM$103,16,FALSE)&lt;&gt;"",VLOOKUP(A40,Dividende_je_Aktie!A$3:AM$103,16,FALSE),""))</f>
        <v>1.52</v>
      </c>
      <c r="W40" s="13">
        <f>IF(L40&gt;0,IF(VLOOKUP(A40,Dividende_je_Aktie!A$3:AM$103,17,FALSE)&lt;&gt;"",L40+VLOOKUP(A40,Dividende_je_Aktie!A$3:AM$103,17,FALSE),L40),IF(VLOOKUP(A40,Dividende_je_Aktie!A$3:AM$103,17,FALSE)&lt;&gt;"",VLOOKUP(A40,Dividende_je_Aktie!A$3:AM$103,17,FALSE),""))</f>
        <v>1.52</v>
      </c>
      <c r="X40" s="13">
        <f>IF(M40&gt;0,IF(VLOOKUP(A40,Dividende_je_Aktie!A$3:AM$103,18,FALSE)&lt;&gt;"",M40+VLOOKUP(A40,Dividende_je_Aktie!A$3:AM$103,18,FALSE),M40),IF(VLOOKUP(A40,Dividende_je_Aktie!A$3:AM$103,18,FALSE)&lt;&gt;"",VLOOKUP(A40,Dividende_je_Aktie!A$3:AM$103,18,FALSE),""))</f>
        <v>1.52</v>
      </c>
    </row>
    <row r="41" spans="1:24">
      <c r="A41" t="s">
        <v>54</v>
      </c>
      <c r="B41" t="s">
        <v>55</v>
      </c>
      <c r="C41" s="13">
        <f>IF(VLOOKUP(A41,Aktien_im_Umlauf_splitbereinigt!A$3:AM$103,4,FALSE)&lt;&gt;"",IF(VLOOKUP(A41,Aktien_im_Umlauf_splitbereinigt!A$3:AM$103,3,FALSE)&lt;&gt;"",IF(VLOOKUP(A41,Schlußkurse!A$5:AU$105,36,FALSE)&gt;0,((VLOOKUP(A41,Aktien_im_Umlauf_splitbereinigt!A$3:AM$103,4,FALSE)-VLOOKUP(A41,Aktien_im_Umlauf_splitbereinigt!A$3:AM$103,3,FALSE))*VLOOKUP(A41,Schlußkurse!A$5:AU$105,36,FALSE))/VLOOKUP(A41,Aktien_im_Umlauf_splitbereinigt!A$3:AM$103,3,FALSE),0),0),0)</f>
        <v>0</v>
      </c>
      <c r="D41" s="97">
        <f>IF(VLOOKUP(A41,Aktien_im_Umlauf_splitbereinigt!A$3:AM$103,5,FALSE)&lt;&gt;"",IF(VLOOKUP(A41,Aktien_im_Umlauf_splitbereinigt!A$3:AM$103,4,FALSE)&lt;&gt;"",IF(VLOOKUP(A41,Schlußkurse!A$5:AU$105,37,FALSE)&gt;0,((VLOOKUP(A41,Aktien_im_Umlauf_splitbereinigt!A$3:AM$103,5,FALSE)-VLOOKUP(A41,Aktien_im_Umlauf_splitbereinigt!A$3:AM$103,4,FALSE))*VLOOKUP(A41,Schlußkurse!A$5:AU$105,37,FALSE))/VLOOKUP(A41,Aktien_im_Umlauf_splitbereinigt!A$3:AM$103,4,FALSE),0),0),0)</f>
        <v>1.1660396162950042</v>
      </c>
      <c r="E41" s="97">
        <f>IF(VLOOKUP(A41,Aktien_im_Umlauf_splitbereinigt!A$3:AM$103,6,FALSE)&lt;&gt;"",IF(VLOOKUP(A41,Aktien_im_Umlauf_splitbereinigt!A$3:AM$103,5,FALSE)&lt;&gt;"",IF(VLOOKUP(A41,Schlußkurse!A$5:AU$105,38,FALSE)&gt;0,((VLOOKUP(A41,Aktien_im_Umlauf_splitbereinigt!A$3:AM$103,6,FALSE)-VLOOKUP(A41,Aktien_im_Umlauf_splitbereinigt!A$3:AM$103,5,FALSE))*VLOOKUP(A41,Schlußkurse!A$5:AU$105,38,FALSE))/VLOOKUP(A41,Aktien_im_Umlauf_splitbereinigt!A$3:AM$103,5,FALSE),0),0),0)</f>
        <v>0.45045515232431121</v>
      </c>
      <c r="F41" s="97">
        <f>IF(VLOOKUP(A41,Aktien_im_Umlauf_splitbereinigt!A$3:AM$103,7,FALSE)&lt;&gt;"",IF(VLOOKUP(A41,Aktien_im_Umlauf_splitbereinigt!A$3:AM$103,6,FALSE)&lt;&gt;"",IF(VLOOKUP(A41,Schlußkurse!A$5:AU$105,39,FALSE)&gt;0,((VLOOKUP(A41,Aktien_im_Umlauf_splitbereinigt!A$3:AM$103,7,FALSE)-VLOOKUP(A41,Aktien_im_Umlauf_splitbereinigt!A$3:AM$103,6,FALSE))*VLOOKUP(A41,Schlußkurse!A$5:AU$105,39,FALSE))/VLOOKUP(A41,Aktien_im_Umlauf_splitbereinigt!A$3:AM$103,6,FALSE),0),0),0)</f>
        <v>0.21984690201729107</v>
      </c>
      <c r="G41" s="97">
        <f>IF(VLOOKUP(A41,Aktien_im_Umlauf_splitbereinigt!A$3:AM$103,8,FALSE)&lt;&gt;"",IF(VLOOKUP(A41,Aktien_im_Umlauf_splitbereinigt!A$3:AM$103,7,FALSE)&lt;&gt;"",IF(VLOOKUP(A41,Schlußkurse!A$5:AU$105,40,FALSE)&gt;0,((VLOOKUP(A41,Aktien_im_Umlauf_splitbereinigt!A$3:AM$103,8,FALSE)-VLOOKUP(A41,Aktien_im_Umlauf_splitbereinigt!A$3:AM$103,7,FALSE))*VLOOKUP(A41,Schlußkurse!A$5:AU$105,40,FALSE))/VLOOKUP(A41,Aktien_im_Umlauf_splitbereinigt!A$3:AM$103,7,FALSE),0),0),0)</f>
        <v>-1.8249612218112395E-2</v>
      </c>
      <c r="H41" s="97">
        <f>IF(VLOOKUP(A41,Aktien_im_Umlauf_splitbereinigt!A$3:AM$103,9,FALSE)&lt;&gt;"",IF(VLOOKUP(A41,Aktien_im_Umlauf_splitbereinigt!A$3:AM$103,8,FALSE)&lt;&gt;"",IF(VLOOKUP(A41,Schlußkurse!A$5:AU$105,41,FALSE)&gt;0,((VLOOKUP(A41,Aktien_im_Umlauf_splitbereinigt!A$3:AM$103,9,FALSE)-VLOOKUP(A41,Aktien_im_Umlauf_splitbereinigt!A$3:AM$103,8,FALSE))*VLOOKUP(A41,Schlußkurse!A$5:AU$105,41,FALSE))/VLOOKUP(A41,Aktien_im_Umlauf_splitbereinigt!A$3:AM$103,8,FALSE),0),0),0)</f>
        <v>0.9063992359121299</v>
      </c>
      <c r="I41" s="97">
        <f>IF(VLOOKUP(A41,Aktien_im_Umlauf_splitbereinigt!A$3:AM$103,10,FALSE)&lt;&gt;"",IF(VLOOKUP(A41,Aktien_im_Umlauf_splitbereinigt!A$3:AM$103,9,FALSE)&lt;&gt;"",IF(VLOOKUP(A41,Schlußkurse!A$5:AU$105,42,FALSE)&gt;0,((VLOOKUP(A41,Aktien_im_Umlauf_splitbereinigt!A$3:AM$103,10,FALSE)-VLOOKUP(A41,Aktien_im_Umlauf_splitbereinigt!A$3:AM$103,9,FALSE))*VLOOKUP(A41,Schlußkurse!A$5:AU$105,42,FALSE))/VLOOKUP(A41,Aktien_im_Umlauf_splitbereinigt!A$3:AM$103,9,FALSE),0),0),0)</f>
        <v>0.63710198431010623</v>
      </c>
      <c r="J41" s="97">
        <f>IF(VLOOKUP(A41,Aktien_im_Umlauf_splitbereinigt!A$3:AM$103,11,FALSE)&lt;&gt;"",IF(VLOOKUP(A41,Aktien_im_Umlauf_splitbereinigt!A$3:AM$103,10,FALSE)&lt;&gt;"",IF(VLOOKUP(A41,Schlußkurse!A$5:AU$105,43,FALSE)&gt;0,((VLOOKUP(A41,Aktien_im_Umlauf_splitbereinigt!A$3:AM$103,11,FALSE)-VLOOKUP(A41,Aktien_im_Umlauf_splitbereinigt!A$3:AM$103,10,FALSE))*VLOOKUP(A41,Schlußkurse!A$5:AU$105,43,FALSE))/VLOOKUP(A41,Aktien_im_Umlauf_splitbereinigt!A$3:AM$103,10,FALSE),0),0),0)</f>
        <v>0.64841827570722943</v>
      </c>
      <c r="K41" s="97">
        <f>IF(VLOOKUP(A41,Aktien_im_Umlauf_splitbereinigt!A$3:AM$103,12,FALSE)&lt;&gt;"",IF(VLOOKUP(A41,Aktien_im_Umlauf_splitbereinigt!A$3:AM$103,11,FALSE)&lt;&gt;"",IF(VLOOKUP(A41,Schlußkurse!A$5:AU$105,44,FALSE)&gt;0,((VLOOKUP(A41,Aktien_im_Umlauf_splitbereinigt!A$3:AM$103,12,FALSE)-VLOOKUP(A41,Aktien_im_Umlauf_splitbereinigt!A$3:AM$103,11,FALSE))*VLOOKUP(A41,Schlußkurse!A$5:AU$105,44,FALSE))/VLOOKUP(A41,Aktien_im_Umlauf_splitbereinigt!A$3:AM$103,11,FALSE),0),0),0)</f>
        <v>0.6884264014861764</v>
      </c>
      <c r="L41" s="97">
        <f>IF(VLOOKUP(A41,Aktien_im_Umlauf_splitbereinigt!A$3:AM$103,13,FALSE)&lt;&gt;"",IF(VLOOKUP(A41,Aktien_im_Umlauf_splitbereinigt!A$3:AM$103,12,FALSE)&lt;&gt;"",IF(VLOOKUP(A41,Schlußkurse!A$5:AU$105,45,FALSE)&gt;0,((VLOOKUP(A41,Aktien_im_Umlauf_splitbereinigt!A$3:AM$103,13,FALSE)-VLOOKUP(A41,Aktien_im_Umlauf_splitbereinigt!A$3:AM$103,12,FALSE))*VLOOKUP(A41,Schlußkurse!A$5:AU$105,45,FALSE))/VLOOKUP(A41,Aktien_im_Umlauf_splitbereinigt!A$3:AM$103,12,FALSE),0),0),0)</f>
        <v>2.1427014925373133</v>
      </c>
      <c r="M41" s="97">
        <f>IF(VLOOKUP(A41,Aktien_im_Umlauf_splitbereinigt!A$3:AM$103,14,FALSE)&lt;&gt;"",IF(VLOOKUP(A41,Aktien_im_Umlauf_splitbereinigt!A$3:AM$103,13,FALSE)&lt;&gt;"",IF(VLOOKUP(A41,Schlußkurse!A$5:AU$105,46,FALSE)&gt;0,((VLOOKUP(A41,Aktien_im_Umlauf_splitbereinigt!A$3:AM$103,14,FALSE)-VLOOKUP(A41,Aktien_im_Umlauf_splitbereinigt!A$3:AM$103,13,FALSE))*VLOOKUP(A41,Schlußkurse!A$5:AU$105,46,FALSE))/VLOOKUP(A41,Aktien_im_Umlauf_splitbereinigt!A$3:AM$103,13,FALSE),0),0),0)</f>
        <v>1.5005366726296958</v>
      </c>
      <c r="N41" s="13">
        <f>IF(C41&gt;0,IF(VLOOKUP(A41,Dividende_je_Aktie!A$3:AM$103,8,FALSE)&lt;&gt;"",C41+VLOOKUP(A41,Dividende_je_Aktie!A$3:AM$103,8,FALSE),C41),IF(VLOOKUP(A41,Dividende_je_Aktie!A$3:AM$103,8,FALSE)&lt;&gt;"",VLOOKUP(A41,Dividende_je_Aktie!A$3:AM$103,8,FALSE),""))</f>
        <v>1.41</v>
      </c>
      <c r="O41" s="13">
        <f>IF(D41&gt;0,IF(VLOOKUP(A41,Dividende_je_Aktie!A$3:AM$103,9,FALSE)&lt;&gt;"",D41+VLOOKUP(A41,Dividende_je_Aktie!A$3:AM$103,9,FALSE),D41),IF(VLOOKUP(A41,Dividende_je_Aktie!A$3:AM$103,9,FALSE)&lt;&gt;"",VLOOKUP(A41,Dividende_je_Aktie!A$3:AM$103,9,FALSE),""))</f>
        <v>2.4060396162950042</v>
      </c>
      <c r="P41" s="13">
        <f>IF(E41&gt;0,IF(VLOOKUP(A41,Dividende_je_Aktie!A$3:AM$103,10,FALSE)&lt;&gt;"",E41+VLOOKUP(A41,Dividende_je_Aktie!A$3:AM$103,10,FALSE),E41),IF(VLOOKUP(A41,Dividende_je_Aktie!A$3:AM$103,10,FALSE)&lt;&gt;"",VLOOKUP(A41,Dividende_je_Aktie!A$3:AM$103,10,FALSE),""))</f>
        <v>1.5704551523243113</v>
      </c>
      <c r="Q41" s="13">
        <f>IF(F41&gt;0,IF(VLOOKUP(A41,Dividende_je_Aktie!A$3:AM$103,11,FALSE)&lt;&gt;"",F41+VLOOKUP(A41,Dividende_je_Aktie!A$3:AM$103,11,FALSE),F41),IF(VLOOKUP(A41,Dividende_je_Aktie!A$3:AM$103,11,FALSE)&lt;&gt;"",VLOOKUP(A41,Dividende_je_Aktie!A$3:AM$103,11,FALSE),""))</f>
        <v>1.139846902017291</v>
      </c>
      <c r="R41" s="13">
        <f>IF(G41&gt;0,IF(VLOOKUP(A41,Dividende_je_Aktie!A$3:AM$103,12,FALSE)&lt;&gt;"",G41+VLOOKUP(A41,Dividende_je_Aktie!A$3:AM$103,12,FALSE),G41),IF(VLOOKUP(A41,Dividende_je_Aktie!A$3:AM$103,12,FALSE)&lt;&gt;"",VLOOKUP(A41,Dividende_je_Aktie!A$3:AM$103,12,FALSE),""))</f>
        <v>0.8</v>
      </c>
      <c r="S41" s="13">
        <f>IF(H41&gt;0,IF(VLOOKUP(A41,Dividende_je_Aktie!A$3:AM$103,13,FALSE)&lt;&gt;"",H41+VLOOKUP(A41,Dividende_je_Aktie!A$3:AM$103,13,FALSE),H41),IF(VLOOKUP(A41,Dividende_je_Aktie!A$3:AM$103,13,FALSE)&lt;&gt;"",VLOOKUP(A41,Dividende_je_Aktie!A$3:AM$103,13,FALSE),""))</f>
        <v>1.5463992359121299</v>
      </c>
      <c r="T41" s="13">
        <f>IF(I41&gt;0,IF(VLOOKUP(A41,Dividende_je_Aktie!A$3:AM$103,14,FALSE)&lt;&gt;"",I41+VLOOKUP(A41,Dividende_je_Aktie!A$3:AM$103,14,FALSE),I41),IF(VLOOKUP(A41,Dividende_je_Aktie!A$3:AM$103,14,FALSE)&lt;&gt;"",VLOOKUP(A41,Dividende_je_Aktie!A$3:AM$103,14,FALSE),""))</f>
        <v>1.1571019843101062</v>
      </c>
      <c r="U41" s="13">
        <f>IF(J41&gt;0,IF(VLOOKUP(A41,Dividende_je_Aktie!A$3:AM$103,15,FALSE)&lt;&gt;"",J41+VLOOKUP(A41,Dividende_je_Aktie!A$3:AM$103,15,FALSE),J41),IF(VLOOKUP(A41,Dividende_je_Aktie!A$3:AM$103,15,FALSE)&lt;&gt;"",VLOOKUP(A41,Dividende_je_Aktie!A$3:AM$103,15,FALSE),""))</f>
        <v>1.1684182757072294</v>
      </c>
      <c r="V41" s="13">
        <f>IF(K41&gt;0,IF(VLOOKUP(A41,Dividende_je_Aktie!A$3:AM$103,16,FALSE)&lt;&gt;"",K41+VLOOKUP(A41,Dividende_je_Aktie!A$3:AM$103,16,FALSE),K41),IF(VLOOKUP(A41,Dividende_je_Aktie!A$3:AM$103,16,FALSE)&lt;&gt;"",VLOOKUP(A41,Dividende_je_Aktie!A$3:AM$103,16,FALSE),""))</f>
        <v>1.1284264014861765</v>
      </c>
      <c r="W41" s="13">
        <f>IF(L41&gt;0,IF(VLOOKUP(A41,Dividende_je_Aktie!A$3:AM$103,17,FALSE)&lt;&gt;"",L41+VLOOKUP(A41,Dividende_je_Aktie!A$3:AM$103,17,FALSE),L41),IF(VLOOKUP(A41,Dividende_je_Aktie!A$3:AM$103,17,FALSE)&lt;&gt;"",VLOOKUP(A41,Dividende_je_Aktie!A$3:AM$103,17,FALSE),""))</f>
        <v>2.5427014925373133</v>
      </c>
      <c r="X41" s="13">
        <f>IF(M41&gt;0,IF(VLOOKUP(A41,Dividende_je_Aktie!A$3:AM$103,18,FALSE)&lt;&gt;"",M41+VLOOKUP(A41,Dividende_je_Aktie!A$3:AM$103,18,FALSE),M41),IF(VLOOKUP(A41,Dividende_je_Aktie!A$3:AM$103,18,FALSE)&lt;&gt;"",VLOOKUP(A41,Dividende_je_Aktie!A$3:AM$103,18,FALSE),""))</f>
        <v>1.8505366726296959</v>
      </c>
    </row>
    <row r="42" spans="1:24">
      <c r="A42" t="s">
        <v>56</v>
      </c>
      <c r="B42" t="s">
        <v>57</v>
      </c>
      <c r="C42" s="13">
        <f>IF(VLOOKUP(A42,Aktien_im_Umlauf_splitbereinigt!A$3:AM$103,4,FALSE)&lt;&gt;"",IF(VLOOKUP(A42,Aktien_im_Umlauf_splitbereinigt!A$3:AM$103,3,FALSE)&lt;&gt;"",IF(VLOOKUP(A42,Schlußkurse!A$5:AU$105,36,FALSE)&gt;0,((VLOOKUP(A42,Aktien_im_Umlauf_splitbereinigt!A$3:AM$103,4,FALSE)-VLOOKUP(A42,Aktien_im_Umlauf_splitbereinigt!A$3:AM$103,3,FALSE))*VLOOKUP(A42,Schlußkurse!A$5:AU$105,36,FALSE))/VLOOKUP(A42,Aktien_im_Umlauf_splitbereinigt!A$3:AM$103,3,FALSE),0),0),0)</f>
        <v>0</v>
      </c>
      <c r="D42" s="97">
        <f>IF(VLOOKUP(A42,Aktien_im_Umlauf_splitbereinigt!A$3:AM$103,5,FALSE)&lt;&gt;"",IF(VLOOKUP(A42,Aktien_im_Umlauf_splitbereinigt!A$3:AM$103,4,FALSE)&lt;&gt;"",IF(VLOOKUP(A42,Schlußkurse!A$5:AU$105,37,FALSE)&gt;0,((VLOOKUP(A42,Aktien_im_Umlauf_splitbereinigt!A$3:AM$103,5,FALSE)-VLOOKUP(A42,Aktien_im_Umlauf_splitbereinigt!A$3:AM$103,4,FALSE))*VLOOKUP(A42,Schlußkurse!A$5:AU$105,37,FALSE))/VLOOKUP(A42,Aktien_im_Umlauf_splitbereinigt!A$3:AM$103,4,FALSE),0),0),0)</f>
        <v>2.3838987341772153</v>
      </c>
      <c r="E42" s="97">
        <f>IF(VLOOKUP(A42,Aktien_im_Umlauf_splitbereinigt!A$3:AM$103,6,FALSE)&lt;&gt;"",IF(VLOOKUP(A42,Aktien_im_Umlauf_splitbereinigt!A$3:AM$103,5,FALSE)&lt;&gt;"",IF(VLOOKUP(A42,Schlußkurse!A$5:AU$105,38,FALSE)&gt;0,((VLOOKUP(A42,Aktien_im_Umlauf_splitbereinigt!A$3:AM$103,6,FALSE)-VLOOKUP(A42,Aktien_im_Umlauf_splitbereinigt!A$3:AM$103,5,FALSE))*VLOOKUP(A42,Schlußkurse!A$5:AU$105,38,FALSE))/VLOOKUP(A42,Aktien_im_Umlauf_splitbereinigt!A$3:AM$103,5,FALSE),0),0),0)</f>
        <v>0.89502704326923077</v>
      </c>
      <c r="F42" s="97">
        <f>IF(VLOOKUP(A42,Aktien_im_Umlauf_splitbereinigt!A$3:AM$103,7,FALSE)&lt;&gt;"",IF(VLOOKUP(A42,Aktien_im_Umlauf_splitbereinigt!A$3:AM$103,6,FALSE)&lt;&gt;"",IF(VLOOKUP(A42,Schlußkurse!A$5:AU$105,39,FALSE)&gt;0,((VLOOKUP(A42,Aktien_im_Umlauf_splitbereinigt!A$3:AM$103,7,FALSE)-VLOOKUP(A42,Aktien_im_Umlauf_splitbereinigt!A$3:AM$103,6,FALSE))*VLOOKUP(A42,Schlußkurse!A$5:AU$105,39,FALSE))/VLOOKUP(A42,Aktien_im_Umlauf_splitbereinigt!A$3:AM$103,6,FALSE),0),0),0)</f>
        <v>1.5113782991202345</v>
      </c>
      <c r="G42" s="97">
        <f>IF(VLOOKUP(A42,Aktien_im_Umlauf_splitbereinigt!A$3:AM$103,8,FALSE)&lt;&gt;"",IF(VLOOKUP(A42,Aktien_im_Umlauf_splitbereinigt!A$3:AM$103,7,FALSE)&lt;&gt;"",IF(VLOOKUP(A42,Schlußkurse!A$5:AU$105,40,FALSE)&gt;0,((VLOOKUP(A42,Aktien_im_Umlauf_splitbereinigt!A$3:AM$103,8,FALSE)-VLOOKUP(A42,Aktien_im_Umlauf_splitbereinigt!A$3:AM$103,7,FALSE))*VLOOKUP(A42,Schlußkurse!A$5:AU$105,40,FALSE))/VLOOKUP(A42,Aktien_im_Umlauf_splitbereinigt!A$3:AM$103,7,FALSE),0),0),0)</f>
        <v>-7.2553430821147361E-2</v>
      </c>
      <c r="H42" s="97">
        <f>IF(VLOOKUP(A42,Aktien_im_Umlauf_splitbereinigt!A$3:AM$103,9,FALSE)&lt;&gt;"",IF(VLOOKUP(A42,Aktien_im_Umlauf_splitbereinigt!A$3:AM$103,8,FALSE)&lt;&gt;"",IF(VLOOKUP(A42,Schlußkurse!A$5:AU$105,41,FALSE)&gt;0,((VLOOKUP(A42,Aktien_im_Umlauf_splitbereinigt!A$3:AM$103,9,FALSE)-VLOOKUP(A42,Aktien_im_Umlauf_splitbereinigt!A$3:AM$103,8,FALSE))*VLOOKUP(A42,Schlußkurse!A$5:AU$105,41,FALSE))/VLOOKUP(A42,Aktien_im_Umlauf_splitbereinigt!A$3:AM$103,8,FALSE),0),0),0)</f>
        <v>-0.19493269230769228</v>
      </c>
      <c r="I42" s="97">
        <f>IF(VLOOKUP(A42,Aktien_im_Umlauf_splitbereinigt!A$3:AM$103,10,FALSE)&lt;&gt;"",IF(VLOOKUP(A42,Aktien_im_Umlauf_splitbereinigt!A$3:AM$103,9,FALSE)&lt;&gt;"",IF(VLOOKUP(A42,Schlußkurse!A$5:AU$105,42,FALSE)&gt;0,((VLOOKUP(A42,Aktien_im_Umlauf_splitbereinigt!A$3:AM$103,10,FALSE)-VLOOKUP(A42,Aktien_im_Umlauf_splitbereinigt!A$3:AM$103,9,FALSE))*VLOOKUP(A42,Schlußkurse!A$5:AU$105,42,FALSE))/VLOOKUP(A42,Aktien_im_Umlauf_splitbereinigt!A$3:AM$103,9,FALSE),0),0),0)</f>
        <v>-0.77131961120640369</v>
      </c>
      <c r="J42" s="97">
        <f>IF(VLOOKUP(A42,Aktien_im_Umlauf_splitbereinigt!A$3:AM$103,11,FALSE)&lt;&gt;"",IF(VLOOKUP(A42,Aktien_im_Umlauf_splitbereinigt!A$3:AM$103,10,FALSE)&lt;&gt;"",IF(VLOOKUP(A42,Schlußkurse!A$5:AU$105,43,FALSE)&gt;0,((VLOOKUP(A42,Aktien_im_Umlauf_splitbereinigt!A$3:AM$103,11,FALSE)-VLOOKUP(A42,Aktien_im_Umlauf_splitbereinigt!A$3:AM$103,10,FALSE))*VLOOKUP(A42,Schlußkurse!A$5:AU$105,43,FALSE))/VLOOKUP(A42,Aktien_im_Umlauf_splitbereinigt!A$3:AM$103,10,FALSE),0),0),0)</f>
        <v>-4.6163058186738833E-2</v>
      </c>
      <c r="K42" s="97">
        <f>IF(VLOOKUP(A42,Aktien_im_Umlauf_splitbereinigt!A$3:AM$103,12,FALSE)&lt;&gt;"",IF(VLOOKUP(A42,Aktien_im_Umlauf_splitbereinigt!A$3:AM$103,11,FALSE)&lt;&gt;"",IF(VLOOKUP(A42,Schlußkurse!A$5:AU$105,44,FALSE)&gt;0,((VLOOKUP(A42,Aktien_im_Umlauf_splitbereinigt!A$3:AM$103,12,FALSE)-VLOOKUP(A42,Aktien_im_Umlauf_splitbereinigt!A$3:AM$103,11,FALSE))*VLOOKUP(A42,Schlußkurse!A$5:AU$105,44,FALSE))/VLOOKUP(A42,Aktien_im_Umlauf_splitbereinigt!A$3:AM$103,11,FALSE),0),0),0)</f>
        <v>5.495575221238938E-2</v>
      </c>
      <c r="L42" s="97">
        <f>IF(VLOOKUP(A42,Aktien_im_Umlauf_splitbereinigt!A$3:AM$103,13,FALSE)&lt;&gt;"",IF(VLOOKUP(A42,Aktien_im_Umlauf_splitbereinigt!A$3:AM$103,12,FALSE)&lt;&gt;"",IF(VLOOKUP(A42,Schlußkurse!A$5:AU$105,45,FALSE)&gt;0,((VLOOKUP(A42,Aktien_im_Umlauf_splitbereinigt!A$3:AM$103,13,FALSE)-VLOOKUP(A42,Aktien_im_Umlauf_splitbereinigt!A$3:AM$103,12,FALSE))*VLOOKUP(A42,Schlußkurse!A$5:AU$105,45,FALSE))/VLOOKUP(A42,Aktien_im_Umlauf_splitbereinigt!A$3:AM$103,12,FALSE),0),0),0)</f>
        <v>0</v>
      </c>
      <c r="M42" s="97">
        <f>IF(VLOOKUP(A42,Aktien_im_Umlauf_splitbereinigt!A$3:AM$103,14,FALSE)&lt;&gt;"",IF(VLOOKUP(A42,Aktien_im_Umlauf_splitbereinigt!A$3:AM$103,13,FALSE)&lt;&gt;"",IF(VLOOKUP(A42,Schlußkurse!A$5:AU$105,46,FALSE)&gt;0,((VLOOKUP(A42,Aktien_im_Umlauf_splitbereinigt!A$3:AM$103,14,FALSE)-VLOOKUP(A42,Aktien_im_Umlauf_splitbereinigt!A$3:AM$103,13,FALSE))*VLOOKUP(A42,Schlußkurse!A$5:AU$105,46,FALSE))/VLOOKUP(A42,Aktien_im_Umlauf_splitbereinigt!A$3:AM$103,13,FALSE),0),0),0)</f>
        <v>0</v>
      </c>
      <c r="N42" s="13">
        <f>IF(C42&gt;0,IF(VLOOKUP(A42,Dividende_je_Aktie!A$3:AM$103,8,FALSE)&lt;&gt;"",C42+VLOOKUP(A42,Dividende_je_Aktie!A$3:AM$103,8,FALSE),C42),IF(VLOOKUP(A42,Dividende_je_Aktie!A$3:AM$103,8,FALSE)&lt;&gt;"",VLOOKUP(A42,Dividende_je_Aktie!A$3:AM$103,8,FALSE),""))</f>
        <v>0.68</v>
      </c>
      <c r="O42" s="13">
        <f>IF(D42&gt;0,IF(VLOOKUP(A42,Dividende_je_Aktie!A$3:AM$103,9,FALSE)&lt;&gt;"",D42+VLOOKUP(A42,Dividende_je_Aktie!A$3:AM$103,9,FALSE),D42),IF(VLOOKUP(A42,Dividende_je_Aktie!A$3:AM$103,9,FALSE)&lt;&gt;"",VLOOKUP(A42,Dividende_je_Aktie!A$3:AM$103,9,FALSE),""))</f>
        <v>3.0238987341772154</v>
      </c>
      <c r="P42" s="13">
        <f>IF(E42&gt;0,IF(VLOOKUP(A42,Dividende_je_Aktie!A$3:AM$103,10,FALSE)&lt;&gt;"",E42+VLOOKUP(A42,Dividende_je_Aktie!A$3:AM$103,10,FALSE),E42),IF(VLOOKUP(A42,Dividende_je_Aktie!A$3:AM$103,10,FALSE)&lt;&gt;"",VLOOKUP(A42,Dividende_je_Aktie!A$3:AM$103,10,FALSE),""))</f>
        <v>1.4750270432692307</v>
      </c>
      <c r="Q42" s="13">
        <f>IF(F42&gt;0,IF(VLOOKUP(A42,Dividende_je_Aktie!A$3:AM$103,11,FALSE)&lt;&gt;"",F42+VLOOKUP(A42,Dividende_je_Aktie!A$3:AM$103,11,FALSE),F42),IF(VLOOKUP(A42,Dividende_je_Aktie!A$3:AM$103,11,FALSE)&lt;&gt;"",VLOOKUP(A42,Dividende_je_Aktie!A$3:AM$103,11,FALSE),""))</f>
        <v>2.0513782991202345</v>
      </c>
      <c r="R42" s="13">
        <f>IF(G42&gt;0,IF(VLOOKUP(A42,Dividende_je_Aktie!A$3:AM$103,12,FALSE)&lt;&gt;"",G42+VLOOKUP(A42,Dividende_je_Aktie!A$3:AM$103,12,FALSE),G42),IF(VLOOKUP(A42,Dividende_je_Aktie!A$3:AM$103,12,FALSE)&lt;&gt;"",VLOOKUP(A42,Dividende_je_Aktie!A$3:AM$103,12,FALSE),""))</f>
        <v>0.35734072022160668</v>
      </c>
      <c r="S42" s="13">
        <f>IF(H42&gt;0,IF(VLOOKUP(A42,Dividende_je_Aktie!A$3:AM$103,13,FALSE)&lt;&gt;"",H42+VLOOKUP(A42,Dividende_je_Aktie!A$3:AM$103,13,FALSE),H42),IF(VLOOKUP(A42,Dividende_je_Aktie!A$3:AM$103,13,FALSE)&lt;&gt;"",VLOOKUP(A42,Dividende_je_Aktie!A$3:AM$103,13,FALSE),""))</f>
        <v>0.28342569269521412</v>
      </c>
      <c r="T42" s="13">
        <f>IF(I42&gt;0,IF(VLOOKUP(A42,Dividende_je_Aktie!A$3:AM$103,14,FALSE)&lt;&gt;"",I42+VLOOKUP(A42,Dividende_je_Aktie!A$3:AM$103,14,FALSE),I42),IF(VLOOKUP(A42,Dividende_je_Aktie!A$3:AM$103,14,FALSE)&lt;&gt;"",VLOOKUP(A42,Dividende_je_Aktie!A$3:AM$103,14,FALSE),""))</f>
        <v>0.12312849162011172</v>
      </c>
      <c r="U42" s="13">
        <f>IF(J42&gt;0,IF(VLOOKUP(A42,Dividende_je_Aktie!A$3:AM$103,15,FALSE)&lt;&gt;"",J42+VLOOKUP(A42,Dividende_je_Aktie!A$3:AM$103,15,FALSE),J42),IF(VLOOKUP(A42,Dividende_je_Aktie!A$3:AM$103,15,FALSE)&lt;&gt;"",VLOOKUP(A42,Dividende_je_Aktie!A$3:AM$103,15,FALSE),""))</f>
        <v>0.17492063492063489</v>
      </c>
      <c r="V42" s="13">
        <f>IF(K42&gt;0,IF(VLOOKUP(A42,Dividende_je_Aktie!A$3:AM$103,16,FALSE)&lt;&gt;"",K42+VLOOKUP(A42,Dividende_je_Aktie!A$3:AM$103,16,FALSE),K42),IF(VLOOKUP(A42,Dividende_je_Aktie!A$3:AM$103,16,FALSE)&lt;&gt;"",VLOOKUP(A42,Dividende_je_Aktie!A$3:AM$103,16,FALSE),""))</f>
        <v>9.5765468811579671E-2</v>
      </c>
      <c r="W42" s="13" t="str">
        <f>IF(L42&gt;0,IF(VLOOKUP(A42,Dividende_je_Aktie!A$3:AM$103,17,FALSE)&lt;&gt;"",L42+VLOOKUP(A42,Dividende_je_Aktie!A$3:AM$103,17,FALSE),L42),IF(VLOOKUP(A42,Dividende_je_Aktie!A$3:AM$103,17,FALSE)&lt;&gt;"",VLOOKUP(A42,Dividende_je_Aktie!A$3:AM$103,17,FALSE),""))</f>
        <v/>
      </c>
      <c r="X42" s="13" t="str">
        <f>IF(M42&gt;0,IF(VLOOKUP(A42,Dividende_je_Aktie!A$3:AM$103,18,FALSE)&lt;&gt;"",M42+VLOOKUP(A42,Dividende_je_Aktie!A$3:AM$103,18,FALSE),M42),IF(VLOOKUP(A42,Dividende_je_Aktie!A$3:AM$103,18,FALSE)&lt;&gt;"",VLOOKUP(A42,Dividende_je_Aktie!A$3:AM$103,18,FALSE),""))</f>
        <v/>
      </c>
    </row>
    <row r="43" spans="1:24">
      <c r="A43" t="s">
        <v>58</v>
      </c>
      <c r="B43" t="s">
        <v>59</v>
      </c>
      <c r="C43" s="13">
        <f>IF(VLOOKUP(A43,Aktien_im_Umlauf_splitbereinigt!A$3:AM$103,4,FALSE)&lt;&gt;"",IF(VLOOKUP(A43,Aktien_im_Umlauf_splitbereinigt!A$3:AM$103,3,FALSE)&lt;&gt;"",IF(VLOOKUP(A43,Schlußkurse!A$5:AU$105,36,FALSE)&gt;0,((VLOOKUP(A43,Aktien_im_Umlauf_splitbereinigt!A$3:AM$103,4,FALSE)-VLOOKUP(A43,Aktien_im_Umlauf_splitbereinigt!A$3:AM$103,3,FALSE))*VLOOKUP(A43,Schlußkurse!A$5:AU$105,36,FALSE))/VLOOKUP(A43,Aktien_im_Umlauf_splitbereinigt!A$3:AM$103,3,FALSE),0),0),0)</f>
        <v>0</v>
      </c>
      <c r="D43" s="97">
        <f>IF(VLOOKUP(A43,Aktien_im_Umlauf_splitbereinigt!A$3:AM$103,5,FALSE)&lt;&gt;"",IF(VLOOKUP(A43,Aktien_im_Umlauf_splitbereinigt!A$3:AM$103,4,FALSE)&lt;&gt;"",IF(VLOOKUP(A43,Schlußkurse!A$5:AU$105,37,FALSE)&gt;0,((VLOOKUP(A43,Aktien_im_Umlauf_splitbereinigt!A$3:AM$103,5,FALSE)-VLOOKUP(A43,Aktien_im_Umlauf_splitbereinigt!A$3:AM$103,4,FALSE))*VLOOKUP(A43,Schlußkurse!A$5:AU$105,37,FALSE))/VLOOKUP(A43,Aktien_im_Umlauf_splitbereinigt!A$3:AM$103,4,FALSE),0),0),0)</f>
        <v>3.6230049155802555</v>
      </c>
      <c r="E43" s="97">
        <f>IF(VLOOKUP(A43,Aktien_im_Umlauf_splitbereinigt!A$3:AM$103,6,FALSE)&lt;&gt;"",IF(VLOOKUP(A43,Aktien_im_Umlauf_splitbereinigt!A$3:AM$103,5,FALSE)&lt;&gt;"",IF(VLOOKUP(A43,Schlußkurse!A$5:AU$105,38,FALSE)&gt;0,((VLOOKUP(A43,Aktien_im_Umlauf_splitbereinigt!A$3:AM$103,6,FALSE)-VLOOKUP(A43,Aktien_im_Umlauf_splitbereinigt!A$3:AM$103,5,FALSE))*VLOOKUP(A43,Schlußkurse!A$5:AU$105,38,FALSE))/VLOOKUP(A43,Aktien_im_Umlauf_splitbereinigt!A$3:AM$103,5,FALSE),0),0),0)</f>
        <v>10.431522276717633</v>
      </c>
      <c r="F43" s="97">
        <f>IF(VLOOKUP(A43,Aktien_im_Umlauf_splitbereinigt!A$3:AM$103,7,FALSE)&lt;&gt;"",IF(VLOOKUP(A43,Aktien_im_Umlauf_splitbereinigt!A$3:AM$103,6,FALSE)&lt;&gt;"",IF(VLOOKUP(A43,Schlußkurse!A$5:AU$105,39,FALSE)&gt;0,((VLOOKUP(A43,Aktien_im_Umlauf_splitbereinigt!A$3:AM$103,7,FALSE)-VLOOKUP(A43,Aktien_im_Umlauf_splitbereinigt!A$3:AM$103,6,FALSE))*VLOOKUP(A43,Schlußkurse!A$5:AU$105,39,FALSE))/VLOOKUP(A43,Aktien_im_Umlauf_splitbereinigt!A$3:AM$103,6,FALSE),0),0),0)</f>
        <v>0.98809632724042706</v>
      </c>
      <c r="G43" s="97">
        <f>IF(VLOOKUP(A43,Aktien_im_Umlauf_splitbereinigt!A$3:AM$103,8,FALSE)&lt;&gt;"",IF(VLOOKUP(A43,Aktien_im_Umlauf_splitbereinigt!A$3:AM$103,7,FALSE)&lt;&gt;"",IF(VLOOKUP(A43,Schlußkurse!A$5:AU$105,40,FALSE)&gt;0,((VLOOKUP(A43,Aktien_im_Umlauf_splitbereinigt!A$3:AM$103,8,FALSE)-VLOOKUP(A43,Aktien_im_Umlauf_splitbereinigt!A$3:AM$103,7,FALSE))*VLOOKUP(A43,Schlußkurse!A$5:AU$105,40,FALSE))/VLOOKUP(A43,Aktien_im_Umlauf_splitbereinigt!A$3:AM$103,7,FALSE),0),0),0)</f>
        <v>0.1516033834234625</v>
      </c>
      <c r="H43" s="97">
        <f>IF(VLOOKUP(A43,Aktien_im_Umlauf_splitbereinigt!A$3:AM$103,9,FALSE)&lt;&gt;"",IF(VLOOKUP(A43,Aktien_im_Umlauf_splitbereinigt!A$3:AM$103,8,FALSE)&lt;&gt;"",IF(VLOOKUP(A43,Schlußkurse!A$5:AU$105,41,FALSE)&gt;0,((VLOOKUP(A43,Aktien_im_Umlauf_splitbereinigt!A$3:AM$103,9,FALSE)-VLOOKUP(A43,Aktien_im_Umlauf_splitbereinigt!A$3:AM$103,8,FALSE))*VLOOKUP(A43,Schlußkurse!A$5:AU$105,41,FALSE))/VLOOKUP(A43,Aktien_im_Umlauf_splitbereinigt!A$3:AM$103,8,FALSE),0),0),0)</f>
        <v>0.65672146459929315</v>
      </c>
      <c r="I43" s="97">
        <f>IF(VLOOKUP(A43,Aktien_im_Umlauf_splitbereinigt!A$3:AM$103,10,FALSE)&lt;&gt;"",IF(VLOOKUP(A43,Aktien_im_Umlauf_splitbereinigt!A$3:AM$103,9,FALSE)&lt;&gt;"",IF(VLOOKUP(A43,Schlußkurse!A$5:AU$105,42,FALSE)&gt;0,((VLOOKUP(A43,Aktien_im_Umlauf_splitbereinigt!A$3:AM$103,10,FALSE)-VLOOKUP(A43,Aktien_im_Umlauf_splitbereinigt!A$3:AM$103,9,FALSE))*VLOOKUP(A43,Schlußkurse!A$5:AU$105,42,FALSE))/VLOOKUP(A43,Aktien_im_Umlauf_splitbereinigt!A$3:AM$103,9,FALSE),0),0),0)</f>
        <v>0.5358530717986677</v>
      </c>
      <c r="J43" s="97">
        <f>IF(VLOOKUP(A43,Aktien_im_Umlauf_splitbereinigt!A$3:AM$103,11,FALSE)&lt;&gt;"",IF(VLOOKUP(A43,Aktien_im_Umlauf_splitbereinigt!A$3:AM$103,10,FALSE)&lt;&gt;"",IF(VLOOKUP(A43,Schlußkurse!A$5:AU$105,43,FALSE)&gt;0,((VLOOKUP(A43,Aktien_im_Umlauf_splitbereinigt!A$3:AM$103,11,FALSE)-VLOOKUP(A43,Aktien_im_Umlauf_splitbereinigt!A$3:AM$103,10,FALSE))*VLOOKUP(A43,Schlußkurse!A$5:AU$105,43,FALSE))/VLOOKUP(A43,Aktien_im_Umlauf_splitbereinigt!A$3:AM$103,10,FALSE),0),0),0)</f>
        <v>0.41486719179337572</v>
      </c>
      <c r="K43" s="97">
        <f>IF(VLOOKUP(A43,Aktien_im_Umlauf_splitbereinigt!A$3:AM$103,12,FALSE)&lt;&gt;"",IF(VLOOKUP(A43,Aktien_im_Umlauf_splitbereinigt!A$3:AM$103,11,FALSE)&lt;&gt;"",IF(VLOOKUP(A43,Schlußkurse!A$5:AU$105,44,FALSE)&gt;0,((VLOOKUP(A43,Aktien_im_Umlauf_splitbereinigt!A$3:AM$103,12,FALSE)-VLOOKUP(A43,Aktien_im_Umlauf_splitbereinigt!A$3:AM$103,11,FALSE))*VLOOKUP(A43,Schlußkurse!A$5:AU$105,44,FALSE))/VLOOKUP(A43,Aktien_im_Umlauf_splitbereinigt!A$3:AM$103,11,FALSE),0),0),0)</f>
        <v>-0.62477214728399555</v>
      </c>
      <c r="L43" s="97">
        <f>IF(VLOOKUP(A43,Aktien_im_Umlauf_splitbereinigt!A$3:AM$103,13,FALSE)&lt;&gt;"",IF(VLOOKUP(A43,Aktien_im_Umlauf_splitbereinigt!A$3:AM$103,12,FALSE)&lt;&gt;"",IF(VLOOKUP(A43,Schlußkurse!A$5:AU$105,45,FALSE)&gt;0,((VLOOKUP(A43,Aktien_im_Umlauf_splitbereinigt!A$3:AM$103,13,FALSE)-VLOOKUP(A43,Aktien_im_Umlauf_splitbereinigt!A$3:AM$103,12,FALSE))*VLOOKUP(A43,Schlußkurse!A$5:AU$105,45,FALSE))/VLOOKUP(A43,Aktien_im_Umlauf_splitbereinigt!A$3:AM$103,12,FALSE),0),0),0)</f>
        <v>-0.3067741935483842</v>
      </c>
      <c r="M43" s="97">
        <f>IF(VLOOKUP(A43,Aktien_im_Umlauf_splitbereinigt!A$3:AM$103,14,FALSE)&lt;&gt;"",IF(VLOOKUP(A43,Aktien_im_Umlauf_splitbereinigt!A$3:AM$103,13,FALSE)&lt;&gt;"",IF(VLOOKUP(A43,Schlußkurse!A$5:AU$105,46,FALSE)&gt;0,((VLOOKUP(A43,Aktien_im_Umlauf_splitbereinigt!A$3:AM$103,14,FALSE)-VLOOKUP(A43,Aktien_im_Umlauf_splitbereinigt!A$3:AM$103,13,FALSE))*VLOOKUP(A43,Schlußkurse!A$5:AU$105,46,FALSE))/VLOOKUP(A43,Aktien_im_Umlauf_splitbereinigt!A$3:AM$103,13,FALSE),0),0),0)</f>
        <v>-0.59362297496318706</v>
      </c>
      <c r="N43" s="13">
        <f>IF(C43&gt;0,IF(VLOOKUP(A43,Dividende_je_Aktie!A$3:AM$103,8,FALSE)&lt;&gt;"",C43+VLOOKUP(A43,Dividende_je_Aktie!A$3:AM$103,8,FALSE),C43),IF(VLOOKUP(A43,Dividende_je_Aktie!A$3:AM$103,8,FALSE)&lt;&gt;"",VLOOKUP(A43,Dividende_je_Aktie!A$3:AM$103,8,FALSE),""))</f>
        <v>2.13</v>
      </c>
      <c r="O43" s="13">
        <f>IF(D43&gt;0,IF(VLOOKUP(A43,Dividende_je_Aktie!A$3:AM$103,9,FALSE)&lt;&gt;"",D43+VLOOKUP(A43,Dividende_je_Aktie!A$3:AM$103,9,FALSE),D43),IF(VLOOKUP(A43,Dividende_je_Aktie!A$3:AM$103,9,FALSE)&lt;&gt;"",VLOOKUP(A43,Dividende_je_Aktie!A$3:AM$103,9,FALSE),""))</f>
        <v>5.6330049155802548</v>
      </c>
      <c r="P43" s="13">
        <f>IF(E43&gt;0,IF(VLOOKUP(A43,Dividende_je_Aktie!A$3:AM$103,10,FALSE)&lt;&gt;"",E43+VLOOKUP(A43,Dividende_je_Aktie!A$3:AM$103,10,FALSE),E43),IF(VLOOKUP(A43,Dividende_je_Aktie!A$3:AM$103,10,FALSE)&lt;&gt;"",VLOOKUP(A43,Dividende_je_Aktie!A$3:AM$103,10,FALSE),""))</f>
        <v>12.211522276717632</v>
      </c>
      <c r="Q43" s="13">
        <f>IF(F43&gt;0,IF(VLOOKUP(A43,Dividende_je_Aktie!A$3:AM$103,11,FALSE)&lt;&gt;"",F43+VLOOKUP(A43,Dividende_je_Aktie!A$3:AM$103,11,FALSE),F43),IF(VLOOKUP(A43,Dividende_je_Aktie!A$3:AM$103,11,FALSE)&lt;&gt;"",VLOOKUP(A43,Dividende_je_Aktie!A$3:AM$103,11,FALSE),""))</f>
        <v>2.5480963272404269</v>
      </c>
      <c r="R43" s="13">
        <f>IF(G43&gt;0,IF(VLOOKUP(A43,Dividende_je_Aktie!A$3:AM$103,12,FALSE)&lt;&gt;"",G43+VLOOKUP(A43,Dividende_je_Aktie!A$3:AM$103,12,FALSE),G43),IF(VLOOKUP(A43,Dividende_je_Aktie!A$3:AM$103,12,FALSE)&lt;&gt;"",VLOOKUP(A43,Dividende_je_Aktie!A$3:AM$103,12,FALSE),""))</f>
        <v>1.4316033834234625</v>
      </c>
      <c r="S43" s="13">
        <f>IF(H43&gt;0,IF(VLOOKUP(A43,Dividende_je_Aktie!A$3:AM$103,13,FALSE)&lt;&gt;"",H43+VLOOKUP(A43,Dividende_je_Aktie!A$3:AM$103,13,FALSE),H43),IF(VLOOKUP(A43,Dividende_je_Aktie!A$3:AM$103,13,FALSE)&lt;&gt;"",VLOOKUP(A43,Dividende_je_Aktie!A$3:AM$103,13,FALSE),""))</f>
        <v>1.796721464599293</v>
      </c>
      <c r="T43" s="13">
        <f>IF(I43&gt;0,IF(VLOOKUP(A43,Dividende_je_Aktie!A$3:AM$103,14,FALSE)&lt;&gt;"",I43+VLOOKUP(A43,Dividende_je_Aktie!A$3:AM$103,14,FALSE),I43),IF(VLOOKUP(A43,Dividende_je_Aktie!A$3:AM$103,14,FALSE)&lt;&gt;"",VLOOKUP(A43,Dividende_je_Aktie!A$3:AM$103,14,FALSE),""))</f>
        <v>1.6158530717986679</v>
      </c>
      <c r="U43" s="13">
        <f>IF(J43&gt;0,IF(VLOOKUP(A43,Dividende_je_Aktie!A$3:AM$103,15,FALSE)&lt;&gt;"",J43+VLOOKUP(A43,Dividende_je_Aktie!A$3:AM$103,15,FALSE),J43),IF(VLOOKUP(A43,Dividende_je_Aktie!A$3:AM$103,15,FALSE)&lt;&gt;"",VLOOKUP(A43,Dividende_je_Aktie!A$3:AM$103,15,FALSE),""))</f>
        <v>1.4548671917933758</v>
      </c>
      <c r="V43" s="13">
        <f>IF(K43&gt;0,IF(VLOOKUP(A43,Dividende_je_Aktie!A$3:AM$103,16,FALSE)&lt;&gt;"",K43+VLOOKUP(A43,Dividende_je_Aktie!A$3:AM$103,16,FALSE),K43),IF(VLOOKUP(A43,Dividende_je_Aktie!A$3:AM$103,16,FALSE)&lt;&gt;"",VLOOKUP(A43,Dividende_je_Aktie!A$3:AM$103,16,FALSE),""))</f>
        <v>0.83</v>
      </c>
      <c r="W43" s="13">
        <f>IF(L43&gt;0,IF(VLOOKUP(A43,Dividende_je_Aktie!A$3:AM$103,17,FALSE)&lt;&gt;"",L43+VLOOKUP(A43,Dividende_je_Aktie!A$3:AM$103,17,FALSE),L43),IF(VLOOKUP(A43,Dividende_je_Aktie!A$3:AM$103,17,FALSE)&lt;&gt;"",VLOOKUP(A43,Dividende_je_Aktie!A$3:AM$103,17,FALSE),""))</f>
        <v>0.55000000000000004</v>
      </c>
      <c r="X43" s="13">
        <f>IF(M43&gt;0,IF(VLOOKUP(A43,Dividende_je_Aktie!A$3:AM$103,18,FALSE)&lt;&gt;"",M43+VLOOKUP(A43,Dividende_je_Aktie!A$3:AM$103,18,FALSE),M43),IF(VLOOKUP(A43,Dividende_je_Aktie!A$3:AM$103,18,FALSE)&lt;&gt;"",VLOOKUP(A43,Dividende_je_Aktie!A$3:AM$103,18,FALSE),""))</f>
        <v>0.4</v>
      </c>
    </row>
    <row r="44" spans="1:24">
      <c r="A44" t="s">
        <v>60</v>
      </c>
      <c r="B44" t="s">
        <v>61</v>
      </c>
      <c r="C44" s="13">
        <f>IF(VLOOKUP(A44,Aktien_im_Umlauf_splitbereinigt!A$3:AM$103,4,FALSE)&lt;&gt;"",IF(VLOOKUP(A44,Aktien_im_Umlauf_splitbereinigt!A$3:AM$103,3,FALSE)&lt;&gt;"",IF(VLOOKUP(A44,Schlußkurse!A$5:AU$105,36,FALSE)&gt;0,((VLOOKUP(A44,Aktien_im_Umlauf_splitbereinigt!A$3:AM$103,4,FALSE)-VLOOKUP(A44,Aktien_im_Umlauf_splitbereinigt!A$3:AM$103,3,FALSE))*VLOOKUP(A44,Schlußkurse!A$5:AU$105,36,FALSE))/VLOOKUP(A44,Aktien_im_Umlauf_splitbereinigt!A$3:AM$103,3,FALSE),0),0),0)</f>
        <v>0</v>
      </c>
      <c r="D44" s="97">
        <f>IF(VLOOKUP(A44,Aktien_im_Umlauf_splitbereinigt!A$3:AM$103,5,FALSE)&lt;&gt;"",IF(VLOOKUP(A44,Aktien_im_Umlauf_splitbereinigt!A$3:AM$103,4,FALSE)&lt;&gt;"",IF(VLOOKUP(A44,Schlußkurse!A$5:AU$105,37,FALSE)&gt;0,((VLOOKUP(A44,Aktien_im_Umlauf_splitbereinigt!A$3:AM$103,5,FALSE)-VLOOKUP(A44,Aktien_im_Umlauf_splitbereinigt!A$3:AM$103,4,FALSE))*VLOOKUP(A44,Schlußkurse!A$5:AU$105,37,FALSE))/VLOOKUP(A44,Aktien_im_Umlauf_splitbereinigt!A$3:AM$103,4,FALSE),0),0),0)</f>
        <v>1.2116716555376468</v>
      </c>
      <c r="E44" s="97">
        <f>IF(VLOOKUP(A44,Aktien_im_Umlauf_splitbereinigt!A$3:AM$103,6,FALSE)&lt;&gt;"",IF(VLOOKUP(A44,Aktien_im_Umlauf_splitbereinigt!A$3:AM$103,5,FALSE)&lt;&gt;"",IF(VLOOKUP(A44,Schlußkurse!A$5:AU$105,38,FALSE)&gt;0,((VLOOKUP(A44,Aktien_im_Umlauf_splitbereinigt!A$3:AM$103,6,FALSE)-VLOOKUP(A44,Aktien_im_Umlauf_splitbereinigt!A$3:AM$103,5,FALSE))*VLOOKUP(A44,Schlußkurse!A$5:AU$105,38,FALSE))/VLOOKUP(A44,Aktien_im_Umlauf_splitbereinigt!A$3:AM$103,5,FALSE),0),0),0)</f>
        <v>1.7131810035842294</v>
      </c>
      <c r="F44" s="97">
        <f>IF(VLOOKUP(A44,Aktien_im_Umlauf_splitbereinigt!A$3:AM$103,7,FALSE)&lt;&gt;"",IF(VLOOKUP(A44,Aktien_im_Umlauf_splitbereinigt!A$3:AM$103,6,FALSE)&lt;&gt;"",IF(VLOOKUP(A44,Schlußkurse!A$5:AU$105,39,FALSE)&gt;0,((VLOOKUP(A44,Aktien_im_Umlauf_splitbereinigt!A$3:AM$103,7,FALSE)-VLOOKUP(A44,Aktien_im_Umlauf_splitbereinigt!A$3:AM$103,6,FALSE))*VLOOKUP(A44,Schlußkurse!A$5:AU$105,39,FALSE))/VLOOKUP(A44,Aktien_im_Umlauf_splitbereinigt!A$3:AM$103,6,FALSE),0),0),0)</f>
        <v>1.883129573826948</v>
      </c>
      <c r="G44" s="97">
        <f>IF(VLOOKUP(A44,Aktien_im_Umlauf_splitbereinigt!A$3:AM$103,8,FALSE)&lt;&gt;"",IF(VLOOKUP(A44,Aktien_im_Umlauf_splitbereinigt!A$3:AM$103,7,FALSE)&lt;&gt;"",IF(VLOOKUP(A44,Schlußkurse!A$5:AU$105,40,FALSE)&gt;0,((VLOOKUP(A44,Aktien_im_Umlauf_splitbereinigt!A$3:AM$103,8,FALSE)-VLOOKUP(A44,Aktien_im_Umlauf_splitbereinigt!A$3:AM$103,7,FALSE))*VLOOKUP(A44,Schlußkurse!A$5:AU$105,40,FALSE))/VLOOKUP(A44,Aktien_im_Umlauf_splitbereinigt!A$3:AM$103,7,FALSE),0),0),0)</f>
        <v>0.87963506625891941</v>
      </c>
      <c r="H44" s="97">
        <f>IF(VLOOKUP(A44,Aktien_im_Umlauf_splitbereinigt!A$3:AM$103,9,FALSE)&lt;&gt;"",IF(VLOOKUP(A44,Aktien_im_Umlauf_splitbereinigt!A$3:AM$103,8,FALSE)&lt;&gt;"",IF(VLOOKUP(A44,Schlußkurse!A$5:AU$105,41,FALSE)&gt;0,((VLOOKUP(A44,Aktien_im_Umlauf_splitbereinigt!A$3:AM$103,9,FALSE)-VLOOKUP(A44,Aktien_im_Umlauf_splitbereinigt!A$3:AM$103,8,FALSE))*VLOOKUP(A44,Schlußkurse!A$5:AU$105,41,FALSE))/VLOOKUP(A44,Aktien_im_Umlauf_splitbereinigt!A$3:AM$103,8,FALSE),0),0),0)</f>
        <v>-0.28359116022099445</v>
      </c>
      <c r="I44" s="97">
        <f>IF(VLOOKUP(A44,Aktien_im_Umlauf_splitbereinigt!A$3:AM$103,10,FALSE)&lt;&gt;"",IF(VLOOKUP(A44,Aktien_im_Umlauf_splitbereinigt!A$3:AM$103,9,FALSE)&lt;&gt;"",IF(VLOOKUP(A44,Schlußkurse!A$5:AU$105,42,FALSE)&gt;0,((VLOOKUP(A44,Aktien_im_Umlauf_splitbereinigt!A$3:AM$103,10,FALSE)-VLOOKUP(A44,Aktien_im_Umlauf_splitbereinigt!A$3:AM$103,9,FALSE))*VLOOKUP(A44,Schlußkurse!A$5:AU$105,42,FALSE))/VLOOKUP(A44,Aktien_im_Umlauf_splitbereinigt!A$3:AM$103,9,FALSE),0),0),0)</f>
        <v>-8.5322323915638681E-2</v>
      </c>
      <c r="J44" s="97">
        <f>IF(VLOOKUP(A44,Aktien_im_Umlauf_splitbereinigt!A$3:AM$103,11,FALSE)&lt;&gt;"",IF(VLOOKUP(A44,Aktien_im_Umlauf_splitbereinigt!A$3:AM$103,10,FALSE)&lt;&gt;"",IF(VLOOKUP(A44,Schlußkurse!A$5:AU$105,43,FALSE)&gt;0,((VLOOKUP(A44,Aktien_im_Umlauf_splitbereinigt!A$3:AM$103,11,FALSE)-VLOOKUP(A44,Aktien_im_Umlauf_splitbereinigt!A$3:AM$103,10,FALSE))*VLOOKUP(A44,Schlußkurse!A$5:AU$105,43,FALSE))/VLOOKUP(A44,Aktien_im_Umlauf_splitbereinigt!A$3:AM$103,10,FALSE),0),0),0)</f>
        <v>0.55949071300179742</v>
      </c>
      <c r="K44" s="97">
        <f>IF(VLOOKUP(A44,Aktien_im_Umlauf_splitbereinigt!A$3:AM$103,12,FALSE)&lt;&gt;"",IF(VLOOKUP(A44,Aktien_im_Umlauf_splitbereinigt!A$3:AM$103,11,FALSE)&lt;&gt;"",IF(VLOOKUP(A44,Schlußkurse!A$5:AU$105,44,FALSE)&gt;0,((VLOOKUP(A44,Aktien_im_Umlauf_splitbereinigt!A$3:AM$103,12,FALSE)-VLOOKUP(A44,Aktien_im_Umlauf_splitbereinigt!A$3:AM$103,11,FALSE))*VLOOKUP(A44,Schlußkurse!A$5:AU$105,44,FALSE))/VLOOKUP(A44,Aktien_im_Umlauf_splitbereinigt!A$3:AM$103,11,FALSE),0),0),0)</f>
        <v>-0.19070291262135922</v>
      </c>
      <c r="L44" s="97">
        <f>IF(VLOOKUP(A44,Aktien_im_Umlauf_splitbereinigt!A$3:AM$103,13,FALSE)&lt;&gt;"",IF(VLOOKUP(A44,Aktien_im_Umlauf_splitbereinigt!A$3:AM$103,12,FALSE)&lt;&gt;"",IF(VLOOKUP(A44,Schlußkurse!A$5:AU$105,45,FALSE)&gt;0,((VLOOKUP(A44,Aktien_im_Umlauf_splitbereinigt!A$3:AM$103,13,FALSE)-VLOOKUP(A44,Aktien_im_Umlauf_splitbereinigt!A$3:AM$103,12,FALSE))*VLOOKUP(A44,Schlußkurse!A$5:AU$105,45,FALSE))/VLOOKUP(A44,Aktien_im_Umlauf_splitbereinigt!A$3:AM$103,12,FALSE),0),0),0)</f>
        <v>0.47434893283728219</v>
      </c>
      <c r="M44" s="97">
        <f>IF(VLOOKUP(A44,Aktien_im_Umlauf_splitbereinigt!A$3:AM$103,14,FALSE)&lt;&gt;"",IF(VLOOKUP(A44,Aktien_im_Umlauf_splitbereinigt!A$3:AM$103,13,FALSE)&lt;&gt;"",IF(VLOOKUP(A44,Schlußkurse!A$5:AU$105,46,FALSE)&gt;0,((VLOOKUP(A44,Aktien_im_Umlauf_splitbereinigt!A$3:AM$103,14,FALSE)-VLOOKUP(A44,Aktien_im_Umlauf_splitbereinigt!A$3:AM$103,13,FALSE))*VLOOKUP(A44,Schlußkurse!A$5:AU$105,46,FALSE))/VLOOKUP(A44,Aktien_im_Umlauf_splitbereinigt!A$3:AM$103,13,FALSE),0),0),0)</f>
        <v>-0.23645642201834866</v>
      </c>
      <c r="N44" s="13">
        <f>IF(C44&gt;0,IF(VLOOKUP(A44,Dividende_je_Aktie!A$3:AM$103,8,FALSE)&lt;&gt;"",C44+VLOOKUP(A44,Dividende_je_Aktie!A$3:AM$103,8,FALSE),C44),IF(VLOOKUP(A44,Dividende_je_Aktie!A$3:AM$103,8,FALSE)&lt;&gt;"",VLOOKUP(A44,Dividende_je_Aktie!A$3:AM$103,8,FALSE),""))</f>
        <v>0.56000000000000005</v>
      </c>
      <c r="O44" s="13">
        <f>IF(D44&gt;0,IF(VLOOKUP(A44,Dividende_je_Aktie!A$3:AM$103,9,FALSE)&lt;&gt;"",D44+VLOOKUP(A44,Dividende_je_Aktie!A$3:AM$103,9,FALSE),D44),IF(VLOOKUP(A44,Dividende_je_Aktie!A$3:AM$103,9,FALSE)&lt;&gt;"",VLOOKUP(A44,Dividende_je_Aktie!A$3:AM$103,9,FALSE),""))</f>
        <v>1.7216716555376468</v>
      </c>
      <c r="P44" s="13">
        <f>IF(E44&gt;0,IF(VLOOKUP(A44,Dividende_je_Aktie!A$3:AM$103,10,FALSE)&lt;&gt;"",E44+VLOOKUP(A44,Dividende_je_Aktie!A$3:AM$103,10,FALSE),E44),IF(VLOOKUP(A44,Dividende_je_Aktie!A$3:AM$103,10,FALSE)&lt;&gt;"",VLOOKUP(A44,Dividende_je_Aktie!A$3:AM$103,10,FALSE),""))</f>
        <v>2.1931810035842294</v>
      </c>
      <c r="Q44" s="13">
        <f>IF(F44&gt;0,IF(VLOOKUP(A44,Dividende_je_Aktie!A$3:AM$103,11,FALSE)&lt;&gt;"",F44+VLOOKUP(A44,Dividende_je_Aktie!A$3:AM$103,11,FALSE),F44),IF(VLOOKUP(A44,Dividende_je_Aktie!A$3:AM$103,11,FALSE)&lt;&gt;"",VLOOKUP(A44,Dividende_je_Aktie!A$3:AM$103,11,FALSE),""))</f>
        <v>2.1831295738269478</v>
      </c>
      <c r="R44" s="13">
        <f>IF(G44&gt;0,IF(VLOOKUP(A44,Dividende_je_Aktie!A$3:AM$103,12,FALSE)&lt;&gt;"",G44+VLOOKUP(A44,Dividende_je_Aktie!A$3:AM$103,12,FALSE),G44),IF(VLOOKUP(A44,Dividende_je_Aktie!A$3:AM$103,12,FALSE)&lt;&gt;"",VLOOKUP(A44,Dividende_je_Aktie!A$3:AM$103,12,FALSE),""))</f>
        <v>1.1196350662589194</v>
      </c>
      <c r="S44" s="13">
        <f>IF(H44&gt;0,IF(VLOOKUP(A44,Dividende_je_Aktie!A$3:AM$103,13,FALSE)&lt;&gt;"",H44+VLOOKUP(A44,Dividende_je_Aktie!A$3:AM$103,13,FALSE),H44),IF(VLOOKUP(A44,Dividende_je_Aktie!A$3:AM$103,13,FALSE)&lt;&gt;"",VLOOKUP(A44,Dividende_je_Aktie!A$3:AM$103,13,FALSE),""))</f>
        <v>0.21</v>
      </c>
      <c r="T44" s="13">
        <f>IF(I44&gt;0,IF(VLOOKUP(A44,Dividende_je_Aktie!A$3:AM$103,14,FALSE)&lt;&gt;"",I44+VLOOKUP(A44,Dividende_je_Aktie!A$3:AM$103,14,FALSE),I44),IF(VLOOKUP(A44,Dividende_je_Aktie!A$3:AM$103,14,FALSE)&lt;&gt;"",VLOOKUP(A44,Dividende_je_Aktie!A$3:AM$103,14,FALSE),""))</f>
        <v>0.2</v>
      </c>
      <c r="U44" s="13">
        <f>IF(J44&gt;0,IF(VLOOKUP(A44,Dividende_je_Aktie!A$3:AM$103,15,FALSE)&lt;&gt;"",J44+VLOOKUP(A44,Dividende_je_Aktie!A$3:AM$103,15,FALSE),J44),IF(VLOOKUP(A44,Dividende_je_Aktie!A$3:AM$103,15,FALSE)&lt;&gt;"",VLOOKUP(A44,Dividende_je_Aktie!A$3:AM$103,15,FALSE),""))</f>
        <v>0.60949071300179747</v>
      </c>
      <c r="V44" s="13">
        <f>IF(K44&gt;0,IF(VLOOKUP(A44,Dividende_je_Aktie!A$3:AM$103,16,FALSE)&lt;&gt;"",K44+VLOOKUP(A44,Dividende_je_Aktie!A$3:AM$103,16,FALSE),K44),IF(VLOOKUP(A44,Dividende_je_Aktie!A$3:AM$103,16,FALSE)&lt;&gt;"",VLOOKUP(A44,Dividende_je_Aktie!A$3:AM$103,16,FALSE),""))</f>
        <v>0</v>
      </c>
      <c r="W44" s="13">
        <f>IF(L44&gt;0,IF(VLOOKUP(A44,Dividende_je_Aktie!A$3:AM$103,17,FALSE)&lt;&gt;"",L44+VLOOKUP(A44,Dividende_je_Aktie!A$3:AM$103,17,FALSE),L44),IF(VLOOKUP(A44,Dividende_je_Aktie!A$3:AM$103,17,FALSE)&lt;&gt;"",VLOOKUP(A44,Dividende_je_Aktie!A$3:AM$103,17,FALSE),""))</f>
        <v>0.47434893283728219</v>
      </c>
      <c r="X44" s="13">
        <f>IF(M44&gt;0,IF(VLOOKUP(A44,Dividende_je_Aktie!A$3:AM$103,18,FALSE)&lt;&gt;"",M44+VLOOKUP(A44,Dividende_je_Aktie!A$3:AM$103,18,FALSE),M44),IF(VLOOKUP(A44,Dividende_je_Aktie!A$3:AM$103,18,FALSE)&lt;&gt;"",VLOOKUP(A44,Dividende_je_Aktie!A$3:AM$103,18,FALSE),""))</f>
        <v>0</v>
      </c>
    </row>
    <row r="45" spans="1:24">
      <c r="A45" t="s">
        <v>62</v>
      </c>
      <c r="B45" t="s">
        <v>63</v>
      </c>
      <c r="C45" s="13">
        <f>IF(VLOOKUP(A45,Aktien_im_Umlauf_splitbereinigt!A$3:AM$103,4,FALSE)&lt;&gt;"",IF(VLOOKUP(A45,Aktien_im_Umlauf_splitbereinigt!A$3:AM$103,3,FALSE)&lt;&gt;"",IF(VLOOKUP(A45,Schlußkurse!A$5:AU$105,36,FALSE)&gt;0,((VLOOKUP(A45,Aktien_im_Umlauf_splitbereinigt!A$3:AM$103,4,FALSE)-VLOOKUP(A45,Aktien_im_Umlauf_splitbereinigt!A$3:AM$103,3,FALSE))*VLOOKUP(A45,Schlußkurse!A$5:AU$105,36,FALSE))/VLOOKUP(A45,Aktien_im_Umlauf_splitbereinigt!A$3:AM$103,3,FALSE),0),0),0)</f>
        <v>0</v>
      </c>
      <c r="D45" s="97">
        <f>IF(VLOOKUP(A45,Aktien_im_Umlauf_splitbereinigt!A$3:AM$103,5,FALSE)&lt;&gt;"",IF(VLOOKUP(A45,Aktien_im_Umlauf_splitbereinigt!A$3:AM$103,4,FALSE)&lt;&gt;"",IF(VLOOKUP(A45,Schlußkurse!A$5:AU$105,37,FALSE)&gt;0,((VLOOKUP(A45,Aktien_im_Umlauf_splitbereinigt!A$3:AM$103,5,FALSE)-VLOOKUP(A45,Aktien_im_Umlauf_splitbereinigt!A$3:AM$103,4,FALSE))*VLOOKUP(A45,Schlußkurse!A$5:AU$105,37,FALSE))/VLOOKUP(A45,Aktien_im_Umlauf_splitbereinigt!A$3:AM$103,4,FALSE),0),0),0)</f>
        <v>2.5585051903114189</v>
      </c>
      <c r="E45" s="97">
        <f>IF(VLOOKUP(A45,Aktien_im_Umlauf_splitbereinigt!A$3:AM$103,6,FALSE)&lt;&gt;"",IF(VLOOKUP(A45,Aktien_im_Umlauf_splitbereinigt!A$3:AM$103,5,FALSE)&lt;&gt;"",IF(VLOOKUP(A45,Schlußkurse!A$5:AU$105,38,FALSE)&gt;0,((VLOOKUP(A45,Aktien_im_Umlauf_splitbereinigt!A$3:AM$103,6,FALSE)-VLOOKUP(A45,Aktien_im_Umlauf_splitbereinigt!A$3:AM$103,5,FALSE))*VLOOKUP(A45,Schlußkurse!A$5:AU$105,38,FALSE))/VLOOKUP(A45,Aktien_im_Umlauf_splitbereinigt!A$3:AM$103,5,FALSE),0),0),0)</f>
        <v>2.5522267206477736</v>
      </c>
      <c r="F45" s="97">
        <f>IF(VLOOKUP(A45,Aktien_im_Umlauf_splitbereinigt!A$3:AM$103,7,FALSE)&lt;&gt;"",IF(VLOOKUP(A45,Aktien_im_Umlauf_splitbereinigt!A$3:AM$103,6,FALSE)&lt;&gt;"",IF(VLOOKUP(A45,Schlußkurse!A$5:AU$105,39,FALSE)&gt;0,((VLOOKUP(A45,Aktien_im_Umlauf_splitbereinigt!A$3:AM$103,7,FALSE)-VLOOKUP(A45,Aktien_im_Umlauf_splitbereinigt!A$3:AM$103,6,FALSE))*VLOOKUP(A45,Schlußkurse!A$5:AU$105,39,FALSE))/VLOOKUP(A45,Aktien_im_Umlauf_splitbereinigt!A$3:AM$103,6,FALSE),0),0),0)</f>
        <v>1.1443758212877793</v>
      </c>
      <c r="G45" s="97">
        <f>IF(VLOOKUP(A45,Aktien_im_Umlauf_splitbereinigt!A$3:AM$103,8,FALSE)&lt;&gt;"",IF(VLOOKUP(A45,Aktien_im_Umlauf_splitbereinigt!A$3:AM$103,7,FALSE)&lt;&gt;"",IF(VLOOKUP(A45,Schlußkurse!A$5:AU$105,40,FALSE)&gt;0,((VLOOKUP(A45,Aktien_im_Umlauf_splitbereinigt!A$3:AM$103,8,FALSE)-VLOOKUP(A45,Aktien_im_Umlauf_splitbereinigt!A$3:AM$103,7,FALSE))*VLOOKUP(A45,Schlußkurse!A$5:AU$105,40,FALSE))/VLOOKUP(A45,Aktien_im_Umlauf_splitbereinigt!A$3:AM$103,7,FALSE),0),0),0)</f>
        <v>0.93132209980557368</v>
      </c>
      <c r="H45" s="97">
        <f>IF(VLOOKUP(A45,Aktien_im_Umlauf_splitbereinigt!A$3:AM$103,9,FALSE)&lt;&gt;"",IF(VLOOKUP(A45,Aktien_im_Umlauf_splitbereinigt!A$3:AM$103,8,FALSE)&lt;&gt;"",IF(VLOOKUP(A45,Schlußkurse!A$5:AU$105,41,FALSE)&gt;0,((VLOOKUP(A45,Aktien_im_Umlauf_splitbereinigt!A$3:AM$103,9,FALSE)-VLOOKUP(A45,Aktien_im_Umlauf_splitbereinigt!A$3:AM$103,8,FALSE))*VLOOKUP(A45,Schlußkurse!A$5:AU$105,41,FALSE))/VLOOKUP(A45,Aktien_im_Umlauf_splitbereinigt!A$3:AM$103,8,FALSE),0),0),0)</f>
        <v>0.7211956521739129</v>
      </c>
      <c r="I45" s="97">
        <f>IF(VLOOKUP(A45,Aktien_im_Umlauf_splitbereinigt!A$3:AM$103,10,FALSE)&lt;&gt;"",IF(VLOOKUP(A45,Aktien_im_Umlauf_splitbereinigt!A$3:AM$103,9,FALSE)&lt;&gt;"",IF(VLOOKUP(A45,Schlußkurse!A$5:AU$105,42,FALSE)&gt;0,((VLOOKUP(A45,Aktien_im_Umlauf_splitbereinigt!A$3:AM$103,10,FALSE)-VLOOKUP(A45,Aktien_im_Umlauf_splitbereinigt!A$3:AM$103,9,FALSE))*VLOOKUP(A45,Schlußkurse!A$5:AU$105,42,FALSE))/VLOOKUP(A45,Aktien_im_Umlauf_splitbereinigt!A$3:AM$103,9,FALSE),0),0),0)</f>
        <v>-0.66115117014547753</v>
      </c>
      <c r="J45" s="97">
        <f>IF(VLOOKUP(A45,Aktien_im_Umlauf_splitbereinigt!A$3:AM$103,11,FALSE)&lt;&gt;"",IF(VLOOKUP(A45,Aktien_im_Umlauf_splitbereinigt!A$3:AM$103,10,FALSE)&lt;&gt;"",IF(VLOOKUP(A45,Schlußkurse!A$5:AU$105,43,FALSE)&gt;0,((VLOOKUP(A45,Aktien_im_Umlauf_splitbereinigt!A$3:AM$103,11,FALSE)-VLOOKUP(A45,Aktien_im_Umlauf_splitbereinigt!A$3:AM$103,10,FALSE))*VLOOKUP(A45,Schlußkurse!A$5:AU$105,43,FALSE))/VLOOKUP(A45,Aktien_im_Umlauf_splitbereinigt!A$3:AM$103,10,FALSE),0),0),0)</f>
        <v>-0.46619808306709259</v>
      </c>
      <c r="K45" s="97">
        <f>IF(VLOOKUP(A45,Aktien_im_Umlauf_splitbereinigt!A$3:AM$103,12,FALSE)&lt;&gt;"",IF(VLOOKUP(A45,Aktien_im_Umlauf_splitbereinigt!A$3:AM$103,11,FALSE)&lt;&gt;"",IF(VLOOKUP(A45,Schlußkurse!A$5:AU$105,44,FALSE)&gt;0,((VLOOKUP(A45,Aktien_im_Umlauf_splitbereinigt!A$3:AM$103,12,FALSE)-VLOOKUP(A45,Aktien_im_Umlauf_splitbereinigt!A$3:AM$103,11,FALSE))*VLOOKUP(A45,Schlußkurse!A$5:AU$105,44,FALSE))/VLOOKUP(A45,Aktien_im_Umlauf_splitbereinigt!A$3:AM$103,11,FALSE),0),0),0)</f>
        <v>1.8338956857694784</v>
      </c>
      <c r="L45" s="97">
        <f>IF(VLOOKUP(A45,Aktien_im_Umlauf_splitbereinigt!A$3:AM$103,13,FALSE)&lt;&gt;"",IF(VLOOKUP(A45,Aktien_im_Umlauf_splitbereinigt!A$3:AM$103,12,FALSE)&lt;&gt;"",IF(VLOOKUP(A45,Schlußkurse!A$5:AU$105,45,FALSE)&gt;0,((VLOOKUP(A45,Aktien_im_Umlauf_splitbereinigt!A$3:AM$103,13,FALSE)-VLOOKUP(A45,Aktien_im_Umlauf_splitbereinigt!A$3:AM$103,12,FALSE))*VLOOKUP(A45,Schlußkurse!A$5:AU$105,45,FALSE))/VLOOKUP(A45,Aktien_im_Umlauf_splitbereinigt!A$3:AM$103,12,FALSE),0),0),0)</f>
        <v>1.5605607476635515</v>
      </c>
      <c r="M45" s="97">
        <f>IF(VLOOKUP(A45,Aktien_im_Umlauf_splitbereinigt!A$3:AM$103,14,FALSE)&lt;&gt;"",IF(VLOOKUP(A45,Aktien_im_Umlauf_splitbereinigt!A$3:AM$103,13,FALSE)&lt;&gt;"",IF(VLOOKUP(A45,Schlußkurse!A$5:AU$105,46,FALSE)&gt;0,((VLOOKUP(A45,Aktien_im_Umlauf_splitbereinigt!A$3:AM$103,14,FALSE)-VLOOKUP(A45,Aktien_im_Umlauf_splitbereinigt!A$3:AM$103,13,FALSE))*VLOOKUP(A45,Schlußkurse!A$5:AU$105,46,FALSE))/VLOOKUP(A45,Aktien_im_Umlauf_splitbereinigt!A$3:AM$103,13,FALSE),0),0),0)</f>
        <v>0.6885714285714285</v>
      </c>
      <c r="N45" s="13">
        <f>IF(C45&gt;0,IF(VLOOKUP(A45,Dividende_je_Aktie!A$3:AM$103,8,FALSE)&lt;&gt;"",C45+VLOOKUP(A45,Dividende_je_Aktie!A$3:AM$103,8,FALSE),C45),IF(VLOOKUP(A45,Dividende_je_Aktie!A$3:AM$103,8,FALSE)&lt;&gt;"",VLOOKUP(A45,Dividende_je_Aktie!A$3:AM$103,8,FALSE),""))</f>
        <v>2.94</v>
      </c>
      <c r="O45" s="13">
        <f>IF(D45&gt;0,IF(VLOOKUP(A45,Dividende_je_Aktie!A$3:AM$103,9,FALSE)&lt;&gt;"",D45+VLOOKUP(A45,Dividende_je_Aktie!A$3:AM$103,9,FALSE),D45),IF(VLOOKUP(A45,Dividende_je_Aktie!A$3:AM$103,9,FALSE)&lt;&gt;"",VLOOKUP(A45,Dividende_je_Aktie!A$3:AM$103,9,FALSE),""))</f>
        <v>5.3185051903114182</v>
      </c>
      <c r="P45" s="13">
        <f>IF(E45&gt;0,IF(VLOOKUP(A45,Dividende_je_Aktie!A$3:AM$103,10,FALSE)&lt;&gt;"",E45+VLOOKUP(A45,Dividende_je_Aktie!A$3:AM$103,10,FALSE),E45),IF(VLOOKUP(A45,Dividende_je_Aktie!A$3:AM$103,10,FALSE)&lt;&gt;"",VLOOKUP(A45,Dividende_je_Aktie!A$3:AM$103,10,FALSE),""))</f>
        <v>5.0822267206477729</v>
      </c>
      <c r="Q45" s="13">
        <f>IF(F45&gt;0,IF(VLOOKUP(A45,Dividende_je_Aktie!A$3:AM$103,11,FALSE)&lt;&gt;"",F45+VLOOKUP(A45,Dividende_je_Aktie!A$3:AM$103,11,FALSE),F45),IF(VLOOKUP(A45,Dividende_je_Aktie!A$3:AM$103,11,FALSE)&lt;&gt;"",VLOOKUP(A45,Dividende_je_Aktie!A$3:AM$103,11,FALSE),""))</f>
        <v>3.3843758212877795</v>
      </c>
      <c r="R45" s="13">
        <f>IF(G45&gt;0,IF(VLOOKUP(A45,Dividende_je_Aktie!A$3:AM$103,12,FALSE)&lt;&gt;"",G45+VLOOKUP(A45,Dividende_je_Aktie!A$3:AM$103,12,FALSE),G45),IF(VLOOKUP(A45,Dividende_je_Aktie!A$3:AM$103,12,FALSE)&lt;&gt;"",VLOOKUP(A45,Dividende_je_Aktie!A$3:AM$103,12,FALSE),""))</f>
        <v>3.0613220998055737</v>
      </c>
      <c r="S45" s="13">
        <f>IF(H45&gt;0,IF(VLOOKUP(A45,Dividende_je_Aktie!A$3:AM$103,13,FALSE)&lt;&gt;"",H45+VLOOKUP(A45,Dividende_je_Aktie!A$3:AM$103,13,FALSE),H45),IF(VLOOKUP(A45,Dividende_je_Aktie!A$3:AM$103,13,FALSE)&lt;&gt;"",VLOOKUP(A45,Dividende_je_Aktie!A$3:AM$103,13,FALSE),""))</f>
        <v>2.7511956521739127</v>
      </c>
      <c r="T45" s="13">
        <f>IF(I45&gt;0,IF(VLOOKUP(A45,Dividende_je_Aktie!A$3:AM$103,14,FALSE)&lt;&gt;"",I45+VLOOKUP(A45,Dividende_je_Aktie!A$3:AM$103,14,FALSE),I45),IF(VLOOKUP(A45,Dividende_je_Aktie!A$3:AM$103,14,FALSE)&lt;&gt;"",VLOOKUP(A45,Dividende_je_Aktie!A$3:AM$103,14,FALSE),""))</f>
        <v>1.89</v>
      </c>
      <c r="U45" s="13">
        <f>IF(J45&gt;0,IF(VLOOKUP(A45,Dividende_je_Aktie!A$3:AM$103,15,FALSE)&lt;&gt;"",J45+VLOOKUP(A45,Dividende_je_Aktie!A$3:AM$103,15,FALSE),J45),IF(VLOOKUP(A45,Dividende_je_Aktie!A$3:AM$103,15,FALSE)&lt;&gt;"",VLOOKUP(A45,Dividende_je_Aktie!A$3:AM$103,15,FALSE),""))</f>
        <v>1.78</v>
      </c>
      <c r="V45" s="13">
        <f>IF(K45&gt;0,IF(VLOOKUP(A45,Dividende_je_Aktie!A$3:AM$103,16,FALSE)&lt;&gt;"",K45+VLOOKUP(A45,Dividende_je_Aktie!A$3:AM$103,16,FALSE),K45),IF(VLOOKUP(A45,Dividende_je_Aktie!A$3:AM$103,16,FALSE)&lt;&gt;"",VLOOKUP(A45,Dividende_je_Aktie!A$3:AM$103,16,FALSE),""))</f>
        <v>3.4838956857694781</v>
      </c>
      <c r="W45" s="13">
        <f>IF(L45&gt;0,IF(VLOOKUP(A45,Dividende_je_Aktie!A$3:AM$103,17,FALSE)&lt;&gt;"",L45+VLOOKUP(A45,Dividende_je_Aktie!A$3:AM$103,17,FALSE),L45),IF(VLOOKUP(A45,Dividende_je_Aktie!A$3:AM$103,17,FALSE)&lt;&gt;"",VLOOKUP(A45,Dividende_je_Aktie!A$3:AM$103,17,FALSE),""))</f>
        <v>2.9905607476635514</v>
      </c>
      <c r="X45" s="13">
        <f>IF(M45&gt;0,IF(VLOOKUP(A45,Dividende_je_Aktie!A$3:AM$103,18,FALSE)&lt;&gt;"",M45+VLOOKUP(A45,Dividende_je_Aktie!A$3:AM$103,18,FALSE),M45),IF(VLOOKUP(A45,Dividende_je_Aktie!A$3:AM$103,18,FALSE)&lt;&gt;"",VLOOKUP(A45,Dividende_je_Aktie!A$3:AM$103,18,FALSE),""))</f>
        <v>1.8485714285714283</v>
      </c>
    </row>
    <row r="46" spans="1:24">
      <c r="A46" t="s">
        <v>64</v>
      </c>
      <c r="B46" t="s">
        <v>65</v>
      </c>
      <c r="C46" s="13">
        <f>IF(VLOOKUP(A46,Aktien_im_Umlauf_splitbereinigt!A$3:AM$103,4,FALSE)&lt;&gt;"",IF(VLOOKUP(A46,Aktien_im_Umlauf_splitbereinigt!A$3:AM$103,3,FALSE)&lt;&gt;"",IF(VLOOKUP(A46,Schlußkurse!A$5:AU$105,36,FALSE)&gt;0,((VLOOKUP(A46,Aktien_im_Umlauf_splitbereinigt!A$3:AM$103,4,FALSE)-VLOOKUP(A46,Aktien_im_Umlauf_splitbereinigt!A$3:AM$103,3,FALSE))*VLOOKUP(A46,Schlußkurse!A$5:AU$105,36,FALSE))/VLOOKUP(A46,Aktien_im_Umlauf_splitbereinigt!A$3:AM$103,3,FALSE),0),0),0)</f>
        <v>0</v>
      </c>
      <c r="D46" s="97">
        <f>IF(VLOOKUP(A46,Aktien_im_Umlauf_splitbereinigt!A$3:AM$103,5,FALSE)&lt;&gt;"",IF(VLOOKUP(A46,Aktien_im_Umlauf_splitbereinigt!A$3:AM$103,4,FALSE)&lt;&gt;"",IF(VLOOKUP(A46,Schlußkurse!A$5:AU$105,37,FALSE)&gt;0,((VLOOKUP(A46,Aktien_im_Umlauf_splitbereinigt!A$3:AM$103,5,FALSE)-VLOOKUP(A46,Aktien_im_Umlauf_splitbereinigt!A$3:AM$103,4,FALSE))*VLOOKUP(A46,Schlußkurse!A$5:AU$105,37,FALSE))/VLOOKUP(A46,Aktien_im_Umlauf_splitbereinigt!A$3:AM$103,4,FALSE),0),0),0)</f>
        <v>0.60639352226720644</v>
      </c>
      <c r="E46" s="97">
        <f>IF(VLOOKUP(A46,Aktien_im_Umlauf_splitbereinigt!A$3:AM$103,6,FALSE)&lt;&gt;"",IF(VLOOKUP(A46,Aktien_im_Umlauf_splitbereinigt!A$3:AM$103,5,FALSE)&lt;&gt;"",IF(VLOOKUP(A46,Schlußkurse!A$5:AU$105,38,FALSE)&gt;0,((VLOOKUP(A46,Aktien_im_Umlauf_splitbereinigt!A$3:AM$103,6,FALSE)-VLOOKUP(A46,Aktien_im_Umlauf_splitbereinigt!A$3:AM$103,5,FALSE))*VLOOKUP(A46,Schlußkurse!A$5:AU$105,38,FALSE))/VLOOKUP(A46,Aktien_im_Umlauf_splitbereinigt!A$3:AM$103,5,FALSE),0),0),0)</f>
        <v>0.53476394849785402</v>
      </c>
      <c r="F46" s="97">
        <f>IF(VLOOKUP(A46,Aktien_im_Umlauf_splitbereinigt!A$3:AM$103,7,FALSE)&lt;&gt;"",IF(VLOOKUP(A46,Aktien_im_Umlauf_splitbereinigt!A$3:AM$103,6,FALSE)&lt;&gt;"",IF(VLOOKUP(A46,Schlußkurse!A$5:AU$105,39,FALSE)&gt;0,((VLOOKUP(A46,Aktien_im_Umlauf_splitbereinigt!A$3:AM$103,7,FALSE)-VLOOKUP(A46,Aktien_im_Umlauf_splitbereinigt!A$3:AM$103,6,FALSE))*VLOOKUP(A46,Schlußkurse!A$5:AU$105,39,FALSE))/VLOOKUP(A46,Aktien_im_Umlauf_splitbereinigt!A$3:AM$103,6,FALSE),0),0),0)</f>
        <v>4.1979231129864036</v>
      </c>
      <c r="G46" s="97">
        <f>IF(VLOOKUP(A46,Aktien_im_Umlauf_splitbereinigt!A$3:AM$103,8,FALSE)&lt;&gt;"",IF(VLOOKUP(A46,Aktien_im_Umlauf_splitbereinigt!A$3:AM$103,7,FALSE)&lt;&gt;"",IF(VLOOKUP(A46,Schlußkurse!A$5:AU$105,40,FALSE)&gt;0,((VLOOKUP(A46,Aktien_im_Umlauf_splitbereinigt!A$3:AM$103,8,FALSE)-VLOOKUP(A46,Aktien_im_Umlauf_splitbereinigt!A$3:AM$103,7,FALSE))*VLOOKUP(A46,Schlußkurse!A$5:AU$105,40,FALSE))/VLOOKUP(A46,Aktien_im_Umlauf_splitbereinigt!A$3:AM$103,7,FALSE),0),0),0)</f>
        <v>1.0306089472237492</v>
      </c>
      <c r="H46" s="97">
        <f>IF(VLOOKUP(A46,Aktien_im_Umlauf_splitbereinigt!A$3:AM$103,9,FALSE)&lt;&gt;"",IF(VLOOKUP(A46,Aktien_im_Umlauf_splitbereinigt!A$3:AM$103,8,FALSE)&lt;&gt;"",IF(VLOOKUP(A46,Schlußkurse!A$5:AU$105,41,FALSE)&gt;0,((VLOOKUP(A46,Aktien_im_Umlauf_splitbereinigt!A$3:AM$103,9,FALSE)-VLOOKUP(A46,Aktien_im_Umlauf_splitbereinigt!A$3:AM$103,8,FALSE))*VLOOKUP(A46,Schlußkurse!A$5:AU$105,41,FALSE))/VLOOKUP(A46,Aktien_im_Umlauf_splitbereinigt!A$3:AM$103,8,FALSE),0),0),0)</f>
        <v>1.248406600660066</v>
      </c>
      <c r="I46" s="97">
        <f>IF(VLOOKUP(A46,Aktien_im_Umlauf_splitbereinigt!A$3:AM$103,10,FALSE)&lt;&gt;"",IF(VLOOKUP(A46,Aktien_im_Umlauf_splitbereinigt!A$3:AM$103,9,FALSE)&lt;&gt;"",IF(VLOOKUP(A46,Schlußkurse!A$5:AU$105,42,FALSE)&gt;0,((VLOOKUP(A46,Aktien_im_Umlauf_splitbereinigt!A$3:AM$103,10,FALSE)-VLOOKUP(A46,Aktien_im_Umlauf_splitbereinigt!A$3:AM$103,9,FALSE))*VLOOKUP(A46,Schlußkurse!A$5:AU$105,42,FALSE))/VLOOKUP(A46,Aktien_im_Umlauf_splitbereinigt!A$3:AM$103,9,FALSE),0),0),0)</f>
        <v>0.12675736395406889</v>
      </c>
      <c r="J46" s="97">
        <f>IF(VLOOKUP(A46,Aktien_im_Umlauf_splitbereinigt!A$3:AM$103,11,FALSE)&lt;&gt;"",IF(VLOOKUP(A46,Aktien_im_Umlauf_splitbereinigt!A$3:AM$103,10,FALSE)&lt;&gt;"",IF(VLOOKUP(A46,Schlußkurse!A$5:AU$105,43,FALSE)&gt;0,((VLOOKUP(A46,Aktien_im_Umlauf_splitbereinigt!A$3:AM$103,11,FALSE)-VLOOKUP(A46,Aktien_im_Umlauf_splitbereinigt!A$3:AM$103,10,FALSE))*VLOOKUP(A46,Schlußkurse!A$5:AU$105,43,FALSE))/VLOOKUP(A46,Aktien_im_Umlauf_splitbereinigt!A$3:AM$103,10,FALSE),0),0),0)</f>
        <v>0</v>
      </c>
      <c r="K46" s="97">
        <f>IF(VLOOKUP(A46,Aktien_im_Umlauf_splitbereinigt!A$3:AM$103,12,FALSE)&lt;&gt;"",IF(VLOOKUP(A46,Aktien_im_Umlauf_splitbereinigt!A$3:AM$103,11,FALSE)&lt;&gt;"",IF(VLOOKUP(A46,Schlußkurse!A$5:AU$105,44,FALSE)&gt;0,((VLOOKUP(A46,Aktien_im_Umlauf_splitbereinigt!A$3:AM$103,12,FALSE)-VLOOKUP(A46,Aktien_im_Umlauf_splitbereinigt!A$3:AM$103,11,FALSE))*VLOOKUP(A46,Schlußkurse!A$5:AU$105,44,FALSE))/VLOOKUP(A46,Aktien_im_Umlauf_splitbereinigt!A$3:AM$103,11,FALSE),0),0),0)</f>
        <v>0</v>
      </c>
      <c r="L46" s="97">
        <f>IF(VLOOKUP(A46,Aktien_im_Umlauf_splitbereinigt!A$3:AM$103,13,FALSE)&lt;&gt;"",IF(VLOOKUP(A46,Aktien_im_Umlauf_splitbereinigt!A$3:AM$103,12,FALSE)&lt;&gt;"",IF(VLOOKUP(A46,Schlußkurse!A$5:AU$105,45,FALSE)&gt;0,((VLOOKUP(A46,Aktien_im_Umlauf_splitbereinigt!A$3:AM$103,13,FALSE)-VLOOKUP(A46,Aktien_im_Umlauf_splitbereinigt!A$3:AM$103,12,FALSE))*VLOOKUP(A46,Schlußkurse!A$5:AU$105,45,FALSE))/VLOOKUP(A46,Aktien_im_Umlauf_splitbereinigt!A$3:AM$103,12,FALSE),0),0),0)</f>
        <v>0</v>
      </c>
      <c r="M46" s="97">
        <f>IF(VLOOKUP(A46,Aktien_im_Umlauf_splitbereinigt!A$3:AM$103,14,FALSE)&lt;&gt;"",IF(VLOOKUP(A46,Aktien_im_Umlauf_splitbereinigt!A$3:AM$103,13,FALSE)&lt;&gt;"",IF(VLOOKUP(A46,Schlußkurse!A$5:AU$105,46,FALSE)&gt;0,((VLOOKUP(A46,Aktien_im_Umlauf_splitbereinigt!A$3:AM$103,14,FALSE)-VLOOKUP(A46,Aktien_im_Umlauf_splitbereinigt!A$3:AM$103,13,FALSE))*VLOOKUP(A46,Schlußkurse!A$5:AU$105,46,FALSE))/VLOOKUP(A46,Aktien_im_Umlauf_splitbereinigt!A$3:AM$103,13,FALSE),0),0),0)</f>
        <v>0</v>
      </c>
      <c r="N46" s="13">
        <f>IF(C46&gt;0,IF(VLOOKUP(A46,Dividende_je_Aktie!A$3:AM$103,8,FALSE)&lt;&gt;"",C46+VLOOKUP(A46,Dividende_je_Aktie!A$3:AM$103,8,FALSE),C46),IF(VLOOKUP(A46,Dividende_je_Aktie!A$3:AM$103,8,FALSE)&lt;&gt;"",VLOOKUP(A46,Dividende_je_Aktie!A$3:AM$103,8,FALSE),""))</f>
        <v>1.19</v>
      </c>
      <c r="O46" s="13">
        <f>IF(D46&gt;0,IF(VLOOKUP(A46,Dividende_je_Aktie!A$3:AM$103,9,FALSE)&lt;&gt;"",D46+VLOOKUP(A46,Dividende_je_Aktie!A$3:AM$103,9,FALSE),D46),IF(VLOOKUP(A46,Dividende_je_Aktie!A$3:AM$103,9,FALSE)&lt;&gt;"",VLOOKUP(A46,Dividende_je_Aktie!A$3:AM$103,9,FALSE),""))</f>
        <v>1.7263935222672067</v>
      </c>
      <c r="P46" s="13">
        <f>IF(E46&gt;0,IF(VLOOKUP(A46,Dividende_je_Aktie!A$3:AM$103,10,FALSE)&lt;&gt;"",E46+VLOOKUP(A46,Dividende_je_Aktie!A$3:AM$103,10,FALSE),E46),IF(VLOOKUP(A46,Dividende_je_Aktie!A$3:AM$103,10,FALSE)&lt;&gt;"",VLOOKUP(A46,Dividende_je_Aktie!A$3:AM$103,10,FALSE),""))</f>
        <v>1.5747639484978539</v>
      </c>
      <c r="Q46" s="13">
        <f>IF(F46&gt;0,IF(VLOOKUP(A46,Dividende_je_Aktie!A$3:AM$103,11,FALSE)&lt;&gt;"",F46+VLOOKUP(A46,Dividende_je_Aktie!A$3:AM$103,11,FALSE),F46),IF(VLOOKUP(A46,Dividende_je_Aktie!A$3:AM$103,11,FALSE)&lt;&gt;"",VLOOKUP(A46,Dividende_je_Aktie!A$3:AM$103,11,FALSE),""))</f>
        <v>5.1579231129864036</v>
      </c>
      <c r="R46" s="13">
        <f>IF(G46&gt;0,IF(VLOOKUP(A46,Dividende_je_Aktie!A$3:AM$103,12,FALSE)&lt;&gt;"",G46+VLOOKUP(A46,Dividende_je_Aktie!A$3:AM$103,12,FALSE),G46),IF(VLOOKUP(A46,Dividende_je_Aktie!A$3:AM$103,12,FALSE)&lt;&gt;"",VLOOKUP(A46,Dividende_je_Aktie!A$3:AM$103,12,FALSE),""))</f>
        <v>1.9106089472237491</v>
      </c>
      <c r="S46" s="13">
        <f>IF(H46&gt;0,IF(VLOOKUP(A46,Dividende_je_Aktie!A$3:AM$103,13,FALSE)&lt;&gt;"",H46+VLOOKUP(A46,Dividende_je_Aktie!A$3:AM$103,13,FALSE),H46),IF(VLOOKUP(A46,Dividende_je_Aktie!A$3:AM$103,13,FALSE)&lt;&gt;"",VLOOKUP(A46,Dividende_je_Aktie!A$3:AM$103,13,FALSE),""))</f>
        <v>2.0484066006600661</v>
      </c>
      <c r="T46" s="13">
        <f>IF(I46&gt;0,IF(VLOOKUP(A46,Dividende_je_Aktie!A$3:AM$103,14,FALSE)&lt;&gt;"",I46+VLOOKUP(A46,Dividende_je_Aktie!A$3:AM$103,14,FALSE),I46),IF(VLOOKUP(A46,Dividende_je_Aktie!A$3:AM$103,14,FALSE)&lt;&gt;"",VLOOKUP(A46,Dividende_je_Aktie!A$3:AM$103,14,FALSE),""))</f>
        <v>0.84675736395406886</v>
      </c>
      <c r="U46" s="13">
        <f>IF(J46&gt;0,IF(VLOOKUP(A46,Dividende_je_Aktie!A$3:AM$103,15,FALSE)&lt;&gt;"",J46+VLOOKUP(A46,Dividende_je_Aktie!A$3:AM$103,15,FALSE),J46),IF(VLOOKUP(A46,Dividende_je_Aktie!A$3:AM$103,15,FALSE)&lt;&gt;"",VLOOKUP(A46,Dividende_je_Aktie!A$3:AM$103,15,FALSE),""))</f>
        <v>0.8</v>
      </c>
      <c r="V46" s="13">
        <f>IF(K46&gt;0,IF(VLOOKUP(A46,Dividende_je_Aktie!A$3:AM$103,16,FALSE)&lt;&gt;"",K46+VLOOKUP(A46,Dividende_je_Aktie!A$3:AM$103,16,FALSE),K46),IF(VLOOKUP(A46,Dividende_je_Aktie!A$3:AM$103,16,FALSE)&lt;&gt;"",VLOOKUP(A46,Dividende_je_Aktie!A$3:AM$103,16,FALSE),""))</f>
        <v>1.28</v>
      </c>
      <c r="W46" s="13">
        <f>IF(L46&gt;0,IF(VLOOKUP(A46,Dividende_je_Aktie!A$3:AM$103,17,FALSE)&lt;&gt;"",L46+VLOOKUP(A46,Dividende_je_Aktie!A$3:AM$103,17,FALSE),L46),IF(VLOOKUP(A46,Dividende_je_Aktie!A$3:AM$103,17,FALSE)&lt;&gt;"",VLOOKUP(A46,Dividende_je_Aktie!A$3:AM$103,17,FALSE),""))</f>
        <v>1.1599999999999999</v>
      </c>
      <c r="X46" s="13">
        <f>IF(M46&gt;0,IF(VLOOKUP(A46,Dividende_je_Aktie!A$3:AM$103,18,FALSE)&lt;&gt;"",M46+VLOOKUP(A46,Dividende_je_Aktie!A$3:AM$103,18,FALSE),M46),IF(VLOOKUP(A46,Dividende_je_Aktie!A$3:AM$103,18,FALSE)&lt;&gt;"",VLOOKUP(A46,Dividende_je_Aktie!A$3:AM$103,18,FALSE),""))</f>
        <v>0.96</v>
      </c>
    </row>
    <row r="47" spans="1:24">
      <c r="A47" t="s">
        <v>66</v>
      </c>
      <c r="B47" t="s">
        <v>67</v>
      </c>
      <c r="C47" s="13">
        <f>IF(VLOOKUP(A47,Aktien_im_Umlauf_splitbereinigt!A$3:AM$103,4,FALSE)&lt;&gt;"",IF(VLOOKUP(A47,Aktien_im_Umlauf_splitbereinigt!A$3:AM$103,3,FALSE)&lt;&gt;"",IF(VLOOKUP(A47,Schlußkurse!A$5:AU$105,36,FALSE)&gt;0,((VLOOKUP(A47,Aktien_im_Umlauf_splitbereinigt!A$3:AM$103,4,FALSE)-VLOOKUP(A47,Aktien_im_Umlauf_splitbereinigt!A$3:AM$103,3,FALSE))*VLOOKUP(A47,Schlußkurse!A$5:AU$105,36,FALSE))/VLOOKUP(A47,Aktien_im_Umlauf_splitbereinigt!A$3:AM$103,3,FALSE),0),0),0)</f>
        <v>0</v>
      </c>
      <c r="D47" s="97">
        <f>IF(VLOOKUP(A47,Aktien_im_Umlauf_splitbereinigt!A$3:AM$103,5,FALSE)&lt;&gt;"",IF(VLOOKUP(A47,Aktien_im_Umlauf_splitbereinigt!A$3:AM$103,4,FALSE)&lt;&gt;"",IF(VLOOKUP(A47,Schlußkurse!A$5:AU$105,37,FALSE)&gt;0,((VLOOKUP(A47,Aktien_im_Umlauf_splitbereinigt!A$3:AM$103,5,FALSE)-VLOOKUP(A47,Aktien_im_Umlauf_splitbereinigt!A$3:AM$103,4,FALSE))*VLOOKUP(A47,Schlußkurse!A$5:AU$105,37,FALSE))/VLOOKUP(A47,Aktien_im_Umlauf_splitbereinigt!A$3:AM$103,4,FALSE),0),0),0)</f>
        <v>-0.11350548741123305</v>
      </c>
      <c r="E47" s="97">
        <f>IF(VLOOKUP(A47,Aktien_im_Umlauf_splitbereinigt!A$3:AM$103,6,FALSE)&lt;&gt;"",IF(VLOOKUP(A47,Aktien_im_Umlauf_splitbereinigt!A$3:AM$103,5,FALSE)&lt;&gt;"",IF(VLOOKUP(A47,Schlußkurse!A$5:AU$105,38,FALSE)&gt;0,((VLOOKUP(A47,Aktien_im_Umlauf_splitbereinigt!A$3:AM$103,6,FALSE)-VLOOKUP(A47,Aktien_im_Umlauf_splitbereinigt!A$3:AM$103,5,FALSE))*VLOOKUP(A47,Schlußkurse!A$5:AU$105,38,FALSE))/VLOOKUP(A47,Aktien_im_Umlauf_splitbereinigt!A$3:AM$103,5,FALSE),0),0),0)</f>
        <v>2.2113122171945703</v>
      </c>
      <c r="F47" s="97">
        <f>IF(VLOOKUP(A47,Aktien_im_Umlauf_splitbereinigt!A$3:AM$103,7,FALSE)&lt;&gt;"",IF(VLOOKUP(A47,Aktien_im_Umlauf_splitbereinigt!A$3:AM$103,6,FALSE)&lt;&gt;"",IF(VLOOKUP(A47,Schlußkurse!A$5:AU$105,39,FALSE)&gt;0,((VLOOKUP(A47,Aktien_im_Umlauf_splitbereinigt!A$3:AM$103,7,FALSE)-VLOOKUP(A47,Aktien_im_Umlauf_splitbereinigt!A$3:AM$103,6,FALSE))*VLOOKUP(A47,Schlußkurse!A$5:AU$105,39,FALSE))/VLOOKUP(A47,Aktien_im_Umlauf_splitbereinigt!A$3:AM$103,6,FALSE),0),0),0)</f>
        <v>-1.3708307111390812</v>
      </c>
      <c r="G47" s="97">
        <f>IF(VLOOKUP(A47,Aktien_im_Umlauf_splitbereinigt!A$3:AM$103,8,FALSE)&lt;&gt;"",IF(VLOOKUP(A47,Aktien_im_Umlauf_splitbereinigt!A$3:AM$103,7,FALSE)&lt;&gt;"",IF(VLOOKUP(A47,Schlußkurse!A$5:AU$105,40,FALSE)&gt;0,((VLOOKUP(A47,Aktien_im_Umlauf_splitbereinigt!A$3:AM$103,8,FALSE)-VLOOKUP(A47,Aktien_im_Umlauf_splitbereinigt!A$3:AM$103,7,FALSE))*VLOOKUP(A47,Schlußkurse!A$5:AU$105,40,FALSE))/VLOOKUP(A47,Aktien_im_Umlauf_splitbereinigt!A$3:AM$103,7,FALSE),0),0),0)</f>
        <v>8.6634782608695655</v>
      </c>
      <c r="H47" s="97">
        <f>IF(VLOOKUP(A47,Aktien_im_Umlauf_splitbereinigt!A$3:AM$103,9,FALSE)&lt;&gt;"",IF(VLOOKUP(A47,Aktien_im_Umlauf_splitbereinigt!A$3:AM$103,8,FALSE)&lt;&gt;"",IF(VLOOKUP(A47,Schlußkurse!A$5:AU$105,41,FALSE)&gt;0,((VLOOKUP(A47,Aktien_im_Umlauf_splitbereinigt!A$3:AM$103,9,FALSE)-VLOOKUP(A47,Aktien_im_Umlauf_splitbereinigt!A$3:AM$103,8,FALSE))*VLOOKUP(A47,Schlußkurse!A$5:AU$105,41,FALSE))/VLOOKUP(A47,Aktien_im_Umlauf_splitbereinigt!A$3:AM$103,8,FALSE),0),0),0)</f>
        <v>3.4556662804171498</v>
      </c>
      <c r="I47" s="97">
        <f>IF(VLOOKUP(A47,Aktien_im_Umlauf_splitbereinigt!A$3:AM$103,10,FALSE)&lt;&gt;"",IF(VLOOKUP(A47,Aktien_im_Umlauf_splitbereinigt!A$3:AM$103,9,FALSE)&lt;&gt;"",IF(VLOOKUP(A47,Schlußkurse!A$5:AU$105,42,FALSE)&gt;0,((VLOOKUP(A47,Aktien_im_Umlauf_splitbereinigt!A$3:AM$103,10,FALSE)-VLOOKUP(A47,Aktien_im_Umlauf_splitbereinigt!A$3:AM$103,9,FALSE))*VLOOKUP(A47,Schlußkurse!A$5:AU$105,42,FALSE))/VLOOKUP(A47,Aktien_im_Umlauf_splitbereinigt!A$3:AM$103,9,FALSE),0),0),0)</f>
        <v>2.7608490566037736</v>
      </c>
      <c r="J47" s="97">
        <f>IF(VLOOKUP(A47,Aktien_im_Umlauf_splitbereinigt!A$3:AM$103,11,FALSE)&lt;&gt;"",IF(VLOOKUP(A47,Aktien_im_Umlauf_splitbereinigt!A$3:AM$103,10,FALSE)&lt;&gt;"",IF(VLOOKUP(A47,Schlußkurse!A$5:AU$105,43,FALSE)&gt;0,((VLOOKUP(A47,Aktien_im_Umlauf_splitbereinigt!A$3:AM$103,11,FALSE)-VLOOKUP(A47,Aktien_im_Umlauf_splitbereinigt!A$3:AM$103,10,FALSE))*VLOOKUP(A47,Schlußkurse!A$5:AU$105,43,FALSE))/VLOOKUP(A47,Aktien_im_Umlauf_splitbereinigt!A$3:AM$103,10,FALSE),0),0),0)</f>
        <v>3.0645468998410172</v>
      </c>
      <c r="K47" s="97">
        <f>IF(VLOOKUP(A47,Aktien_im_Umlauf_splitbereinigt!A$3:AM$103,12,FALSE)&lt;&gt;"",IF(VLOOKUP(A47,Aktien_im_Umlauf_splitbereinigt!A$3:AM$103,11,FALSE)&lt;&gt;"",IF(VLOOKUP(A47,Schlußkurse!A$5:AU$105,44,FALSE)&gt;0,((VLOOKUP(A47,Aktien_im_Umlauf_splitbereinigt!A$3:AM$103,12,FALSE)-VLOOKUP(A47,Aktien_im_Umlauf_splitbereinigt!A$3:AM$103,11,FALSE))*VLOOKUP(A47,Schlußkurse!A$5:AU$105,44,FALSE))/VLOOKUP(A47,Aktien_im_Umlauf_splitbereinigt!A$3:AM$103,11,FALSE),0),0),0)</f>
        <v>0</v>
      </c>
      <c r="L47" s="97">
        <f>IF(VLOOKUP(A47,Aktien_im_Umlauf_splitbereinigt!A$3:AM$103,13,FALSE)&lt;&gt;"",IF(VLOOKUP(A47,Aktien_im_Umlauf_splitbereinigt!A$3:AM$103,12,FALSE)&lt;&gt;"",IF(VLOOKUP(A47,Schlußkurse!A$5:AU$105,45,FALSE)&gt;0,((VLOOKUP(A47,Aktien_im_Umlauf_splitbereinigt!A$3:AM$103,13,FALSE)-VLOOKUP(A47,Aktien_im_Umlauf_splitbereinigt!A$3:AM$103,12,FALSE))*VLOOKUP(A47,Schlußkurse!A$5:AU$105,45,FALSE))/VLOOKUP(A47,Aktien_im_Umlauf_splitbereinigt!A$3:AM$103,12,FALSE),0),0),0)</f>
        <v>0</v>
      </c>
      <c r="M47" s="97">
        <f>IF(VLOOKUP(A47,Aktien_im_Umlauf_splitbereinigt!A$3:AM$103,14,FALSE)&lt;&gt;"",IF(VLOOKUP(A47,Aktien_im_Umlauf_splitbereinigt!A$3:AM$103,13,FALSE)&lt;&gt;"",IF(VLOOKUP(A47,Schlußkurse!A$5:AU$105,46,FALSE)&gt;0,((VLOOKUP(A47,Aktien_im_Umlauf_splitbereinigt!A$3:AM$103,14,FALSE)-VLOOKUP(A47,Aktien_im_Umlauf_splitbereinigt!A$3:AM$103,13,FALSE))*VLOOKUP(A47,Schlußkurse!A$5:AU$105,46,FALSE))/VLOOKUP(A47,Aktien_im_Umlauf_splitbereinigt!A$3:AM$103,13,FALSE),0),0),0)</f>
        <v>0</v>
      </c>
      <c r="N47" s="13">
        <f>IF(C47&gt;0,IF(VLOOKUP(A47,Dividende_je_Aktie!A$3:AM$103,8,FALSE)&lt;&gt;"",C47+VLOOKUP(A47,Dividende_je_Aktie!A$3:AM$103,8,FALSE),C47),IF(VLOOKUP(A47,Dividende_je_Aktie!A$3:AM$103,8,FALSE)&lt;&gt;"",VLOOKUP(A47,Dividende_je_Aktie!A$3:AM$103,8,FALSE),""))</f>
        <v>4.13</v>
      </c>
      <c r="O47" s="13">
        <f>IF(D47&gt;0,IF(VLOOKUP(A47,Dividende_je_Aktie!A$3:AM$103,9,FALSE)&lt;&gt;"",D47+VLOOKUP(A47,Dividende_je_Aktie!A$3:AM$103,9,FALSE),D47),IF(VLOOKUP(A47,Dividende_je_Aktie!A$3:AM$103,9,FALSE)&lt;&gt;"",VLOOKUP(A47,Dividende_je_Aktie!A$3:AM$103,9,FALSE),""))</f>
        <v>4.04</v>
      </c>
      <c r="P47" s="13">
        <f>IF(E47&gt;0,IF(VLOOKUP(A47,Dividende_je_Aktie!A$3:AM$103,10,FALSE)&lt;&gt;"",E47+VLOOKUP(A47,Dividende_je_Aktie!A$3:AM$103,10,FALSE),E47),IF(VLOOKUP(A47,Dividende_je_Aktie!A$3:AM$103,10,FALSE)&lt;&gt;"",VLOOKUP(A47,Dividende_je_Aktie!A$3:AM$103,10,FALSE),""))</f>
        <v>6.0913122171945702</v>
      </c>
      <c r="Q47" s="13">
        <f>IF(F47&gt;0,IF(VLOOKUP(A47,Dividende_je_Aktie!A$3:AM$103,11,FALSE)&lt;&gt;"",F47+VLOOKUP(A47,Dividende_je_Aktie!A$3:AM$103,11,FALSE),F47),IF(VLOOKUP(A47,Dividende_je_Aktie!A$3:AM$103,11,FALSE)&lt;&gt;"",VLOOKUP(A47,Dividende_je_Aktie!A$3:AM$103,11,FALSE),""))</f>
        <v>3.58</v>
      </c>
      <c r="R47" s="13">
        <f>IF(G47&gt;0,IF(VLOOKUP(A47,Dividende_je_Aktie!A$3:AM$103,12,FALSE)&lt;&gt;"",G47+VLOOKUP(A47,Dividende_je_Aktie!A$3:AM$103,12,FALSE),G47),IF(VLOOKUP(A47,Dividende_je_Aktie!A$3:AM$103,12,FALSE)&lt;&gt;"",VLOOKUP(A47,Dividende_je_Aktie!A$3:AM$103,12,FALSE),""))</f>
        <v>11.903478260869566</v>
      </c>
      <c r="S47" s="13">
        <f>IF(H47&gt;0,IF(VLOOKUP(A47,Dividende_je_Aktie!A$3:AM$103,13,FALSE)&lt;&gt;"",H47+VLOOKUP(A47,Dividende_je_Aktie!A$3:AM$103,13,FALSE),H47),IF(VLOOKUP(A47,Dividende_je_Aktie!A$3:AM$103,13,FALSE)&lt;&gt;"",VLOOKUP(A47,Dividende_je_Aktie!A$3:AM$103,13,FALSE),""))</f>
        <v>6.2756662804171501</v>
      </c>
      <c r="T47" s="13">
        <f>IF(I47&gt;0,IF(VLOOKUP(A47,Dividende_je_Aktie!A$3:AM$103,14,FALSE)&lt;&gt;"",I47+VLOOKUP(A47,Dividende_je_Aktie!A$3:AM$103,14,FALSE),I47),IF(VLOOKUP(A47,Dividende_je_Aktie!A$3:AM$103,14,FALSE)&lt;&gt;"",VLOOKUP(A47,Dividende_je_Aktie!A$3:AM$103,14,FALSE),""))</f>
        <v>5.2008490566037739</v>
      </c>
      <c r="U47" s="13">
        <f>IF(J47&gt;0,IF(VLOOKUP(A47,Dividende_je_Aktie!A$3:AM$103,15,FALSE)&lt;&gt;"",J47+VLOOKUP(A47,Dividende_je_Aktie!A$3:AM$103,15,FALSE),J47),IF(VLOOKUP(A47,Dividende_je_Aktie!A$3:AM$103,15,FALSE)&lt;&gt;"",VLOOKUP(A47,Dividende_je_Aktie!A$3:AM$103,15,FALSE),""))</f>
        <v>5.3045468998410179</v>
      </c>
      <c r="V47" s="13">
        <f>IF(K47&gt;0,IF(VLOOKUP(A47,Dividende_je_Aktie!A$3:AM$103,16,FALSE)&lt;&gt;"",K47+VLOOKUP(A47,Dividende_je_Aktie!A$3:AM$103,16,FALSE),K47),IF(VLOOKUP(A47,Dividende_je_Aktie!A$3:AM$103,16,FALSE)&lt;&gt;"",VLOOKUP(A47,Dividende_je_Aktie!A$3:AM$103,16,FALSE),""))</f>
        <v>1.54</v>
      </c>
      <c r="W47" s="13" t="str">
        <f>IF(L47&gt;0,IF(VLOOKUP(A47,Dividende_je_Aktie!A$3:AM$103,17,FALSE)&lt;&gt;"",L47+VLOOKUP(A47,Dividende_je_Aktie!A$3:AM$103,17,FALSE),L47),IF(VLOOKUP(A47,Dividende_je_Aktie!A$3:AM$103,17,FALSE)&lt;&gt;"",VLOOKUP(A47,Dividende_je_Aktie!A$3:AM$103,17,FALSE),""))</f>
        <v/>
      </c>
      <c r="X47" s="13" t="str">
        <f>IF(M47&gt;0,IF(VLOOKUP(A47,Dividende_je_Aktie!A$3:AM$103,18,FALSE)&lt;&gt;"",M47+VLOOKUP(A47,Dividende_je_Aktie!A$3:AM$103,18,FALSE),M47),IF(VLOOKUP(A47,Dividende_je_Aktie!A$3:AM$103,18,FALSE)&lt;&gt;"",VLOOKUP(A47,Dividende_je_Aktie!A$3:AM$103,18,FALSE),""))</f>
        <v/>
      </c>
    </row>
    <row r="48" spans="1:24">
      <c r="A48" t="s">
        <v>68</v>
      </c>
      <c r="B48" t="s">
        <v>69</v>
      </c>
      <c r="C48" s="13">
        <f>IF(VLOOKUP(A48,Aktien_im_Umlauf_splitbereinigt!A$3:AM$103,4,FALSE)&lt;&gt;"",IF(VLOOKUP(A48,Aktien_im_Umlauf_splitbereinigt!A$3:AM$103,3,FALSE)&lt;&gt;"",IF(VLOOKUP(A48,Schlußkurse!A$5:AU$105,36,FALSE)&gt;0,((VLOOKUP(A48,Aktien_im_Umlauf_splitbereinigt!A$3:AM$103,4,FALSE)-VLOOKUP(A48,Aktien_im_Umlauf_splitbereinigt!A$3:AM$103,3,FALSE))*VLOOKUP(A48,Schlußkurse!A$5:AU$105,36,FALSE))/VLOOKUP(A48,Aktien_im_Umlauf_splitbereinigt!A$3:AM$103,3,FALSE),0),0),0)</f>
        <v>0</v>
      </c>
      <c r="D48" s="97">
        <f>IF(VLOOKUP(A48,Aktien_im_Umlauf_splitbereinigt!A$3:AM$103,5,FALSE)&lt;&gt;"",IF(VLOOKUP(A48,Aktien_im_Umlauf_splitbereinigt!A$3:AM$103,4,FALSE)&lt;&gt;"",IF(VLOOKUP(A48,Schlußkurse!A$5:AU$105,37,FALSE)&gt;0,((VLOOKUP(A48,Aktien_im_Umlauf_splitbereinigt!A$3:AM$103,5,FALSE)-VLOOKUP(A48,Aktien_im_Umlauf_splitbereinigt!A$3:AM$103,4,FALSE))*VLOOKUP(A48,Schlußkurse!A$5:AU$105,37,FALSE))/VLOOKUP(A48,Aktien_im_Umlauf_splitbereinigt!A$3:AM$103,4,FALSE),0),0),0)</f>
        <v>-0.1152707182320442</v>
      </c>
      <c r="E48" s="97">
        <f>IF(VLOOKUP(A48,Aktien_im_Umlauf_splitbereinigt!A$3:AM$103,6,FALSE)&lt;&gt;"",IF(VLOOKUP(A48,Aktien_im_Umlauf_splitbereinigt!A$3:AM$103,5,FALSE)&lt;&gt;"",IF(VLOOKUP(A48,Schlußkurse!A$5:AU$105,38,FALSE)&gt;0,((VLOOKUP(A48,Aktien_im_Umlauf_splitbereinigt!A$3:AM$103,6,FALSE)-VLOOKUP(A48,Aktien_im_Umlauf_splitbereinigt!A$3:AM$103,5,FALSE))*VLOOKUP(A48,Schlußkurse!A$5:AU$105,38,FALSE))/VLOOKUP(A48,Aktien_im_Umlauf_splitbereinigt!A$3:AM$103,5,FALSE),0),0),0)</f>
        <v>0.89866838804869054</v>
      </c>
      <c r="F48" s="97">
        <f>IF(VLOOKUP(A48,Aktien_im_Umlauf_splitbereinigt!A$3:AM$103,7,FALSE)&lt;&gt;"",IF(VLOOKUP(A48,Aktien_im_Umlauf_splitbereinigt!A$3:AM$103,6,FALSE)&lt;&gt;"",IF(VLOOKUP(A48,Schlußkurse!A$5:AU$105,39,FALSE)&gt;0,((VLOOKUP(A48,Aktien_im_Umlauf_splitbereinigt!A$3:AM$103,7,FALSE)-VLOOKUP(A48,Aktien_im_Umlauf_splitbereinigt!A$3:AM$103,6,FALSE))*VLOOKUP(A48,Schlußkurse!A$5:AU$105,39,FALSE))/VLOOKUP(A48,Aktien_im_Umlauf_splitbereinigt!A$3:AM$103,6,FALSE),0),0),0)</f>
        <v>0.16846827133479211</v>
      </c>
      <c r="G48" s="97">
        <f>IF(VLOOKUP(A48,Aktien_im_Umlauf_splitbereinigt!A$3:AM$103,8,FALSE)&lt;&gt;"",IF(VLOOKUP(A48,Aktien_im_Umlauf_splitbereinigt!A$3:AM$103,7,FALSE)&lt;&gt;"",IF(VLOOKUP(A48,Schlußkurse!A$5:AU$105,40,FALSE)&gt;0,((VLOOKUP(A48,Aktien_im_Umlauf_splitbereinigt!A$3:AM$103,8,FALSE)-VLOOKUP(A48,Aktien_im_Umlauf_splitbereinigt!A$3:AM$103,7,FALSE))*VLOOKUP(A48,Schlußkurse!A$5:AU$105,40,FALSE))/VLOOKUP(A48,Aktien_im_Umlauf_splitbereinigt!A$3:AM$103,7,FALSE),0),0),0)</f>
        <v>0.40120087336244542</v>
      </c>
      <c r="H48" s="97">
        <f>IF(VLOOKUP(A48,Aktien_im_Umlauf_splitbereinigt!A$3:AM$103,9,FALSE)&lt;&gt;"",IF(VLOOKUP(A48,Aktien_im_Umlauf_splitbereinigt!A$3:AM$103,8,FALSE)&lt;&gt;"",IF(VLOOKUP(A48,Schlußkurse!A$5:AU$105,41,FALSE)&gt;0,((VLOOKUP(A48,Aktien_im_Umlauf_splitbereinigt!A$3:AM$103,9,FALSE)-VLOOKUP(A48,Aktien_im_Umlauf_splitbereinigt!A$3:AM$103,8,FALSE))*VLOOKUP(A48,Schlußkurse!A$5:AU$105,41,FALSE))/VLOOKUP(A48,Aktien_im_Umlauf_splitbereinigt!A$3:AM$103,8,FALSE),0),0),0)</f>
        <v>1.7926464208242949</v>
      </c>
      <c r="I48" s="97">
        <f>IF(VLOOKUP(A48,Aktien_im_Umlauf_splitbereinigt!A$3:AM$103,10,FALSE)&lt;&gt;"",IF(VLOOKUP(A48,Aktien_im_Umlauf_splitbereinigt!A$3:AM$103,9,FALSE)&lt;&gt;"",IF(VLOOKUP(A48,Schlußkurse!A$5:AU$105,42,FALSE)&gt;0,((VLOOKUP(A48,Aktien_im_Umlauf_splitbereinigt!A$3:AM$103,10,FALSE)-VLOOKUP(A48,Aktien_im_Umlauf_splitbereinigt!A$3:AM$103,9,FALSE))*VLOOKUP(A48,Schlußkurse!A$5:AU$105,42,FALSE))/VLOOKUP(A48,Aktien_im_Umlauf_splitbereinigt!A$3:AM$103,9,FALSE),0),0),0)</f>
        <v>1.4973909985935303</v>
      </c>
      <c r="J48" s="97">
        <f>IF(VLOOKUP(A48,Aktien_im_Umlauf_splitbereinigt!A$3:AM$103,11,FALSE)&lt;&gt;"",IF(VLOOKUP(A48,Aktien_im_Umlauf_splitbereinigt!A$3:AM$103,10,FALSE)&lt;&gt;"",IF(VLOOKUP(A48,Schlußkurse!A$5:AU$105,43,FALSE)&gt;0,((VLOOKUP(A48,Aktien_im_Umlauf_splitbereinigt!A$3:AM$103,11,FALSE)-VLOOKUP(A48,Aktien_im_Umlauf_splitbereinigt!A$3:AM$103,10,FALSE))*VLOOKUP(A48,Schlußkurse!A$5:AU$105,43,FALSE))/VLOOKUP(A48,Aktien_im_Umlauf_splitbereinigt!A$3:AM$103,10,FALSE),0),0),0)</f>
        <v>2.068542024013722</v>
      </c>
      <c r="K48" s="97">
        <f>IF(VLOOKUP(A48,Aktien_im_Umlauf_splitbereinigt!A$3:AM$103,12,FALSE)&lt;&gt;"",IF(VLOOKUP(A48,Aktien_im_Umlauf_splitbereinigt!A$3:AM$103,11,FALSE)&lt;&gt;"",IF(VLOOKUP(A48,Schlußkurse!A$5:AU$105,44,FALSE)&gt;0,((VLOOKUP(A48,Aktien_im_Umlauf_splitbereinigt!A$3:AM$103,12,FALSE)-VLOOKUP(A48,Aktien_im_Umlauf_splitbereinigt!A$3:AM$103,11,FALSE))*VLOOKUP(A48,Schlußkurse!A$5:AU$105,44,FALSE))/VLOOKUP(A48,Aktien_im_Umlauf_splitbereinigt!A$3:AM$103,11,FALSE),0),0),0)</f>
        <v>1.9848961424332345</v>
      </c>
      <c r="L48" s="97">
        <f>IF(VLOOKUP(A48,Aktien_im_Umlauf_splitbereinigt!A$3:AM$103,13,FALSE)&lt;&gt;"",IF(VLOOKUP(A48,Aktien_im_Umlauf_splitbereinigt!A$3:AM$103,12,FALSE)&lt;&gt;"",IF(VLOOKUP(A48,Schlußkurse!A$5:AU$105,45,FALSE)&gt;0,((VLOOKUP(A48,Aktien_im_Umlauf_splitbereinigt!A$3:AM$103,13,FALSE)-VLOOKUP(A48,Aktien_im_Umlauf_splitbereinigt!A$3:AM$103,12,FALSE))*VLOOKUP(A48,Schlußkurse!A$5:AU$105,45,FALSE))/VLOOKUP(A48,Aktien_im_Umlauf_splitbereinigt!A$3:AM$103,12,FALSE),0),0),0)</f>
        <v>0.91824074074074069</v>
      </c>
      <c r="M48" s="97">
        <f>IF(VLOOKUP(A48,Aktien_im_Umlauf_splitbereinigt!A$3:AM$103,14,FALSE)&lt;&gt;"",IF(VLOOKUP(A48,Aktien_im_Umlauf_splitbereinigt!A$3:AM$103,13,FALSE)&lt;&gt;"",IF(VLOOKUP(A48,Schlußkurse!A$5:AU$105,46,FALSE)&gt;0,((VLOOKUP(A48,Aktien_im_Umlauf_splitbereinigt!A$3:AM$103,14,FALSE)-VLOOKUP(A48,Aktien_im_Umlauf_splitbereinigt!A$3:AM$103,13,FALSE))*VLOOKUP(A48,Schlußkurse!A$5:AU$105,46,FALSE))/VLOOKUP(A48,Aktien_im_Umlauf_splitbereinigt!A$3:AM$103,13,FALSE),0),0),0)</f>
        <v>0</v>
      </c>
      <c r="N48" s="13">
        <f>IF(C48&gt;0,IF(VLOOKUP(A48,Dividende_je_Aktie!A$3:AM$103,8,FALSE)&lt;&gt;"",C48+VLOOKUP(A48,Dividende_je_Aktie!A$3:AM$103,8,FALSE),C48),IF(VLOOKUP(A48,Dividende_je_Aktie!A$3:AM$103,8,FALSE)&lt;&gt;"",VLOOKUP(A48,Dividende_je_Aktie!A$3:AM$103,8,FALSE),""))</f>
        <v>2.68</v>
      </c>
      <c r="O48" s="13">
        <f>IF(D48&gt;0,IF(VLOOKUP(A48,Dividende_je_Aktie!A$3:AM$103,9,FALSE)&lt;&gt;"",D48+VLOOKUP(A48,Dividende_je_Aktie!A$3:AM$103,9,FALSE),D48),IF(VLOOKUP(A48,Dividende_je_Aktie!A$3:AM$103,9,FALSE)&lt;&gt;"",VLOOKUP(A48,Dividende_je_Aktie!A$3:AM$103,9,FALSE),""))</f>
        <v>2.59</v>
      </c>
      <c r="P48" s="13">
        <f>IF(E48&gt;0,IF(VLOOKUP(A48,Dividende_je_Aktie!A$3:AM$103,10,FALSE)&lt;&gt;"",E48+VLOOKUP(A48,Dividende_je_Aktie!A$3:AM$103,10,FALSE),E48),IF(VLOOKUP(A48,Dividende_je_Aktie!A$3:AM$103,10,FALSE)&lt;&gt;"",VLOOKUP(A48,Dividende_je_Aktie!A$3:AM$103,10,FALSE),""))</f>
        <v>3.3486683880486909</v>
      </c>
      <c r="Q48" s="13">
        <f>IF(F48&gt;0,IF(VLOOKUP(A48,Dividende_je_Aktie!A$3:AM$103,11,FALSE)&lt;&gt;"",F48+VLOOKUP(A48,Dividende_je_Aktie!A$3:AM$103,11,FALSE),F48),IF(VLOOKUP(A48,Dividende_je_Aktie!A$3:AM$103,11,FALSE)&lt;&gt;"",VLOOKUP(A48,Dividende_je_Aktie!A$3:AM$103,11,FALSE),""))</f>
        <v>2.4584682713347923</v>
      </c>
      <c r="R48" s="13">
        <f>IF(G48&gt;0,IF(VLOOKUP(A48,Dividende_je_Aktie!A$3:AM$103,12,FALSE)&lt;&gt;"",G48+VLOOKUP(A48,Dividende_je_Aktie!A$3:AM$103,12,FALSE),G48),IF(VLOOKUP(A48,Dividende_je_Aktie!A$3:AM$103,12,FALSE)&lt;&gt;"",VLOOKUP(A48,Dividende_je_Aktie!A$3:AM$103,12,FALSE),""))</f>
        <v>2.5412008733624454</v>
      </c>
      <c r="S48" s="13">
        <f>IF(H48&gt;0,IF(VLOOKUP(A48,Dividende_je_Aktie!A$3:AM$103,13,FALSE)&lt;&gt;"",H48+VLOOKUP(A48,Dividende_je_Aktie!A$3:AM$103,13,FALSE),H48),IF(VLOOKUP(A48,Dividende_je_Aktie!A$3:AM$103,13,FALSE)&lt;&gt;"",VLOOKUP(A48,Dividende_je_Aktie!A$3:AM$103,13,FALSE),""))</f>
        <v>3.7626464208242947</v>
      </c>
      <c r="T48" s="13">
        <f>IF(I48&gt;0,IF(VLOOKUP(A48,Dividende_je_Aktie!A$3:AM$103,14,FALSE)&lt;&gt;"",I48+VLOOKUP(A48,Dividende_je_Aktie!A$3:AM$103,14,FALSE),I48),IF(VLOOKUP(A48,Dividende_je_Aktie!A$3:AM$103,14,FALSE)&lt;&gt;"",VLOOKUP(A48,Dividende_je_Aktie!A$3:AM$103,14,FALSE),""))</f>
        <v>3.2973909985935306</v>
      </c>
      <c r="U48" s="13">
        <f>IF(J48&gt;0,IF(VLOOKUP(A48,Dividende_je_Aktie!A$3:AM$103,15,FALSE)&lt;&gt;"",J48+VLOOKUP(A48,Dividende_je_Aktie!A$3:AM$103,15,FALSE),J48),IF(VLOOKUP(A48,Dividende_je_Aktie!A$3:AM$103,15,FALSE)&lt;&gt;"",VLOOKUP(A48,Dividende_je_Aktie!A$3:AM$103,15,FALSE),""))</f>
        <v>3.7085420240137221</v>
      </c>
      <c r="V48" s="13">
        <f>IF(K48&gt;0,IF(VLOOKUP(A48,Dividende_je_Aktie!A$3:AM$103,16,FALSE)&lt;&gt;"",K48+VLOOKUP(A48,Dividende_je_Aktie!A$3:AM$103,16,FALSE),K48),IF(VLOOKUP(A48,Dividende_je_Aktie!A$3:AM$103,16,FALSE)&lt;&gt;"",VLOOKUP(A48,Dividende_je_Aktie!A$3:AM$103,16,FALSE),""))</f>
        <v>3.4348961424332343</v>
      </c>
      <c r="W48" s="13">
        <f>IF(L48&gt;0,IF(VLOOKUP(A48,Dividende_je_Aktie!A$3:AM$103,17,FALSE)&lt;&gt;"",L48+VLOOKUP(A48,Dividende_je_Aktie!A$3:AM$103,17,FALSE),L48),IF(VLOOKUP(A48,Dividende_je_Aktie!A$3:AM$103,17,FALSE)&lt;&gt;"",VLOOKUP(A48,Dividende_je_Aktie!A$3:AM$103,17,FALSE),""))</f>
        <v>2.1982407407407409</v>
      </c>
      <c r="X48" s="13">
        <f>IF(M48&gt;0,IF(VLOOKUP(A48,Dividende_je_Aktie!A$3:AM$103,18,FALSE)&lt;&gt;"",M48+VLOOKUP(A48,Dividende_je_Aktie!A$3:AM$103,18,FALSE),M48),IF(VLOOKUP(A48,Dividende_je_Aktie!A$3:AM$103,18,FALSE)&lt;&gt;"",VLOOKUP(A48,Dividende_je_Aktie!A$3:AM$103,18,FALSE),""))</f>
        <v>1.1499999999999999</v>
      </c>
    </row>
    <row r="49" spans="1:24">
      <c r="A49" t="s">
        <v>70</v>
      </c>
      <c r="B49" t="s">
        <v>71</v>
      </c>
      <c r="C49" s="13">
        <f>IF(VLOOKUP(A49,Aktien_im_Umlauf_splitbereinigt!A$3:AM$103,4,FALSE)&lt;&gt;"",IF(VLOOKUP(A49,Aktien_im_Umlauf_splitbereinigt!A$3:AM$103,3,FALSE)&lt;&gt;"",IF(VLOOKUP(A49,Schlußkurse!A$5:AU$105,36,FALSE)&gt;0,((VLOOKUP(A49,Aktien_im_Umlauf_splitbereinigt!A$3:AM$103,4,FALSE)-VLOOKUP(A49,Aktien_im_Umlauf_splitbereinigt!A$3:AM$103,3,FALSE))*VLOOKUP(A49,Schlußkurse!A$5:AU$105,36,FALSE))/VLOOKUP(A49,Aktien_im_Umlauf_splitbereinigt!A$3:AM$103,3,FALSE),0),0),0)</f>
        <v>0</v>
      </c>
      <c r="D49" s="97">
        <f>IF(VLOOKUP(A49,Aktien_im_Umlauf_splitbereinigt!A$3:AM$103,5,FALSE)&lt;&gt;"",IF(VLOOKUP(A49,Aktien_im_Umlauf_splitbereinigt!A$3:AM$103,4,FALSE)&lt;&gt;"",IF(VLOOKUP(A49,Schlußkurse!A$5:AU$105,37,FALSE)&gt;0,((VLOOKUP(A49,Aktien_im_Umlauf_splitbereinigt!A$3:AM$103,5,FALSE)-VLOOKUP(A49,Aktien_im_Umlauf_splitbereinigt!A$3:AM$103,4,FALSE))*VLOOKUP(A49,Schlußkurse!A$5:AU$105,37,FALSE))/VLOOKUP(A49,Aktien_im_Umlauf_splitbereinigt!A$3:AM$103,4,FALSE),0),0),0)</f>
        <v>0.91895434462444769</v>
      </c>
      <c r="E49" s="97">
        <f>IF(VLOOKUP(A49,Aktien_im_Umlauf_splitbereinigt!A$3:AM$103,6,FALSE)&lt;&gt;"",IF(VLOOKUP(A49,Aktien_im_Umlauf_splitbereinigt!A$3:AM$103,5,FALSE)&lt;&gt;"",IF(VLOOKUP(A49,Schlußkurse!A$5:AU$105,38,FALSE)&gt;0,((VLOOKUP(A49,Aktien_im_Umlauf_splitbereinigt!A$3:AM$103,6,FALSE)-VLOOKUP(A49,Aktien_im_Umlauf_splitbereinigt!A$3:AM$103,5,FALSE))*VLOOKUP(A49,Schlußkurse!A$5:AU$105,38,FALSE))/VLOOKUP(A49,Aktien_im_Umlauf_splitbereinigt!A$3:AM$103,5,FALSE),0),0),0)</f>
        <v>0</v>
      </c>
      <c r="F49" s="97">
        <f>IF(VLOOKUP(A49,Aktien_im_Umlauf_splitbereinigt!A$3:AM$103,7,FALSE)&lt;&gt;"",IF(VLOOKUP(A49,Aktien_im_Umlauf_splitbereinigt!A$3:AM$103,6,FALSE)&lt;&gt;"",IF(VLOOKUP(A49,Schlußkurse!A$5:AU$105,39,FALSE)&gt;0,((VLOOKUP(A49,Aktien_im_Umlauf_splitbereinigt!A$3:AM$103,7,FALSE)-VLOOKUP(A49,Aktien_im_Umlauf_splitbereinigt!A$3:AM$103,6,FALSE))*VLOOKUP(A49,Schlußkurse!A$5:AU$105,39,FALSE))/VLOOKUP(A49,Aktien_im_Umlauf_splitbereinigt!A$3:AM$103,6,FALSE),0),0),0)</f>
        <v>0</v>
      </c>
      <c r="G49" s="97">
        <f>IF(VLOOKUP(A49,Aktien_im_Umlauf_splitbereinigt!A$3:AM$103,8,FALSE)&lt;&gt;"",IF(VLOOKUP(A49,Aktien_im_Umlauf_splitbereinigt!A$3:AM$103,7,FALSE)&lt;&gt;"",IF(VLOOKUP(A49,Schlußkurse!A$5:AU$105,40,FALSE)&gt;0,((VLOOKUP(A49,Aktien_im_Umlauf_splitbereinigt!A$3:AM$103,8,FALSE)-VLOOKUP(A49,Aktien_im_Umlauf_splitbereinigt!A$3:AM$103,7,FALSE))*VLOOKUP(A49,Schlußkurse!A$5:AU$105,40,FALSE))/VLOOKUP(A49,Aktien_im_Umlauf_splitbereinigt!A$3:AM$103,7,FALSE),0),0),0)</f>
        <v>0</v>
      </c>
      <c r="H49" s="97">
        <f>IF(VLOOKUP(A49,Aktien_im_Umlauf_splitbereinigt!A$3:AM$103,9,FALSE)&lt;&gt;"",IF(VLOOKUP(A49,Aktien_im_Umlauf_splitbereinigt!A$3:AM$103,8,FALSE)&lt;&gt;"",IF(VLOOKUP(A49,Schlußkurse!A$5:AU$105,41,FALSE)&gt;0,((VLOOKUP(A49,Aktien_im_Umlauf_splitbereinigt!A$3:AM$103,9,FALSE)-VLOOKUP(A49,Aktien_im_Umlauf_splitbereinigt!A$3:AM$103,8,FALSE))*VLOOKUP(A49,Schlußkurse!A$5:AU$105,41,FALSE))/VLOOKUP(A49,Aktien_im_Umlauf_splitbereinigt!A$3:AM$103,8,FALSE),0),0),0)</f>
        <v>0</v>
      </c>
      <c r="I49" s="97">
        <f>IF(VLOOKUP(A49,Aktien_im_Umlauf_splitbereinigt!A$3:AM$103,10,FALSE)&lt;&gt;"",IF(VLOOKUP(A49,Aktien_im_Umlauf_splitbereinigt!A$3:AM$103,9,FALSE)&lt;&gt;"",IF(VLOOKUP(A49,Schlußkurse!A$5:AU$105,42,FALSE)&gt;0,((VLOOKUP(A49,Aktien_im_Umlauf_splitbereinigt!A$3:AM$103,10,FALSE)-VLOOKUP(A49,Aktien_im_Umlauf_splitbereinigt!A$3:AM$103,9,FALSE))*VLOOKUP(A49,Schlußkurse!A$5:AU$105,42,FALSE))/VLOOKUP(A49,Aktien_im_Umlauf_splitbereinigt!A$3:AM$103,9,FALSE),0),0),0)</f>
        <v>0</v>
      </c>
      <c r="J49" s="97">
        <f>IF(VLOOKUP(A49,Aktien_im_Umlauf_splitbereinigt!A$3:AM$103,11,FALSE)&lt;&gt;"",IF(VLOOKUP(A49,Aktien_im_Umlauf_splitbereinigt!A$3:AM$103,10,FALSE)&lt;&gt;"",IF(VLOOKUP(A49,Schlußkurse!A$5:AU$105,43,FALSE)&gt;0,((VLOOKUP(A49,Aktien_im_Umlauf_splitbereinigt!A$3:AM$103,11,FALSE)-VLOOKUP(A49,Aktien_im_Umlauf_splitbereinigt!A$3:AM$103,10,FALSE))*VLOOKUP(A49,Schlußkurse!A$5:AU$105,43,FALSE))/VLOOKUP(A49,Aktien_im_Umlauf_splitbereinigt!A$3:AM$103,10,FALSE),0),0),0)</f>
        <v>0</v>
      </c>
      <c r="K49" s="97">
        <f>IF(VLOOKUP(A49,Aktien_im_Umlauf_splitbereinigt!A$3:AM$103,12,FALSE)&lt;&gt;"",IF(VLOOKUP(A49,Aktien_im_Umlauf_splitbereinigt!A$3:AM$103,11,FALSE)&lt;&gt;"",IF(VLOOKUP(A49,Schlußkurse!A$5:AU$105,44,FALSE)&gt;0,((VLOOKUP(A49,Aktien_im_Umlauf_splitbereinigt!A$3:AM$103,12,FALSE)-VLOOKUP(A49,Aktien_im_Umlauf_splitbereinigt!A$3:AM$103,11,FALSE))*VLOOKUP(A49,Schlußkurse!A$5:AU$105,44,FALSE))/VLOOKUP(A49,Aktien_im_Umlauf_splitbereinigt!A$3:AM$103,11,FALSE),0),0),0)</f>
        <v>0</v>
      </c>
      <c r="L49" s="97">
        <f>IF(VLOOKUP(A49,Aktien_im_Umlauf_splitbereinigt!A$3:AM$103,13,FALSE)&lt;&gt;"",IF(VLOOKUP(A49,Aktien_im_Umlauf_splitbereinigt!A$3:AM$103,12,FALSE)&lt;&gt;"",IF(VLOOKUP(A49,Schlußkurse!A$5:AU$105,45,FALSE)&gt;0,((VLOOKUP(A49,Aktien_im_Umlauf_splitbereinigt!A$3:AM$103,13,FALSE)-VLOOKUP(A49,Aktien_im_Umlauf_splitbereinigt!A$3:AM$103,12,FALSE))*VLOOKUP(A49,Schlußkurse!A$5:AU$105,45,FALSE))/VLOOKUP(A49,Aktien_im_Umlauf_splitbereinigt!A$3:AM$103,12,FALSE),0),0),0)</f>
        <v>0</v>
      </c>
      <c r="M49" s="97">
        <f>IF(VLOOKUP(A49,Aktien_im_Umlauf_splitbereinigt!A$3:AM$103,14,FALSE)&lt;&gt;"",IF(VLOOKUP(A49,Aktien_im_Umlauf_splitbereinigt!A$3:AM$103,13,FALSE)&lt;&gt;"",IF(VLOOKUP(A49,Schlußkurse!A$5:AU$105,46,FALSE)&gt;0,((VLOOKUP(A49,Aktien_im_Umlauf_splitbereinigt!A$3:AM$103,14,FALSE)-VLOOKUP(A49,Aktien_im_Umlauf_splitbereinigt!A$3:AM$103,13,FALSE))*VLOOKUP(A49,Schlußkurse!A$5:AU$105,46,FALSE))/VLOOKUP(A49,Aktien_im_Umlauf_splitbereinigt!A$3:AM$103,13,FALSE),0),0),0)</f>
        <v>0</v>
      </c>
      <c r="N49" s="13">
        <f>IF(C49&gt;0,IF(VLOOKUP(A49,Dividende_je_Aktie!A$3:AM$103,8,FALSE)&lt;&gt;"",C49+VLOOKUP(A49,Dividende_je_Aktie!A$3:AM$103,8,FALSE),C49),IF(VLOOKUP(A49,Dividende_je_Aktie!A$3:AM$103,8,FALSE)&lt;&gt;"",VLOOKUP(A49,Dividende_je_Aktie!A$3:AM$103,8,FALSE),""))</f>
        <v>2.2799999999999998</v>
      </c>
      <c r="O49" s="13">
        <f>IF(D49&gt;0,IF(VLOOKUP(A49,Dividende_je_Aktie!A$3:AM$103,9,FALSE)&lt;&gt;"",D49+VLOOKUP(A49,Dividende_je_Aktie!A$3:AM$103,9,FALSE),D49),IF(VLOOKUP(A49,Dividende_je_Aktie!A$3:AM$103,9,FALSE)&lt;&gt;"",VLOOKUP(A49,Dividende_je_Aktie!A$3:AM$103,9,FALSE),""))</f>
        <v>3.1489543446244479</v>
      </c>
      <c r="P49" s="13">
        <f>IF(E49&gt;0,IF(VLOOKUP(A49,Dividende_je_Aktie!A$3:AM$103,10,FALSE)&lt;&gt;"",E49+VLOOKUP(A49,Dividende_je_Aktie!A$3:AM$103,10,FALSE),E49),IF(VLOOKUP(A49,Dividende_je_Aktie!A$3:AM$103,10,FALSE)&lt;&gt;"",VLOOKUP(A49,Dividende_je_Aktie!A$3:AM$103,10,FALSE),""))</f>
        <v>2.16</v>
      </c>
      <c r="Q49" s="13">
        <f>IF(F49&gt;0,IF(VLOOKUP(A49,Dividende_je_Aktie!A$3:AM$103,11,FALSE)&lt;&gt;"",F49+VLOOKUP(A49,Dividende_je_Aktie!A$3:AM$103,11,FALSE),F49),IF(VLOOKUP(A49,Dividende_je_Aktie!A$3:AM$103,11,FALSE)&lt;&gt;"",VLOOKUP(A49,Dividende_je_Aktie!A$3:AM$103,11,FALSE),""))</f>
        <v>2.09</v>
      </c>
      <c r="R49" s="13">
        <f>IF(G49&gt;0,IF(VLOOKUP(A49,Dividende_je_Aktie!A$3:AM$103,12,FALSE)&lt;&gt;"",G49+VLOOKUP(A49,Dividende_je_Aktie!A$3:AM$103,12,FALSE),G49),IF(VLOOKUP(A49,Dividende_je_Aktie!A$3:AM$103,12,FALSE)&lt;&gt;"",VLOOKUP(A49,Dividende_je_Aktie!A$3:AM$103,12,FALSE),""))</f>
        <v>2.0299999999999998</v>
      </c>
      <c r="S49" s="13">
        <f>IF(H49&gt;0,IF(VLOOKUP(A49,Dividende_je_Aktie!A$3:AM$103,13,FALSE)&lt;&gt;"",H49+VLOOKUP(A49,Dividende_je_Aktie!A$3:AM$103,13,FALSE),H49),IF(VLOOKUP(A49,Dividende_je_Aktie!A$3:AM$103,13,FALSE)&lt;&gt;"",VLOOKUP(A49,Dividende_je_Aktie!A$3:AM$103,13,FALSE),""))</f>
        <v>1.98</v>
      </c>
      <c r="T49" s="13">
        <f>IF(I49&gt;0,IF(VLOOKUP(A49,Dividende_je_Aktie!A$3:AM$103,14,FALSE)&lt;&gt;"",I49+VLOOKUP(A49,Dividende_je_Aktie!A$3:AM$103,14,FALSE),I49),IF(VLOOKUP(A49,Dividende_je_Aktie!A$3:AM$103,14,FALSE)&lt;&gt;"",VLOOKUP(A49,Dividende_je_Aktie!A$3:AM$103,14,FALSE),""))</f>
        <v>1.93</v>
      </c>
      <c r="U49" s="13">
        <f>IF(J49&gt;0,IF(VLOOKUP(A49,Dividende_je_Aktie!A$3:AM$103,15,FALSE)&lt;&gt;"",J49+VLOOKUP(A49,Dividende_je_Aktie!A$3:AM$103,15,FALSE),J49),IF(VLOOKUP(A49,Dividende_je_Aktie!A$3:AM$103,15,FALSE)&lt;&gt;"",VLOOKUP(A49,Dividende_je_Aktie!A$3:AM$103,15,FALSE),""))</f>
        <v>1.87</v>
      </c>
      <c r="V49" s="13">
        <f>IF(K49&gt;0,IF(VLOOKUP(A49,Dividende_je_Aktie!A$3:AM$103,16,FALSE)&lt;&gt;"",K49+VLOOKUP(A49,Dividende_je_Aktie!A$3:AM$103,16,FALSE),K49),IF(VLOOKUP(A49,Dividende_je_Aktie!A$3:AM$103,16,FALSE)&lt;&gt;"",VLOOKUP(A49,Dividende_je_Aktie!A$3:AM$103,16,FALSE),""))</f>
        <v>1.78</v>
      </c>
      <c r="W49" s="13">
        <f>IF(L49&gt;0,IF(VLOOKUP(A49,Dividende_je_Aktie!A$3:AM$103,17,FALSE)&lt;&gt;"",L49+VLOOKUP(A49,Dividende_je_Aktie!A$3:AM$103,17,FALSE),L49),IF(VLOOKUP(A49,Dividende_je_Aktie!A$3:AM$103,17,FALSE)&lt;&gt;"",VLOOKUP(A49,Dividende_je_Aktie!A$3:AM$103,17,FALSE),""))</f>
        <v>1.67</v>
      </c>
      <c r="X49" s="13">
        <f>IF(M49&gt;0,IF(VLOOKUP(A49,Dividende_je_Aktie!A$3:AM$103,18,FALSE)&lt;&gt;"",M49+VLOOKUP(A49,Dividende_je_Aktie!A$3:AM$103,18,FALSE),M49),IF(VLOOKUP(A49,Dividende_je_Aktie!A$3:AM$103,18,FALSE)&lt;&gt;"",VLOOKUP(A49,Dividende_je_Aktie!A$3:AM$103,18,FALSE),""))</f>
        <v>1.62</v>
      </c>
    </row>
    <row r="50" spans="1:24">
      <c r="A50" s="52" t="s">
        <v>260</v>
      </c>
      <c r="B50" s="52" t="s">
        <v>265</v>
      </c>
      <c r="C50" s="13">
        <f>IF(VLOOKUP(A50,Aktien_im_Umlauf_splitbereinigt!A$3:AM$103,4,FALSE)&lt;&gt;"",IF(VLOOKUP(A50,Aktien_im_Umlauf_splitbereinigt!A$3:AM$103,3,FALSE)&lt;&gt;"",IF(VLOOKUP(A50,Schlußkurse!A$5:AU$105,36,FALSE)&gt;0,((VLOOKUP(A50,Aktien_im_Umlauf_splitbereinigt!A$3:AM$103,4,FALSE)-VLOOKUP(A50,Aktien_im_Umlauf_splitbereinigt!A$3:AM$103,3,FALSE))*VLOOKUP(A50,Schlußkurse!A$5:AU$105,36,FALSE))/VLOOKUP(A50,Aktien_im_Umlauf_splitbereinigt!A$3:AM$103,3,FALSE),0),0),0)</f>
        <v>0</v>
      </c>
      <c r="D50" s="97">
        <f>IF(VLOOKUP(A50,Aktien_im_Umlauf_splitbereinigt!A$3:AM$103,5,FALSE)&lt;&gt;"",IF(VLOOKUP(A50,Aktien_im_Umlauf_splitbereinigt!A$3:AM$103,4,FALSE)&lt;&gt;"",IF(VLOOKUP(A50,Schlußkurse!A$5:AU$105,37,FALSE)&gt;0,((VLOOKUP(A50,Aktien_im_Umlauf_splitbereinigt!A$3:AM$103,5,FALSE)-VLOOKUP(A50,Aktien_im_Umlauf_splitbereinigt!A$3:AM$103,4,FALSE))*VLOOKUP(A50,Schlußkurse!A$5:AU$105,37,FALSE))/VLOOKUP(A50,Aktien_im_Umlauf_splitbereinigt!A$3:AM$103,4,FALSE),0),0),0)</f>
        <v>28.461534988713318</v>
      </c>
      <c r="E50" s="97">
        <f>IF(VLOOKUP(A50,Aktien_im_Umlauf_splitbereinigt!A$3:AM$103,6,FALSE)&lt;&gt;"",IF(VLOOKUP(A50,Aktien_im_Umlauf_splitbereinigt!A$3:AM$103,5,FALSE)&lt;&gt;"",IF(VLOOKUP(A50,Schlußkurse!A$5:AU$105,38,FALSE)&gt;0,((VLOOKUP(A50,Aktien_im_Umlauf_splitbereinigt!A$3:AM$103,6,FALSE)-VLOOKUP(A50,Aktien_im_Umlauf_splitbereinigt!A$3:AM$103,5,FALSE))*VLOOKUP(A50,Schlußkurse!A$5:AU$105,38,FALSE))/VLOOKUP(A50,Aktien_im_Umlauf_splitbereinigt!A$3:AM$103,5,FALSE),0),0),0)</f>
        <v>0</v>
      </c>
      <c r="F50" s="97">
        <f>IF(VLOOKUP(A50,Aktien_im_Umlauf_splitbereinigt!A$3:AM$103,7,FALSE)&lt;&gt;"",IF(VLOOKUP(A50,Aktien_im_Umlauf_splitbereinigt!A$3:AM$103,6,FALSE)&lt;&gt;"",IF(VLOOKUP(A50,Schlußkurse!A$5:AU$105,39,FALSE)&gt;0,((VLOOKUP(A50,Aktien_im_Umlauf_splitbereinigt!A$3:AM$103,7,FALSE)-VLOOKUP(A50,Aktien_im_Umlauf_splitbereinigt!A$3:AM$103,6,FALSE))*VLOOKUP(A50,Schlußkurse!A$5:AU$105,39,FALSE))/VLOOKUP(A50,Aktien_im_Umlauf_splitbereinigt!A$3:AM$103,6,FALSE),0),0),0)</f>
        <v>1.8987499999999997</v>
      </c>
      <c r="G50" s="97">
        <f>IF(VLOOKUP(A50,Aktien_im_Umlauf_splitbereinigt!A$3:AM$103,8,FALSE)&lt;&gt;"",IF(VLOOKUP(A50,Aktien_im_Umlauf_splitbereinigt!A$3:AM$103,7,FALSE)&lt;&gt;"",IF(VLOOKUP(A50,Schlußkurse!A$5:AU$105,40,FALSE)&gt;0,((VLOOKUP(A50,Aktien_im_Umlauf_splitbereinigt!A$3:AM$103,8,FALSE)-VLOOKUP(A50,Aktien_im_Umlauf_splitbereinigt!A$3:AM$103,7,FALSE))*VLOOKUP(A50,Schlußkurse!A$5:AU$105,40,FALSE))/VLOOKUP(A50,Aktien_im_Umlauf_splitbereinigt!A$3:AM$103,7,FALSE),0),0),0)</f>
        <v>0.53811344019728735</v>
      </c>
      <c r="H50" s="97">
        <f>IF(VLOOKUP(A50,Aktien_im_Umlauf_splitbereinigt!A$3:AM$103,9,FALSE)&lt;&gt;"",IF(VLOOKUP(A50,Aktien_im_Umlauf_splitbereinigt!A$3:AM$103,8,FALSE)&lt;&gt;"",IF(VLOOKUP(A50,Schlußkurse!A$5:AU$105,41,FALSE)&gt;0,((VLOOKUP(A50,Aktien_im_Umlauf_splitbereinigt!A$3:AM$103,9,FALSE)-VLOOKUP(A50,Aktien_im_Umlauf_splitbereinigt!A$3:AM$103,8,FALSE))*VLOOKUP(A50,Schlußkurse!A$5:AU$105,41,FALSE))/VLOOKUP(A50,Aktien_im_Umlauf_splitbereinigt!A$3:AM$103,8,FALSE),0),0),0)</f>
        <v>0.28608009708737864</v>
      </c>
      <c r="I50" s="97">
        <f>IF(VLOOKUP(A50,Aktien_im_Umlauf_splitbereinigt!A$3:AM$103,10,FALSE)&lt;&gt;"",IF(VLOOKUP(A50,Aktien_im_Umlauf_splitbereinigt!A$3:AM$103,9,FALSE)&lt;&gt;"",IF(VLOOKUP(A50,Schlußkurse!A$5:AU$105,42,FALSE)&gt;0,((VLOOKUP(A50,Aktien_im_Umlauf_splitbereinigt!A$3:AM$103,10,FALSE)-VLOOKUP(A50,Aktien_im_Umlauf_splitbereinigt!A$3:AM$103,9,FALSE))*VLOOKUP(A50,Schlußkurse!A$5:AU$105,42,FALSE))/VLOOKUP(A50,Aktien_im_Umlauf_splitbereinigt!A$3:AM$103,9,FALSE),0),0),0)</f>
        <v>0</v>
      </c>
      <c r="J50" s="97">
        <f>IF(VLOOKUP(A50,Aktien_im_Umlauf_splitbereinigt!A$3:AM$103,11,FALSE)&lt;&gt;"",IF(VLOOKUP(A50,Aktien_im_Umlauf_splitbereinigt!A$3:AM$103,10,FALSE)&lt;&gt;"",IF(VLOOKUP(A50,Schlußkurse!A$5:AU$105,43,FALSE)&gt;0,((VLOOKUP(A50,Aktien_im_Umlauf_splitbereinigt!A$3:AM$103,11,FALSE)-VLOOKUP(A50,Aktien_im_Umlauf_splitbereinigt!A$3:AM$103,10,FALSE))*VLOOKUP(A50,Schlußkurse!A$5:AU$105,43,FALSE))/VLOOKUP(A50,Aktien_im_Umlauf_splitbereinigt!A$3:AM$103,10,FALSE),0),0),0)</f>
        <v>0</v>
      </c>
      <c r="K50" s="97">
        <f>IF(VLOOKUP(A50,Aktien_im_Umlauf_splitbereinigt!A$3:AM$103,12,FALSE)&lt;&gt;"",IF(VLOOKUP(A50,Aktien_im_Umlauf_splitbereinigt!A$3:AM$103,11,FALSE)&lt;&gt;"",IF(VLOOKUP(A50,Schlußkurse!A$5:AU$105,44,FALSE)&gt;0,((VLOOKUP(A50,Aktien_im_Umlauf_splitbereinigt!A$3:AM$103,12,FALSE)-VLOOKUP(A50,Aktien_im_Umlauf_splitbereinigt!A$3:AM$103,11,FALSE))*VLOOKUP(A50,Schlußkurse!A$5:AU$105,44,FALSE))/VLOOKUP(A50,Aktien_im_Umlauf_splitbereinigt!A$3:AM$103,11,FALSE),0),0),0)</f>
        <v>0</v>
      </c>
      <c r="L50" s="97">
        <f>IF(VLOOKUP(A50,Aktien_im_Umlauf_splitbereinigt!A$3:AM$103,13,FALSE)&lt;&gt;"",IF(VLOOKUP(A50,Aktien_im_Umlauf_splitbereinigt!A$3:AM$103,12,FALSE)&lt;&gt;"",IF(VLOOKUP(A50,Schlußkurse!A$5:AU$105,45,FALSE)&gt;0,((VLOOKUP(A50,Aktien_im_Umlauf_splitbereinigt!A$3:AM$103,13,FALSE)-VLOOKUP(A50,Aktien_im_Umlauf_splitbereinigt!A$3:AM$103,12,FALSE))*VLOOKUP(A50,Schlußkurse!A$5:AU$105,45,FALSE))/VLOOKUP(A50,Aktien_im_Umlauf_splitbereinigt!A$3:AM$103,12,FALSE),0),0),0)</f>
        <v>0</v>
      </c>
      <c r="M50" s="97">
        <f>IF(VLOOKUP(A50,Aktien_im_Umlauf_splitbereinigt!A$3:AM$103,14,FALSE)&lt;&gt;"",IF(VLOOKUP(A50,Aktien_im_Umlauf_splitbereinigt!A$3:AM$103,13,FALSE)&lt;&gt;"",IF(VLOOKUP(A50,Schlußkurse!A$5:AU$105,46,FALSE)&gt;0,((VLOOKUP(A50,Aktien_im_Umlauf_splitbereinigt!A$3:AM$103,14,FALSE)-VLOOKUP(A50,Aktien_im_Umlauf_splitbereinigt!A$3:AM$103,13,FALSE))*VLOOKUP(A50,Schlußkurse!A$5:AU$105,46,FALSE))/VLOOKUP(A50,Aktien_im_Umlauf_splitbereinigt!A$3:AM$103,13,FALSE),0),0),0)</f>
        <v>0</v>
      </c>
      <c r="N50" s="13">
        <f>IF(C50&gt;0,IF(VLOOKUP(A50,Dividende_je_Aktie!A$3:AM$103,8,FALSE)&lt;&gt;"",C50+VLOOKUP(A50,Dividende_je_Aktie!A$3:AM$103,8,FALSE),C50),IF(VLOOKUP(A50,Dividende_je_Aktie!A$3:AM$103,8,FALSE)&lt;&gt;"",VLOOKUP(A50,Dividende_je_Aktie!A$3:AM$103,8,FALSE),""))</f>
        <v>0.55000000000000004</v>
      </c>
      <c r="O50" s="13">
        <f>IF(D50&gt;0,IF(VLOOKUP(A50,Dividende_je_Aktie!A$3:AM$103,9,FALSE)&lt;&gt;"",D50+VLOOKUP(A50,Dividende_je_Aktie!A$3:AM$103,9,FALSE),D50),IF(VLOOKUP(A50,Dividende_je_Aktie!A$3:AM$103,9,FALSE)&lt;&gt;"",VLOOKUP(A50,Dividende_je_Aktie!A$3:AM$103,9,FALSE),""))</f>
        <v>28.941534988713318</v>
      </c>
      <c r="P50" s="13">
        <f>IF(E50&gt;0,IF(VLOOKUP(A50,Dividende_je_Aktie!A$3:AM$103,10,FALSE)&lt;&gt;"",E50+VLOOKUP(A50,Dividende_je_Aktie!A$3:AM$103,10,FALSE),E50),IF(VLOOKUP(A50,Dividende_je_Aktie!A$3:AM$103,10,FALSE)&lt;&gt;"",VLOOKUP(A50,Dividende_je_Aktie!A$3:AM$103,10,FALSE),""))</f>
        <v>0.4</v>
      </c>
      <c r="Q50" s="13">
        <f>IF(F50&gt;0,IF(VLOOKUP(A50,Dividende_je_Aktie!A$3:AM$103,11,FALSE)&lt;&gt;"",F50+VLOOKUP(A50,Dividende_je_Aktie!A$3:AM$103,11,FALSE),F50),IF(VLOOKUP(A50,Dividende_je_Aktie!A$3:AM$103,11,FALSE)&lt;&gt;"",VLOOKUP(A50,Dividende_je_Aktie!A$3:AM$103,11,FALSE),""))</f>
        <v>2.2487499999999998</v>
      </c>
      <c r="R50" s="13">
        <f>IF(G50&gt;0,IF(VLOOKUP(A50,Dividende_je_Aktie!A$3:AM$103,12,FALSE)&lt;&gt;"",G50+VLOOKUP(A50,Dividende_je_Aktie!A$3:AM$103,12,FALSE),G50),IF(VLOOKUP(A50,Dividende_je_Aktie!A$3:AM$103,12,FALSE)&lt;&gt;"",VLOOKUP(A50,Dividende_je_Aktie!A$3:AM$103,12,FALSE),""))</f>
        <v>0.78811344019728735</v>
      </c>
      <c r="S50" s="13">
        <f>IF(H50&gt;0,IF(VLOOKUP(A50,Dividende_je_Aktie!A$3:AM$103,13,FALSE)&lt;&gt;"",H50+VLOOKUP(A50,Dividende_je_Aktie!A$3:AM$103,13,FALSE),H50),IF(VLOOKUP(A50,Dividende_je_Aktie!A$3:AM$103,13,FALSE)&lt;&gt;"",VLOOKUP(A50,Dividende_je_Aktie!A$3:AM$103,13,FALSE),""))</f>
        <v>0.4360800970873786</v>
      </c>
      <c r="T50" s="13">
        <f>IF(I50&gt;0,IF(VLOOKUP(A50,Dividende_je_Aktie!A$3:AM$103,14,FALSE)&lt;&gt;"",I50+VLOOKUP(A50,Dividende_je_Aktie!A$3:AM$103,14,FALSE),I50),IF(VLOOKUP(A50,Dividende_je_Aktie!A$3:AM$103,14,FALSE)&lt;&gt;"",VLOOKUP(A50,Dividende_je_Aktie!A$3:AM$103,14,FALSE),""))</f>
        <v>0.13</v>
      </c>
      <c r="U50" s="13">
        <f>IF(J50&gt;0,IF(VLOOKUP(A50,Dividende_je_Aktie!A$3:AM$103,15,FALSE)&lt;&gt;"",J50+VLOOKUP(A50,Dividende_je_Aktie!A$3:AM$103,15,FALSE),J50),IF(VLOOKUP(A50,Dividende_je_Aktie!A$3:AM$103,15,FALSE)&lt;&gt;"",VLOOKUP(A50,Dividende_je_Aktie!A$3:AM$103,15,FALSE),""))</f>
        <v>0.11</v>
      </c>
      <c r="V50" s="13">
        <f>IF(K50&gt;0,IF(VLOOKUP(A50,Dividende_je_Aktie!A$3:AM$103,16,FALSE)&lt;&gt;"",K50+VLOOKUP(A50,Dividende_je_Aktie!A$3:AM$103,16,FALSE),K50),IF(VLOOKUP(A50,Dividende_je_Aktie!A$3:AM$103,16,FALSE)&lt;&gt;"",VLOOKUP(A50,Dividende_je_Aktie!A$3:AM$103,16,FALSE),""))</f>
        <v>2.5999999999999999E-2</v>
      </c>
      <c r="W50" s="13" t="str">
        <f>IF(L50&gt;0,IF(VLOOKUP(A50,Dividende_je_Aktie!A$3:AM$103,17,FALSE)&lt;&gt;"",L50+VLOOKUP(A50,Dividende_je_Aktie!A$3:AM$103,17,FALSE),L50),IF(VLOOKUP(A50,Dividende_je_Aktie!A$3:AM$103,17,FALSE)&lt;&gt;"",VLOOKUP(A50,Dividende_je_Aktie!A$3:AM$103,17,FALSE),""))</f>
        <v/>
      </c>
      <c r="X50" s="13" t="str">
        <f>IF(M50&gt;0,IF(VLOOKUP(A50,Dividende_je_Aktie!A$3:AM$103,18,FALSE)&lt;&gt;"",M50+VLOOKUP(A50,Dividende_je_Aktie!A$3:AM$103,18,FALSE),M50),IF(VLOOKUP(A50,Dividende_je_Aktie!A$3:AM$103,18,FALSE)&lt;&gt;"",VLOOKUP(A50,Dividende_je_Aktie!A$3:AM$103,18,FALSE),""))</f>
        <v/>
      </c>
    </row>
    <row r="51" spans="1:24">
      <c r="A51" t="s">
        <v>72</v>
      </c>
      <c r="B51" t="s">
        <v>73</v>
      </c>
      <c r="C51" s="13">
        <f>IF(VLOOKUP(A51,Aktien_im_Umlauf_splitbereinigt!A$3:AM$103,4,FALSE)&lt;&gt;"",IF(VLOOKUP(A51,Aktien_im_Umlauf_splitbereinigt!A$3:AM$103,3,FALSE)&lt;&gt;"",IF(VLOOKUP(A51,Schlußkurse!A$5:AU$105,36,FALSE)&gt;0,((VLOOKUP(A51,Aktien_im_Umlauf_splitbereinigt!A$3:AM$103,4,FALSE)-VLOOKUP(A51,Aktien_im_Umlauf_splitbereinigt!A$3:AM$103,3,FALSE))*VLOOKUP(A51,Schlußkurse!A$5:AU$105,36,FALSE))/VLOOKUP(A51,Aktien_im_Umlauf_splitbereinigt!A$3:AM$103,3,FALSE),0),0),0)</f>
        <v>1.3851233396584441</v>
      </c>
      <c r="D51" s="97">
        <f>IF(VLOOKUP(A51,Aktien_im_Umlauf_splitbereinigt!A$3:AM$103,5,FALSE)&lt;&gt;"",IF(VLOOKUP(A51,Aktien_im_Umlauf_splitbereinigt!A$3:AM$103,4,FALSE)&lt;&gt;"",IF(VLOOKUP(A51,Schlußkurse!A$5:AU$105,37,FALSE)&gt;0,((VLOOKUP(A51,Aktien_im_Umlauf_splitbereinigt!A$3:AM$103,5,FALSE)-VLOOKUP(A51,Aktien_im_Umlauf_splitbereinigt!A$3:AM$103,4,FALSE))*VLOOKUP(A51,Schlußkurse!A$5:AU$105,37,FALSE))/VLOOKUP(A51,Aktien_im_Umlauf_splitbereinigt!A$3:AM$103,4,FALSE),0),0),0)</f>
        <v>0.13162949194547707</v>
      </c>
      <c r="E51" s="97">
        <f>IF(VLOOKUP(A51,Aktien_im_Umlauf_splitbereinigt!A$3:AM$103,6,FALSE)&lt;&gt;"",IF(VLOOKUP(A51,Aktien_im_Umlauf_splitbereinigt!A$3:AM$103,5,FALSE)&lt;&gt;"",IF(VLOOKUP(A51,Schlußkurse!A$5:AU$105,38,FALSE)&gt;0,((VLOOKUP(A51,Aktien_im_Umlauf_splitbereinigt!A$3:AM$103,6,FALSE)-VLOOKUP(A51,Aktien_im_Umlauf_splitbereinigt!A$3:AM$103,5,FALSE))*VLOOKUP(A51,Schlußkurse!A$5:AU$105,38,FALSE))/VLOOKUP(A51,Aktien_im_Umlauf_splitbereinigt!A$3:AM$103,5,FALSE),0),0),0)</f>
        <v>1.8710423755026293</v>
      </c>
      <c r="F51" s="97">
        <f>IF(VLOOKUP(A51,Aktien_im_Umlauf_splitbereinigt!A$3:AM$103,7,FALSE)&lt;&gt;"",IF(VLOOKUP(A51,Aktien_im_Umlauf_splitbereinigt!A$3:AM$103,6,FALSE)&lt;&gt;"",IF(VLOOKUP(A51,Schlußkurse!A$5:AU$105,39,FALSE)&gt;0,((VLOOKUP(A51,Aktien_im_Umlauf_splitbereinigt!A$3:AM$103,7,FALSE)-VLOOKUP(A51,Aktien_im_Umlauf_splitbereinigt!A$3:AM$103,6,FALSE))*VLOOKUP(A51,Schlußkurse!A$5:AU$105,39,FALSE))/VLOOKUP(A51,Aktien_im_Umlauf_splitbereinigt!A$3:AM$103,6,FALSE),0),0),0)</f>
        <v>2.1951719975859989</v>
      </c>
      <c r="G51" s="97">
        <f>IF(VLOOKUP(A51,Aktien_im_Umlauf_splitbereinigt!A$3:AM$103,8,FALSE)&lt;&gt;"",IF(VLOOKUP(A51,Aktien_im_Umlauf_splitbereinigt!A$3:AM$103,7,FALSE)&lt;&gt;"",IF(VLOOKUP(A51,Schlußkurse!A$5:AU$105,40,FALSE)&gt;0,((VLOOKUP(A51,Aktien_im_Umlauf_splitbereinigt!A$3:AM$103,8,FALSE)-VLOOKUP(A51,Aktien_im_Umlauf_splitbereinigt!A$3:AM$103,7,FALSE))*VLOOKUP(A51,Schlußkurse!A$5:AU$105,40,FALSE))/VLOOKUP(A51,Aktien_im_Umlauf_splitbereinigt!A$3:AM$103,7,FALSE),0),0),0)</f>
        <v>1.7592978349912229</v>
      </c>
      <c r="H51" s="97">
        <f>IF(VLOOKUP(A51,Aktien_im_Umlauf_splitbereinigt!A$3:AM$103,9,FALSE)&lt;&gt;"",IF(VLOOKUP(A51,Aktien_im_Umlauf_splitbereinigt!A$3:AM$103,8,FALSE)&lt;&gt;"",IF(VLOOKUP(A51,Schlußkurse!A$5:AU$105,41,FALSE)&gt;0,((VLOOKUP(A51,Aktien_im_Umlauf_splitbereinigt!A$3:AM$103,9,FALSE)-VLOOKUP(A51,Aktien_im_Umlauf_splitbereinigt!A$3:AM$103,8,FALSE))*VLOOKUP(A51,Schlußkurse!A$5:AU$105,41,FALSE))/VLOOKUP(A51,Aktien_im_Umlauf_splitbereinigt!A$3:AM$103,8,FALSE),0),0),0)</f>
        <v>3.8751450511945391</v>
      </c>
      <c r="I51" s="97">
        <f>IF(VLOOKUP(A51,Aktien_im_Umlauf_splitbereinigt!A$3:AM$103,10,FALSE)&lt;&gt;"",IF(VLOOKUP(A51,Aktien_im_Umlauf_splitbereinigt!A$3:AM$103,9,FALSE)&lt;&gt;"",IF(VLOOKUP(A51,Schlußkurse!A$5:AU$105,42,FALSE)&gt;0,((VLOOKUP(A51,Aktien_im_Umlauf_splitbereinigt!A$3:AM$103,10,FALSE)-VLOOKUP(A51,Aktien_im_Umlauf_splitbereinigt!A$3:AM$103,9,FALSE))*VLOOKUP(A51,Schlußkurse!A$5:AU$105,42,FALSE))/VLOOKUP(A51,Aktien_im_Umlauf_splitbereinigt!A$3:AM$103,9,FALSE),0),0),0)</f>
        <v>2.35950518754988</v>
      </c>
      <c r="J51" s="97">
        <f>IF(VLOOKUP(A51,Aktien_im_Umlauf_splitbereinigt!A$3:AM$103,11,FALSE)&lt;&gt;"",IF(VLOOKUP(A51,Aktien_im_Umlauf_splitbereinigt!A$3:AM$103,10,FALSE)&lt;&gt;"",IF(VLOOKUP(A51,Schlußkurse!A$5:AU$105,43,FALSE)&gt;0,((VLOOKUP(A51,Aktien_im_Umlauf_splitbereinigt!A$3:AM$103,11,FALSE)-VLOOKUP(A51,Aktien_im_Umlauf_splitbereinigt!A$3:AM$103,10,FALSE))*VLOOKUP(A51,Schlußkurse!A$5:AU$105,43,FALSE))/VLOOKUP(A51,Aktien_im_Umlauf_splitbereinigt!A$3:AM$103,10,FALSE),0),0),0)</f>
        <v>0.57624458598726114</v>
      </c>
      <c r="K51" s="97">
        <f>IF(VLOOKUP(A51,Aktien_im_Umlauf_splitbereinigt!A$3:AM$103,12,FALSE)&lt;&gt;"",IF(VLOOKUP(A51,Aktien_im_Umlauf_splitbereinigt!A$3:AM$103,11,FALSE)&lt;&gt;"",IF(VLOOKUP(A51,Schlußkurse!A$5:AU$105,44,FALSE)&gt;0,((VLOOKUP(A51,Aktien_im_Umlauf_splitbereinigt!A$3:AM$103,12,FALSE)-VLOOKUP(A51,Aktien_im_Umlauf_splitbereinigt!A$3:AM$103,11,FALSE))*VLOOKUP(A51,Schlußkurse!A$5:AU$105,44,FALSE))/VLOOKUP(A51,Aktien_im_Umlauf_splitbereinigt!A$3:AM$103,11,FALSE),0),0),0)</f>
        <v>2.01904354392147</v>
      </c>
      <c r="L51" s="97">
        <f>IF(VLOOKUP(A51,Aktien_im_Umlauf_splitbereinigt!A$3:AM$103,13,FALSE)&lt;&gt;"",IF(VLOOKUP(A51,Aktien_im_Umlauf_splitbereinigt!A$3:AM$103,12,FALSE)&lt;&gt;"",IF(VLOOKUP(A51,Schlußkurse!A$5:AU$105,45,FALSE)&gt;0,((VLOOKUP(A51,Aktien_im_Umlauf_splitbereinigt!A$3:AM$103,13,FALSE)-VLOOKUP(A51,Aktien_im_Umlauf_splitbereinigt!A$3:AM$103,12,FALSE))*VLOOKUP(A51,Schlußkurse!A$5:AU$105,45,FALSE))/VLOOKUP(A51,Aktien_im_Umlauf_splitbereinigt!A$3:AM$103,12,FALSE),0),0),0)</f>
        <v>0.39234567901234568</v>
      </c>
      <c r="M51" s="97">
        <f>IF(VLOOKUP(A51,Aktien_im_Umlauf_splitbereinigt!A$3:AM$103,14,FALSE)&lt;&gt;"",IF(VLOOKUP(A51,Aktien_im_Umlauf_splitbereinigt!A$3:AM$103,13,FALSE)&lt;&gt;"",IF(VLOOKUP(A51,Schlußkurse!A$5:AU$105,46,FALSE)&gt;0,((VLOOKUP(A51,Aktien_im_Umlauf_splitbereinigt!A$3:AM$103,14,FALSE)-VLOOKUP(A51,Aktien_im_Umlauf_splitbereinigt!A$3:AM$103,13,FALSE))*VLOOKUP(A51,Schlußkurse!A$5:AU$105,46,FALSE))/VLOOKUP(A51,Aktien_im_Umlauf_splitbereinigt!A$3:AM$103,13,FALSE),0),0),0)</f>
        <v>0.76388715486194481</v>
      </c>
      <c r="N51" s="13">
        <f>IF(C51&gt;0,IF(VLOOKUP(A51,Dividende_je_Aktie!A$3:AM$103,8,FALSE)&lt;&gt;"",C51+VLOOKUP(A51,Dividende_je_Aktie!A$3:AM$103,8,FALSE),C51),IF(VLOOKUP(A51,Dividende_je_Aktie!A$3:AM$103,8,FALSE)&lt;&gt;"",VLOOKUP(A51,Dividende_je_Aktie!A$3:AM$103,8,FALSE),""))</f>
        <v>3.3451233396584441</v>
      </c>
      <c r="O51" s="13">
        <f>IF(D51&gt;0,IF(VLOOKUP(A51,Dividende_je_Aktie!A$3:AM$103,9,FALSE)&lt;&gt;"",D51+VLOOKUP(A51,Dividende_je_Aktie!A$3:AM$103,9,FALSE),D51),IF(VLOOKUP(A51,Dividende_je_Aktie!A$3:AM$103,9,FALSE)&lt;&gt;"",VLOOKUP(A51,Dividende_je_Aktie!A$3:AM$103,9,FALSE),""))</f>
        <v>2.0516294919454769</v>
      </c>
      <c r="P51" s="13">
        <f>IF(E51&gt;0,IF(VLOOKUP(A51,Dividende_je_Aktie!A$3:AM$103,10,FALSE)&lt;&gt;"",E51+VLOOKUP(A51,Dividende_je_Aktie!A$3:AM$103,10,FALSE),E51),IF(VLOOKUP(A51,Dividende_je_Aktie!A$3:AM$103,10,FALSE)&lt;&gt;"",VLOOKUP(A51,Dividende_je_Aktie!A$3:AM$103,10,FALSE),""))</f>
        <v>3.751042375502629</v>
      </c>
      <c r="Q51" s="13">
        <f>IF(F51&gt;0,IF(VLOOKUP(A51,Dividende_je_Aktie!A$3:AM$103,11,FALSE)&lt;&gt;"",F51+VLOOKUP(A51,Dividende_je_Aktie!A$3:AM$103,11,FALSE),F51),IF(VLOOKUP(A51,Dividende_je_Aktie!A$3:AM$103,11,FALSE)&lt;&gt;"",VLOOKUP(A51,Dividende_je_Aktie!A$3:AM$103,11,FALSE),""))</f>
        <v>3.7851719975859988</v>
      </c>
      <c r="R51" s="13">
        <f>IF(G51&gt;0,IF(VLOOKUP(A51,Dividende_je_Aktie!A$3:AM$103,12,FALSE)&lt;&gt;"",G51+VLOOKUP(A51,Dividende_je_Aktie!A$3:AM$103,12,FALSE),G51),IF(VLOOKUP(A51,Dividende_je_Aktie!A$3:AM$103,12,FALSE)&lt;&gt;"",VLOOKUP(A51,Dividende_je_Aktie!A$3:AM$103,12,FALSE),""))</f>
        <v>3.2192978349912229</v>
      </c>
      <c r="S51" s="13">
        <f>IF(H51&gt;0,IF(VLOOKUP(A51,Dividende_je_Aktie!A$3:AM$103,13,FALSE)&lt;&gt;"",H51+VLOOKUP(A51,Dividende_je_Aktie!A$3:AM$103,13,FALSE),H51),IF(VLOOKUP(A51,Dividende_je_Aktie!A$3:AM$103,13,FALSE)&lt;&gt;"",VLOOKUP(A51,Dividende_je_Aktie!A$3:AM$103,13,FALSE),""))</f>
        <v>5.0851450511945391</v>
      </c>
      <c r="T51" s="13">
        <f>IF(I51&gt;0,IF(VLOOKUP(A51,Dividende_je_Aktie!A$3:AM$103,14,FALSE)&lt;&gt;"",I51+VLOOKUP(A51,Dividende_je_Aktie!A$3:AM$103,14,FALSE),I51),IF(VLOOKUP(A51,Dividende_je_Aktie!A$3:AM$103,14,FALSE)&lt;&gt;"",VLOOKUP(A51,Dividende_je_Aktie!A$3:AM$103,14,FALSE),""))</f>
        <v>3.4495051875498799</v>
      </c>
      <c r="U51" s="13">
        <f>IF(J51&gt;0,IF(VLOOKUP(A51,Dividende_je_Aktie!A$3:AM$103,15,FALSE)&lt;&gt;"",J51+VLOOKUP(A51,Dividende_je_Aktie!A$3:AM$103,15,FALSE),J51),IF(VLOOKUP(A51,Dividende_je_Aktie!A$3:AM$103,15,FALSE)&lt;&gt;"",VLOOKUP(A51,Dividende_je_Aktie!A$3:AM$103,15,FALSE),""))</f>
        <v>1.5262445859872611</v>
      </c>
      <c r="V51" s="13">
        <f>IF(K51&gt;0,IF(VLOOKUP(A51,Dividende_je_Aktie!A$3:AM$103,16,FALSE)&lt;&gt;"",K51+VLOOKUP(A51,Dividende_je_Aktie!A$3:AM$103,16,FALSE),K51),IF(VLOOKUP(A51,Dividende_je_Aktie!A$3:AM$103,16,FALSE)&lt;&gt;"",VLOOKUP(A51,Dividende_je_Aktie!A$3:AM$103,16,FALSE),""))</f>
        <v>2.8990435439214699</v>
      </c>
      <c r="W51" s="13">
        <f>IF(L51&gt;0,IF(VLOOKUP(A51,Dividende_je_Aktie!A$3:AM$103,17,FALSE)&lt;&gt;"",L51+VLOOKUP(A51,Dividende_je_Aktie!A$3:AM$103,17,FALSE),L51),IF(VLOOKUP(A51,Dividende_je_Aktie!A$3:AM$103,17,FALSE)&lt;&gt;"",VLOOKUP(A51,Dividende_je_Aktie!A$3:AM$103,17,FALSE),""))</f>
        <v>1.0623456790123458</v>
      </c>
      <c r="X51" s="13">
        <f>IF(M51&gt;0,IF(VLOOKUP(A51,Dividende_je_Aktie!A$3:AM$103,18,FALSE)&lt;&gt;"",M51+VLOOKUP(A51,Dividende_je_Aktie!A$3:AM$103,18,FALSE),M51),IF(VLOOKUP(A51,Dividende_je_Aktie!A$3:AM$103,18,FALSE)&lt;&gt;"",VLOOKUP(A51,Dividende_je_Aktie!A$3:AM$103,18,FALSE),""))</f>
        <v>1.3638871548619447</v>
      </c>
    </row>
    <row r="52" spans="1:24">
      <c r="A52" t="s">
        <v>74</v>
      </c>
      <c r="B52" t="s">
        <v>75</v>
      </c>
      <c r="C52" s="13">
        <f>IF(VLOOKUP(A52,Aktien_im_Umlauf_splitbereinigt!A$3:AM$103,4,FALSE)&lt;&gt;"",IF(VLOOKUP(A52,Aktien_im_Umlauf_splitbereinigt!A$3:AM$103,3,FALSE)&lt;&gt;"",IF(VLOOKUP(A52,Schlußkurse!A$5:AU$105,36,FALSE)&gt;0,((VLOOKUP(A52,Aktien_im_Umlauf_splitbereinigt!A$3:AM$103,4,FALSE)-VLOOKUP(A52,Aktien_im_Umlauf_splitbereinigt!A$3:AM$103,3,FALSE))*VLOOKUP(A52,Schlußkurse!A$5:AU$105,36,FALSE))/VLOOKUP(A52,Aktien_im_Umlauf_splitbereinigt!A$3:AM$103,3,FALSE),0),0),0)</f>
        <v>0</v>
      </c>
      <c r="D52" s="97">
        <f>IF(VLOOKUP(A52,Aktien_im_Umlauf_splitbereinigt!A$3:AM$103,5,FALSE)&lt;&gt;"",IF(VLOOKUP(A52,Aktien_im_Umlauf_splitbereinigt!A$3:AM$103,4,FALSE)&lt;&gt;"",IF(VLOOKUP(A52,Schlußkurse!A$5:AU$105,37,FALSE)&gt;0,((VLOOKUP(A52,Aktien_im_Umlauf_splitbereinigt!A$3:AM$103,5,FALSE)-VLOOKUP(A52,Aktien_im_Umlauf_splitbereinigt!A$3:AM$103,4,FALSE))*VLOOKUP(A52,Schlußkurse!A$5:AU$105,37,FALSE))/VLOOKUP(A52,Aktien_im_Umlauf_splitbereinigt!A$3:AM$103,4,FALSE),0),0),0)</f>
        <v>0</v>
      </c>
      <c r="E52" s="97">
        <f>IF(VLOOKUP(A52,Aktien_im_Umlauf_splitbereinigt!A$3:AM$103,6,FALSE)&lt;&gt;"",IF(VLOOKUP(A52,Aktien_im_Umlauf_splitbereinigt!A$3:AM$103,5,FALSE)&lt;&gt;"",IF(VLOOKUP(A52,Schlußkurse!A$5:AU$105,38,FALSE)&gt;0,((VLOOKUP(A52,Aktien_im_Umlauf_splitbereinigt!A$3:AM$103,6,FALSE)-VLOOKUP(A52,Aktien_im_Umlauf_splitbereinigt!A$3:AM$103,5,FALSE))*VLOOKUP(A52,Schlußkurse!A$5:AU$105,38,FALSE))/VLOOKUP(A52,Aktien_im_Umlauf_splitbereinigt!A$3:AM$103,5,FALSE),0),0),0)</f>
        <v>0</v>
      </c>
      <c r="F52" s="97">
        <f>IF(VLOOKUP(A52,Aktien_im_Umlauf_splitbereinigt!A$3:AM$103,7,FALSE)&lt;&gt;"",IF(VLOOKUP(A52,Aktien_im_Umlauf_splitbereinigt!A$3:AM$103,6,FALSE)&lt;&gt;"",IF(VLOOKUP(A52,Schlußkurse!A$5:AU$105,39,FALSE)&gt;0,((VLOOKUP(A52,Aktien_im_Umlauf_splitbereinigt!A$3:AM$103,7,FALSE)-VLOOKUP(A52,Aktien_im_Umlauf_splitbereinigt!A$3:AM$103,6,FALSE))*VLOOKUP(A52,Schlußkurse!A$5:AU$105,39,FALSE))/VLOOKUP(A52,Aktien_im_Umlauf_splitbereinigt!A$3:AM$103,6,FALSE),0),0),0)</f>
        <v>-6.6204324626865665E-2</v>
      </c>
      <c r="G52" s="97">
        <f>IF(VLOOKUP(A52,Aktien_im_Umlauf_splitbereinigt!A$3:AM$103,8,FALSE)&lt;&gt;"",IF(VLOOKUP(A52,Aktien_im_Umlauf_splitbereinigt!A$3:AM$103,7,FALSE)&lt;&gt;"",IF(VLOOKUP(A52,Schlußkurse!A$5:AU$105,40,FALSE)&gt;0,((VLOOKUP(A52,Aktien_im_Umlauf_splitbereinigt!A$3:AM$103,8,FALSE)-VLOOKUP(A52,Aktien_im_Umlauf_splitbereinigt!A$3:AM$103,7,FALSE))*VLOOKUP(A52,Schlußkurse!A$5:AU$105,40,FALSE))/VLOOKUP(A52,Aktien_im_Umlauf_splitbereinigt!A$3:AM$103,7,FALSE),0),0),0)</f>
        <v>-5.3937890479153691E-2</v>
      </c>
      <c r="H52" s="97">
        <f>IF(VLOOKUP(A52,Aktien_im_Umlauf_splitbereinigt!A$3:AM$103,9,FALSE)&lt;&gt;"",IF(VLOOKUP(A52,Aktien_im_Umlauf_splitbereinigt!A$3:AM$103,8,FALSE)&lt;&gt;"",IF(VLOOKUP(A52,Schlußkurse!A$5:AU$105,41,FALSE)&gt;0,((VLOOKUP(A52,Aktien_im_Umlauf_splitbereinigt!A$3:AM$103,9,FALSE)-VLOOKUP(A52,Aktien_im_Umlauf_splitbereinigt!A$3:AM$103,8,FALSE))*VLOOKUP(A52,Schlußkurse!A$5:AU$105,41,FALSE))/VLOOKUP(A52,Aktien_im_Umlauf_splitbereinigt!A$3:AM$103,8,FALSE),0),0),0)</f>
        <v>-3.8182734433374846E-2</v>
      </c>
      <c r="I52" s="97">
        <f>IF(VLOOKUP(A52,Aktien_im_Umlauf_splitbereinigt!A$3:AM$103,10,FALSE)&lt;&gt;"",IF(VLOOKUP(A52,Aktien_im_Umlauf_splitbereinigt!A$3:AM$103,9,FALSE)&lt;&gt;"",IF(VLOOKUP(A52,Schlußkurse!A$5:AU$105,42,FALSE)&gt;0,((VLOOKUP(A52,Aktien_im_Umlauf_splitbereinigt!A$3:AM$103,10,FALSE)-VLOOKUP(A52,Aktien_im_Umlauf_splitbereinigt!A$3:AM$103,9,FALSE))*VLOOKUP(A52,Schlußkurse!A$5:AU$105,42,FALSE))/VLOOKUP(A52,Aktien_im_Umlauf_splitbereinigt!A$3:AM$103,9,FALSE),0),0),0)</f>
        <v>-3.5711999999999994E-2</v>
      </c>
      <c r="J52" s="97">
        <f>IF(VLOOKUP(A52,Aktien_im_Umlauf_splitbereinigt!A$3:AM$103,11,FALSE)&lt;&gt;"",IF(VLOOKUP(A52,Aktien_im_Umlauf_splitbereinigt!A$3:AM$103,10,FALSE)&lt;&gt;"",IF(VLOOKUP(A52,Schlußkurse!A$5:AU$105,43,FALSE)&gt;0,((VLOOKUP(A52,Aktien_im_Umlauf_splitbereinigt!A$3:AM$103,11,FALSE)-VLOOKUP(A52,Aktien_im_Umlauf_splitbereinigt!A$3:AM$103,10,FALSE))*VLOOKUP(A52,Schlußkurse!A$5:AU$105,43,FALSE))/VLOOKUP(A52,Aktien_im_Umlauf_splitbereinigt!A$3:AM$103,10,FALSE),0),0),0)</f>
        <v>-0.19839676889027136</v>
      </c>
      <c r="K52" s="97">
        <f>IF(VLOOKUP(A52,Aktien_im_Umlauf_splitbereinigt!A$3:AM$103,12,FALSE)&lt;&gt;"",IF(VLOOKUP(A52,Aktien_im_Umlauf_splitbereinigt!A$3:AM$103,11,FALSE)&lt;&gt;"",IF(VLOOKUP(A52,Schlußkurse!A$5:AU$105,44,FALSE)&gt;0,((VLOOKUP(A52,Aktien_im_Umlauf_splitbereinigt!A$3:AM$103,12,FALSE)-VLOOKUP(A52,Aktien_im_Umlauf_splitbereinigt!A$3:AM$103,11,FALSE))*VLOOKUP(A52,Schlußkurse!A$5:AU$105,44,FALSE))/VLOOKUP(A52,Aktien_im_Umlauf_splitbereinigt!A$3:AM$103,11,FALSE),0),0),0)</f>
        <v>-0.54148895825771581</v>
      </c>
      <c r="L52" s="97">
        <f>IF(VLOOKUP(A52,Aktien_im_Umlauf_splitbereinigt!A$3:AM$103,13,FALSE)&lt;&gt;"",IF(VLOOKUP(A52,Aktien_im_Umlauf_splitbereinigt!A$3:AM$103,12,FALSE)&lt;&gt;"",IF(VLOOKUP(A52,Schlußkurse!A$5:AU$105,45,FALSE)&gt;0,((VLOOKUP(A52,Aktien_im_Umlauf_splitbereinigt!A$3:AM$103,13,FALSE)-VLOOKUP(A52,Aktien_im_Umlauf_splitbereinigt!A$3:AM$103,12,FALSE))*VLOOKUP(A52,Schlußkurse!A$5:AU$105,45,FALSE))/VLOOKUP(A52,Aktien_im_Umlauf_splitbereinigt!A$3:AM$103,12,FALSE),0),0),0)</f>
        <v>-0.2150963295112375</v>
      </c>
      <c r="M52" s="97">
        <f>IF(VLOOKUP(A52,Aktien_im_Umlauf_splitbereinigt!A$3:AM$103,14,FALSE)&lt;&gt;"",IF(VLOOKUP(A52,Aktien_im_Umlauf_splitbereinigt!A$3:AM$103,13,FALSE)&lt;&gt;"",IF(VLOOKUP(A52,Schlußkurse!A$5:AU$105,46,FALSE)&gt;0,((VLOOKUP(A52,Aktien_im_Umlauf_splitbereinigt!A$3:AM$103,14,FALSE)-VLOOKUP(A52,Aktien_im_Umlauf_splitbereinigt!A$3:AM$103,13,FALSE))*VLOOKUP(A52,Schlußkurse!A$5:AU$105,46,FALSE))/VLOOKUP(A52,Aktien_im_Umlauf_splitbereinigt!A$3:AM$103,13,FALSE),0),0),0)</f>
        <v>-0.50396913822602551</v>
      </c>
      <c r="N52" s="13">
        <f>IF(C52&gt;0,IF(VLOOKUP(A52,Dividende_je_Aktie!A$3:AM$103,8,FALSE)&lt;&gt;"",C52+VLOOKUP(A52,Dividende_je_Aktie!A$3:AM$103,8,FALSE),C52),IF(VLOOKUP(A52,Dividende_je_Aktie!A$3:AM$103,8,FALSE)&lt;&gt;"",VLOOKUP(A52,Dividende_je_Aktie!A$3:AM$103,8,FALSE),""))</f>
        <v>3.76</v>
      </c>
      <c r="O52" s="13">
        <f>IF(D52&gt;0,IF(VLOOKUP(A52,Dividende_je_Aktie!A$3:AM$103,9,FALSE)&lt;&gt;"",D52+VLOOKUP(A52,Dividende_je_Aktie!A$3:AM$103,9,FALSE),D52),IF(VLOOKUP(A52,Dividende_je_Aktie!A$3:AM$103,9,FALSE)&lt;&gt;"",VLOOKUP(A52,Dividende_je_Aktie!A$3:AM$103,9,FALSE),""))</f>
        <v>3.6</v>
      </c>
      <c r="P52" s="13">
        <f>IF(E52&gt;0,IF(VLOOKUP(A52,Dividende_je_Aktie!A$3:AM$103,10,FALSE)&lt;&gt;"",E52+VLOOKUP(A52,Dividende_je_Aktie!A$3:AM$103,10,FALSE),E52),IF(VLOOKUP(A52,Dividende_je_Aktie!A$3:AM$103,10,FALSE)&lt;&gt;"",VLOOKUP(A52,Dividende_je_Aktie!A$3:AM$103,10,FALSE),""))</f>
        <v>3</v>
      </c>
      <c r="Q52" s="13">
        <f>IF(F52&gt;0,IF(VLOOKUP(A52,Dividende_je_Aktie!A$3:AM$103,11,FALSE)&lt;&gt;"",F52+VLOOKUP(A52,Dividende_je_Aktie!A$3:AM$103,11,FALSE),F52),IF(VLOOKUP(A52,Dividende_je_Aktie!A$3:AM$103,11,FALSE)&lt;&gt;"",VLOOKUP(A52,Dividende_je_Aktie!A$3:AM$103,11,FALSE),""))</f>
        <v>2.0499999999999998</v>
      </c>
      <c r="R52" s="13">
        <f>IF(G52&gt;0,IF(VLOOKUP(A52,Dividende_je_Aktie!A$3:AM$103,12,FALSE)&lt;&gt;"",G52+VLOOKUP(A52,Dividende_je_Aktie!A$3:AM$103,12,FALSE),G52),IF(VLOOKUP(A52,Dividende_je_Aktie!A$3:AM$103,12,FALSE)&lt;&gt;"",VLOOKUP(A52,Dividende_je_Aktie!A$3:AM$103,12,FALSE),""))</f>
        <v>2.23</v>
      </c>
      <c r="S52" s="13">
        <f>IF(H52&gt;0,IF(VLOOKUP(A52,Dividende_je_Aktie!A$3:AM$103,13,FALSE)&lt;&gt;"",H52+VLOOKUP(A52,Dividende_je_Aktie!A$3:AM$103,13,FALSE),H52),IF(VLOOKUP(A52,Dividende_je_Aktie!A$3:AM$103,13,FALSE)&lt;&gt;"",VLOOKUP(A52,Dividende_je_Aktie!A$3:AM$103,13,FALSE),""))</f>
        <v>1.55</v>
      </c>
      <c r="T52" s="13">
        <f>IF(I52&gt;0,IF(VLOOKUP(A52,Dividende_je_Aktie!A$3:AM$103,14,FALSE)&lt;&gt;"",I52+VLOOKUP(A52,Dividende_je_Aktie!A$3:AM$103,14,FALSE),I52),IF(VLOOKUP(A52,Dividende_je_Aktie!A$3:AM$103,14,FALSE)&lt;&gt;"",VLOOKUP(A52,Dividende_je_Aktie!A$3:AM$103,14,FALSE),""))</f>
        <v>1.07</v>
      </c>
      <c r="U52" s="13">
        <f>IF(J52&gt;0,IF(VLOOKUP(A52,Dividende_je_Aktie!A$3:AM$103,15,FALSE)&lt;&gt;"",J52+VLOOKUP(A52,Dividende_je_Aktie!A$3:AM$103,15,FALSE),J52),IF(VLOOKUP(A52,Dividende_je_Aktie!A$3:AM$103,15,FALSE)&lt;&gt;"",VLOOKUP(A52,Dividende_je_Aktie!A$3:AM$103,15,FALSE),""))</f>
        <v>0.55000000000000004</v>
      </c>
      <c r="V52" s="13">
        <f>IF(K52&gt;0,IF(VLOOKUP(A52,Dividende_je_Aktie!A$3:AM$103,16,FALSE)&lt;&gt;"",K52+VLOOKUP(A52,Dividende_je_Aktie!A$3:AM$103,16,FALSE),K52),IF(VLOOKUP(A52,Dividende_je_Aktie!A$3:AM$103,16,FALSE)&lt;&gt;"",VLOOKUP(A52,Dividende_je_Aktie!A$3:AM$103,16,FALSE),""))</f>
        <v>0.35</v>
      </c>
      <c r="W52" s="13">
        <f>IF(L52&gt;0,IF(VLOOKUP(A52,Dividende_je_Aktie!A$3:AM$103,17,FALSE)&lt;&gt;"",L52+VLOOKUP(A52,Dividende_je_Aktie!A$3:AM$103,17,FALSE),L52),IF(VLOOKUP(A52,Dividende_je_Aktie!A$3:AM$103,17,FALSE)&lt;&gt;"",VLOOKUP(A52,Dividende_je_Aktie!A$3:AM$103,17,FALSE),""))</f>
        <v>0.65</v>
      </c>
      <c r="X52" s="13">
        <f>IF(M52&gt;0,IF(VLOOKUP(A52,Dividende_je_Aktie!A$3:AM$103,18,FALSE)&lt;&gt;"",M52+VLOOKUP(A52,Dividende_je_Aktie!A$3:AM$103,18,FALSE),M52),IF(VLOOKUP(A52,Dividende_je_Aktie!A$3:AM$103,18,FALSE)&lt;&gt;"",VLOOKUP(A52,Dividende_je_Aktie!A$3:AM$103,18,FALSE),""))</f>
        <v>0.95</v>
      </c>
    </row>
    <row r="53" spans="1:24">
      <c r="A53" t="s">
        <v>76</v>
      </c>
      <c r="B53" t="s">
        <v>77</v>
      </c>
      <c r="C53" s="13">
        <f>IF(VLOOKUP(A53,Aktien_im_Umlauf_splitbereinigt!A$3:AM$103,4,FALSE)&lt;&gt;"",IF(VLOOKUP(A53,Aktien_im_Umlauf_splitbereinigt!A$3:AM$103,3,FALSE)&lt;&gt;"",IF(VLOOKUP(A53,Schlußkurse!A$5:AU$105,36,FALSE)&gt;0,((VLOOKUP(A53,Aktien_im_Umlauf_splitbereinigt!A$3:AM$103,4,FALSE)-VLOOKUP(A53,Aktien_im_Umlauf_splitbereinigt!A$3:AM$103,3,FALSE))*VLOOKUP(A53,Schlußkurse!A$5:AU$105,36,FALSE))/VLOOKUP(A53,Aktien_im_Umlauf_splitbereinigt!A$3:AM$103,3,FALSE),0),0),0)</f>
        <v>0</v>
      </c>
      <c r="D53" s="97">
        <f>IF(VLOOKUP(A53,Aktien_im_Umlauf_splitbereinigt!A$3:AM$103,5,FALSE)&lt;&gt;"",IF(VLOOKUP(A53,Aktien_im_Umlauf_splitbereinigt!A$3:AM$103,4,FALSE)&lt;&gt;"",IF(VLOOKUP(A53,Schlußkurse!A$5:AU$105,37,FALSE)&gt;0,((VLOOKUP(A53,Aktien_im_Umlauf_splitbereinigt!A$3:AM$103,5,FALSE)-VLOOKUP(A53,Aktien_im_Umlauf_splitbereinigt!A$3:AM$103,4,FALSE))*VLOOKUP(A53,Schlußkurse!A$5:AU$105,37,FALSE))/VLOOKUP(A53,Aktien_im_Umlauf_splitbereinigt!A$3:AM$103,4,FALSE),0),0),0)</f>
        <v>0</v>
      </c>
      <c r="E53" s="97">
        <f>IF(VLOOKUP(A53,Aktien_im_Umlauf_splitbereinigt!A$3:AM$103,6,FALSE)&lt;&gt;"",IF(VLOOKUP(A53,Aktien_im_Umlauf_splitbereinigt!A$3:AM$103,5,FALSE)&lt;&gt;"",IF(VLOOKUP(A53,Schlußkurse!A$5:AU$105,38,FALSE)&gt;0,((VLOOKUP(A53,Aktien_im_Umlauf_splitbereinigt!A$3:AM$103,6,FALSE)-VLOOKUP(A53,Aktien_im_Umlauf_splitbereinigt!A$3:AM$103,5,FALSE))*VLOOKUP(A53,Schlußkurse!A$5:AU$105,38,FALSE))/VLOOKUP(A53,Aktien_im_Umlauf_splitbereinigt!A$3:AM$103,5,FALSE),0),0),0)</f>
        <v>0</v>
      </c>
      <c r="F53" s="97">
        <f>IF(VLOOKUP(A53,Aktien_im_Umlauf_splitbereinigt!A$3:AM$103,7,FALSE)&lt;&gt;"",IF(VLOOKUP(A53,Aktien_im_Umlauf_splitbereinigt!A$3:AM$103,6,FALSE)&lt;&gt;"",IF(VLOOKUP(A53,Schlußkurse!A$5:AU$105,39,FALSE)&gt;0,((VLOOKUP(A53,Aktien_im_Umlauf_splitbereinigt!A$3:AM$103,7,FALSE)-VLOOKUP(A53,Aktien_im_Umlauf_splitbereinigt!A$3:AM$103,6,FALSE))*VLOOKUP(A53,Schlußkurse!A$5:AU$105,39,FALSE))/VLOOKUP(A53,Aktien_im_Umlauf_splitbereinigt!A$3:AM$103,6,FALSE),0),0),0)</f>
        <v>0</v>
      </c>
      <c r="G53" s="97">
        <f>IF(VLOOKUP(A53,Aktien_im_Umlauf_splitbereinigt!A$3:AM$103,8,FALSE)&lt;&gt;"",IF(VLOOKUP(A53,Aktien_im_Umlauf_splitbereinigt!A$3:AM$103,7,FALSE)&lt;&gt;"",IF(VLOOKUP(A53,Schlußkurse!A$5:AU$105,40,FALSE)&gt;0,((VLOOKUP(A53,Aktien_im_Umlauf_splitbereinigt!A$3:AM$103,8,FALSE)-VLOOKUP(A53,Aktien_im_Umlauf_splitbereinigt!A$3:AM$103,7,FALSE))*VLOOKUP(A53,Schlußkurse!A$5:AU$105,40,FALSE))/VLOOKUP(A53,Aktien_im_Umlauf_splitbereinigt!A$3:AM$103,7,FALSE),0),0),0)</f>
        <v>0</v>
      </c>
      <c r="H53" s="97">
        <f>IF(VLOOKUP(A53,Aktien_im_Umlauf_splitbereinigt!A$3:AM$103,9,FALSE)&lt;&gt;"",IF(VLOOKUP(A53,Aktien_im_Umlauf_splitbereinigt!A$3:AM$103,8,FALSE)&lt;&gt;"",IF(VLOOKUP(A53,Schlußkurse!A$5:AU$105,41,FALSE)&gt;0,((VLOOKUP(A53,Aktien_im_Umlauf_splitbereinigt!A$3:AM$103,9,FALSE)-VLOOKUP(A53,Aktien_im_Umlauf_splitbereinigt!A$3:AM$103,8,FALSE))*VLOOKUP(A53,Schlußkurse!A$5:AU$105,41,FALSE))/VLOOKUP(A53,Aktien_im_Umlauf_splitbereinigt!A$3:AM$103,8,FALSE),0),0),0)</f>
        <v>0</v>
      </c>
      <c r="I53" s="97">
        <f>IF(VLOOKUP(A53,Aktien_im_Umlauf_splitbereinigt!A$3:AM$103,10,FALSE)&lt;&gt;"",IF(VLOOKUP(A53,Aktien_im_Umlauf_splitbereinigt!A$3:AM$103,9,FALSE)&lt;&gt;"",IF(VLOOKUP(A53,Schlußkurse!A$5:AU$105,42,FALSE)&gt;0,((VLOOKUP(A53,Aktien_im_Umlauf_splitbereinigt!A$3:AM$103,10,FALSE)-VLOOKUP(A53,Aktien_im_Umlauf_splitbereinigt!A$3:AM$103,9,FALSE))*VLOOKUP(A53,Schlußkurse!A$5:AU$105,42,FALSE))/VLOOKUP(A53,Aktien_im_Umlauf_splitbereinigt!A$3:AM$103,9,FALSE),0),0),0)</f>
        <v>-8600</v>
      </c>
      <c r="J53" s="97">
        <f>IF(VLOOKUP(A53,Aktien_im_Umlauf_splitbereinigt!A$3:AM$103,11,FALSE)&lt;&gt;"",IF(VLOOKUP(A53,Aktien_im_Umlauf_splitbereinigt!A$3:AM$103,10,FALSE)&lt;&gt;"",IF(VLOOKUP(A53,Schlußkurse!A$5:AU$105,43,FALSE)&gt;0,((VLOOKUP(A53,Aktien_im_Umlauf_splitbereinigt!A$3:AM$103,11,FALSE)-VLOOKUP(A53,Aktien_im_Umlauf_splitbereinigt!A$3:AM$103,10,FALSE))*VLOOKUP(A53,Schlußkurse!A$5:AU$105,43,FALSE))/VLOOKUP(A53,Aktien_im_Umlauf_splitbereinigt!A$3:AM$103,10,FALSE),0),0),0)</f>
        <v>0</v>
      </c>
      <c r="K53" s="97">
        <f>IF(VLOOKUP(A53,Aktien_im_Umlauf_splitbereinigt!A$3:AM$103,12,FALSE)&lt;&gt;"",IF(VLOOKUP(A53,Aktien_im_Umlauf_splitbereinigt!A$3:AM$103,11,FALSE)&lt;&gt;"",IF(VLOOKUP(A53,Schlußkurse!A$5:AU$105,44,FALSE)&gt;0,((VLOOKUP(A53,Aktien_im_Umlauf_splitbereinigt!A$3:AM$103,12,FALSE)-VLOOKUP(A53,Aktien_im_Umlauf_splitbereinigt!A$3:AM$103,11,FALSE))*VLOOKUP(A53,Schlußkurse!A$5:AU$105,44,FALSE))/VLOOKUP(A53,Aktien_im_Umlauf_splitbereinigt!A$3:AM$103,11,FALSE),0),0),0)</f>
        <v>0</v>
      </c>
      <c r="L53" s="97">
        <f>IF(VLOOKUP(A53,Aktien_im_Umlauf_splitbereinigt!A$3:AM$103,13,FALSE)&lt;&gt;"",IF(VLOOKUP(A53,Aktien_im_Umlauf_splitbereinigt!A$3:AM$103,12,FALSE)&lt;&gt;"",IF(VLOOKUP(A53,Schlußkurse!A$5:AU$105,45,FALSE)&gt;0,((VLOOKUP(A53,Aktien_im_Umlauf_splitbereinigt!A$3:AM$103,13,FALSE)-VLOOKUP(A53,Aktien_im_Umlauf_splitbereinigt!A$3:AM$103,12,FALSE))*VLOOKUP(A53,Schlußkurse!A$5:AU$105,45,FALSE))/VLOOKUP(A53,Aktien_im_Umlauf_splitbereinigt!A$3:AM$103,12,FALSE),0),0),0)</f>
        <v>0</v>
      </c>
      <c r="M53" s="97">
        <f>IF(VLOOKUP(A53,Aktien_im_Umlauf_splitbereinigt!A$3:AM$103,14,FALSE)&lt;&gt;"",IF(VLOOKUP(A53,Aktien_im_Umlauf_splitbereinigt!A$3:AM$103,13,FALSE)&lt;&gt;"",IF(VLOOKUP(A53,Schlußkurse!A$5:AU$105,46,FALSE)&gt;0,((VLOOKUP(A53,Aktien_im_Umlauf_splitbereinigt!A$3:AM$103,14,FALSE)-VLOOKUP(A53,Aktien_im_Umlauf_splitbereinigt!A$3:AM$103,13,FALSE))*VLOOKUP(A53,Schlußkurse!A$5:AU$105,46,FALSE))/VLOOKUP(A53,Aktien_im_Umlauf_splitbereinigt!A$3:AM$103,13,FALSE),0),0),0)</f>
        <v>0</v>
      </c>
      <c r="N53" s="13">
        <f>IF(C53&gt;0,IF(VLOOKUP(A53,Dividende_je_Aktie!A$3:AM$103,8,FALSE)&lt;&gt;"",C53+VLOOKUP(A53,Dividende_je_Aktie!A$3:AM$103,8,FALSE),C53),IF(VLOOKUP(A53,Dividende_je_Aktie!A$3:AM$103,8,FALSE)&lt;&gt;"",VLOOKUP(A53,Dividende_je_Aktie!A$3:AM$103,8,FALSE),""))</f>
        <v>786</v>
      </c>
      <c r="O53" s="13">
        <f>IF(D53&gt;0,IF(VLOOKUP(A53,Dividende_je_Aktie!A$3:AM$103,9,FALSE)&lt;&gt;"",D53+VLOOKUP(A53,Dividende_je_Aktie!A$3:AM$103,9,FALSE),D53),IF(VLOOKUP(A53,Dividende_je_Aktie!A$3:AM$103,9,FALSE)&lt;&gt;"",VLOOKUP(A53,Dividende_je_Aktie!A$3:AM$103,9,FALSE),""))</f>
        <v>800</v>
      </c>
      <c r="P53" s="13">
        <f>IF(E53&gt;0,IF(VLOOKUP(A53,Dividende_je_Aktie!A$3:AM$103,10,FALSE)&lt;&gt;"",E53+VLOOKUP(A53,Dividende_je_Aktie!A$3:AM$103,10,FALSE),E53),IF(VLOOKUP(A53,Dividende_je_Aktie!A$3:AM$103,10,FALSE)&lt;&gt;"",VLOOKUP(A53,Dividende_je_Aktie!A$3:AM$103,10,FALSE),""))</f>
        <v>725</v>
      </c>
      <c r="Q53" s="13">
        <f>IF(F53&gt;0,IF(VLOOKUP(A53,Dividende_je_Aktie!A$3:AM$103,11,FALSE)&lt;&gt;"",F53+VLOOKUP(A53,Dividende_je_Aktie!A$3:AM$103,11,FALSE),F53),IF(VLOOKUP(A53,Dividende_je_Aktie!A$3:AM$103,11,FALSE)&lt;&gt;"",VLOOKUP(A53,Dividende_je_Aktie!A$3:AM$103,11,FALSE),""))</f>
        <v>650</v>
      </c>
      <c r="R53" s="13">
        <f>IF(G53&gt;0,IF(VLOOKUP(A53,Dividende_je_Aktie!A$3:AM$103,12,FALSE)&lt;&gt;"",G53+VLOOKUP(A53,Dividende_je_Aktie!A$3:AM$103,12,FALSE),G53),IF(VLOOKUP(A53,Dividende_je_Aktie!A$3:AM$103,12,FALSE)&lt;&gt;"",VLOOKUP(A53,Dividende_je_Aktie!A$3:AM$103,12,FALSE),""))</f>
        <v>575</v>
      </c>
      <c r="S53" s="13">
        <f>IF(H53&gt;0,IF(VLOOKUP(A53,Dividende_je_Aktie!A$3:AM$103,13,FALSE)&lt;&gt;"",H53+VLOOKUP(A53,Dividende_je_Aktie!A$3:AM$103,13,FALSE),H53),IF(VLOOKUP(A53,Dividende_je_Aktie!A$3:AM$103,13,FALSE)&lt;&gt;"",VLOOKUP(A53,Dividende_je_Aktie!A$3:AM$103,13,FALSE),""))</f>
        <v>500</v>
      </c>
      <c r="T53" s="13">
        <f>IF(I53&gt;0,IF(VLOOKUP(A53,Dividende_je_Aktie!A$3:AM$103,14,FALSE)&lt;&gt;"",I53+VLOOKUP(A53,Dividende_je_Aktie!A$3:AM$103,14,FALSE),I53),IF(VLOOKUP(A53,Dividende_je_Aktie!A$3:AM$103,14,FALSE)&lt;&gt;"",VLOOKUP(A53,Dividende_je_Aktie!A$3:AM$103,14,FALSE),""))</f>
        <v>450</v>
      </c>
      <c r="U53" s="13">
        <f>IF(J53&gt;0,IF(VLOOKUP(A53,Dividende_je_Aktie!A$3:AM$103,15,FALSE)&lt;&gt;"",J53+VLOOKUP(A53,Dividende_je_Aktie!A$3:AM$103,15,FALSE),J53),IF(VLOOKUP(A53,Dividende_je_Aktie!A$3:AM$103,15,FALSE)&lt;&gt;"",VLOOKUP(A53,Dividende_je_Aktie!A$3:AM$103,15,FALSE),""))</f>
        <v>400</v>
      </c>
      <c r="V53" s="13">
        <f>IF(K53&gt;0,IF(VLOOKUP(A53,Dividende_je_Aktie!A$3:AM$103,16,FALSE)&lt;&gt;"",K53+VLOOKUP(A53,Dividende_je_Aktie!A$3:AM$103,16,FALSE),K53),IF(VLOOKUP(A53,Dividende_je_Aktie!A$3:AM$103,16,FALSE)&lt;&gt;"",VLOOKUP(A53,Dividende_je_Aktie!A$3:AM$103,16,FALSE),""))</f>
        <v>360</v>
      </c>
      <c r="W53" s="13">
        <f>IF(L53&gt;0,IF(VLOOKUP(A53,Dividende_je_Aktie!A$3:AM$103,17,FALSE)&lt;&gt;"",L53+VLOOKUP(A53,Dividende_je_Aktie!A$3:AM$103,17,FALSE),L53),IF(VLOOKUP(A53,Dividende_je_Aktie!A$3:AM$103,17,FALSE)&lt;&gt;"",VLOOKUP(A53,Dividende_je_Aktie!A$3:AM$103,17,FALSE),""))</f>
        <v>330</v>
      </c>
      <c r="X53" s="13">
        <f>IF(M53&gt;0,IF(VLOOKUP(A53,Dividende_je_Aktie!A$3:AM$103,18,FALSE)&lt;&gt;"",M53+VLOOKUP(A53,Dividende_je_Aktie!A$3:AM$103,18,FALSE),M53),IF(VLOOKUP(A53,Dividende_je_Aktie!A$3:AM$103,18,FALSE)&lt;&gt;"",VLOOKUP(A53,Dividende_je_Aktie!A$3:AM$103,18,FALSE),""))</f>
        <v>275</v>
      </c>
    </row>
    <row r="54" spans="1:24">
      <c r="A54" t="s">
        <v>79</v>
      </c>
      <c r="B54" t="s">
        <v>80</v>
      </c>
      <c r="C54" s="13">
        <f>IF(VLOOKUP(A54,Aktien_im_Umlauf_splitbereinigt!A$3:AM$103,4,FALSE)&lt;&gt;"",IF(VLOOKUP(A54,Aktien_im_Umlauf_splitbereinigt!A$3:AM$103,3,FALSE)&lt;&gt;"",IF(VLOOKUP(A54,Schlußkurse!A$5:AU$105,36,FALSE)&gt;0,((VLOOKUP(A54,Aktien_im_Umlauf_splitbereinigt!A$3:AM$103,4,FALSE)-VLOOKUP(A54,Aktien_im_Umlauf_splitbereinigt!A$3:AM$103,3,FALSE))*VLOOKUP(A54,Schlußkurse!A$5:AU$105,36,FALSE))/VLOOKUP(A54,Aktien_im_Umlauf_splitbereinigt!A$3:AM$103,3,FALSE),0),0),0)</f>
        <v>0</v>
      </c>
      <c r="D54" s="97">
        <f>IF(VLOOKUP(A54,Aktien_im_Umlauf_splitbereinigt!A$3:AM$103,5,FALSE)&lt;&gt;"",IF(VLOOKUP(A54,Aktien_im_Umlauf_splitbereinigt!A$3:AM$103,4,FALSE)&lt;&gt;"",IF(VLOOKUP(A54,Schlußkurse!A$5:AU$105,37,FALSE)&gt;0,((VLOOKUP(A54,Aktien_im_Umlauf_splitbereinigt!A$3:AM$103,5,FALSE)-VLOOKUP(A54,Aktien_im_Umlauf_splitbereinigt!A$3:AM$103,4,FALSE))*VLOOKUP(A54,Schlußkurse!A$5:AU$105,37,FALSE))/VLOOKUP(A54,Aktien_im_Umlauf_splitbereinigt!A$3:AM$103,4,FALSE),0),0),0)</f>
        <v>0</v>
      </c>
      <c r="E54" s="97">
        <f>IF(VLOOKUP(A54,Aktien_im_Umlauf_splitbereinigt!A$3:AM$103,6,FALSE)&lt;&gt;"",IF(VLOOKUP(A54,Aktien_im_Umlauf_splitbereinigt!A$3:AM$103,5,FALSE)&lt;&gt;"",IF(VLOOKUP(A54,Schlußkurse!A$5:AU$105,38,FALSE)&gt;0,((VLOOKUP(A54,Aktien_im_Umlauf_splitbereinigt!A$3:AM$103,6,FALSE)-VLOOKUP(A54,Aktien_im_Umlauf_splitbereinigt!A$3:AM$103,5,FALSE))*VLOOKUP(A54,Schlußkurse!A$5:AU$105,38,FALSE))/VLOOKUP(A54,Aktien_im_Umlauf_splitbereinigt!A$3:AM$103,5,FALSE),0),0),0)</f>
        <v>0</v>
      </c>
      <c r="F54" s="97">
        <f>IF(VLOOKUP(A54,Aktien_im_Umlauf_splitbereinigt!A$3:AM$103,7,FALSE)&lt;&gt;"",IF(VLOOKUP(A54,Aktien_im_Umlauf_splitbereinigt!A$3:AM$103,6,FALSE)&lt;&gt;"",IF(VLOOKUP(A54,Schlußkurse!A$5:AU$105,39,FALSE)&gt;0,((VLOOKUP(A54,Aktien_im_Umlauf_splitbereinigt!A$3:AM$103,7,FALSE)-VLOOKUP(A54,Aktien_im_Umlauf_splitbereinigt!A$3:AM$103,6,FALSE))*VLOOKUP(A54,Schlußkurse!A$5:AU$105,39,FALSE))/VLOOKUP(A54,Aktien_im_Umlauf_splitbereinigt!A$3:AM$103,6,FALSE),0),0),0)</f>
        <v>0</v>
      </c>
      <c r="G54" s="97">
        <f>IF(VLOOKUP(A54,Aktien_im_Umlauf_splitbereinigt!A$3:AM$103,8,FALSE)&lt;&gt;"",IF(VLOOKUP(A54,Aktien_im_Umlauf_splitbereinigt!A$3:AM$103,7,FALSE)&lt;&gt;"",IF(VLOOKUP(A54,Schlußkurse!A$5:AU$105,40,FALSE)&gt;0,((VLOOKUP(A54,Aktien_im_Umlauf_splitbereinigt!A$3:AM$103,8,FALSE)-VLOOKUP(A54,Aktien_im_Umlauf_splitbereinigt!A$3:AM$103,7,FALSE))*VLOOKUP(A54,Schlußkurse!A$5:AU$105,40,FALSE))/VLOOKUP(A54,Aktien_im_Umlauf_splitbereinigt!A$3:AM$103,7,FALSE),0),0),0)</f>
        <v>5.6808840990073819E-3</v>
      </c>
      <c r="H54" s="97">
        <f>IF(VLOOKUP(A54,Aktien_im_Umlauf_splitbereinigt!A$3:AM$103,9,FALSE)&lt;&gt;"",IF(VLOOKUP(A54,Aktien_im_Umlauf_splitbereinigt!A$3:AM$103,8,FALSE)&lt;&gt;"",IF(VLOOKUP(A54,Schlußkurse!A$5:AU$105,41,FALSE)&gt;0,((VLOOKUP(A54,Aktien_im_Umlauf_splitbereinigt!A$3:AM$103,9,FALSE)-VLOOKUP(A54,Aktien_im_Umlauf_splitbereinigt!A$3:AM$103,8,FALSE))*VLOOKUP(A54,Schlußkurse!A$5:AU$105,41,FALSE))/VLOOKUP(A54,Aktien_im_Umlauf_splitbereinigt!A$3:AM$103,8,FALSE),0),0),0)</f>
        <v>0</v>
      </c>
      <c r="I54" s="97">
        <f>IF(VLOOKUP(A54,Aktien_im_Umlauf_splitbereinigt!A$3:AM$103,10,FALSE)&lt;&gt;"",IF(VLOOKUP(A54,Aktien_im_Umlauf_splitbereinigt!A$3:AM$103,9,FALSE)&lt;&gt;"",IF(VLOOKUP(A54,Schlußkurse!A$5:AU$105,42,FALSE)&gt;0,((VLOOKUP(A54,Aktien_im_Umlauf_splitbereinigt!A$3:AM$103,10,FALSE)-VLOOKUP(A54,Aktien_im_Umlauf_splitbereinigt!A$3:AM$103,9,FALSE))*VLOOKUP(A54,Schlußkurse!A$5:AU$105,42,FALSE))/VLOOKUP(A54,Aktien_im_Umlauf_splitbereinigt!A$3:AM$103,9,FALSE),0),0),0)</f>
        <v>0</v>
      </c>
      <c r="J54" s="97">
        <f>IF(VLOOKUP(A54,Aktien_im_Umlauf_splitbereinigt!A$3:AM$103,11,FALSE)&lt;&gt;"",IF(VLOOKUP(A54,Aktien_im_Umlauf_splitbereinigt!A$3:AM$103,10,FALSE)&lt;&gt;"",IF(VLOOKUP(A54,Schlußkurse!A$5:AU$105,43,FALSE)&gt;0,((VLOOKUP(A54,Aktien_im_Umlauf_splitbereinigt!A$3:AM$103,11,FALSE)-VLOOKUP(A54,Aktien_im_Umlauf_splitbereinigt!A$3:AM$103,10,FALSE))*VLOOKUP(A54,Schlußkurse!A$5:AU$105,43,FALSE))/VLOOKUP(A54,Aktien_im_Umlauf_splitbereinigt!A$3:AM$103,10,FALSE),0),0),0)</f>
        <v>0</v>
      </c>
      <c r="K54" s="97">
        <f>IF(VLOOKUP(A54,Aktien_im_Umlauf_splitbereinigt!A$3:AM$103,12,FALSE)&lt;&gt;"",IF(VLOOKUP(A54,Aktien_im_Umlauf_splitbereinigt!A$3:AM$103,11,FALSE)&lt;&gt;"",IF(VLOOKUP(A54,Schlußkurse!A$5:AU$105,44,FALSE)&gt;0,((VLOOKUP(A54,Aktien_im_Umlauf_splitbereinigt!A$3:AM$103,12,FALSE)-VLOOKUP(A54,Aktien_im_Umlauf_splitbereinigt!A$3:AM$103,11,FALSE))*VLOOKUP(A54,Schlußkurse!A$5:AU$105,44,FALSE))/VLOOKUP(A54,Aktien_im_Umlauf_splitbereinigt!A$3:AM$103,11,FALSE),0),0),0)</f>
        <v>0</v>
      </c>
      <c r="L54" s="97">
        <f>IF(VLOOKUP(A54,Aktien_im_Umlauf_splitbereinigt!A$3:AM$103,13,FALSE)&lt;&gt;"",IF(VLOOKUP(A54,Aktien_im_Umlauf_splitbereinigt!A$3:AM$103,12,FALSE)&lt;&gt;"",IF(VLOOKUP(A54,Schlußkurse!A$5:AU$105,45,FALSE)&gt;0,((VLOOKUP(A54,Aktien_im_Umlauf_splitbereinigt!A$3:AM$103,13,FALSE)-VLOOKUP(A54,Aktien_im_Umlauf_splitbereinigt!A$3:AM$103,12,FALSE))*VLOOKUP(A54,Schlußkurse!A$5:AU$105,45,FALSE))/VLOOKUP(A54,Aktien_im_Umlauf_splitbereinigt!A$3:AM$103,12,FALSE),0),0),0)</f>
        <v>0</v>
      </c>
      <c r="M54" s="97">
        <f>IF(VLOOKUP(A54,Aktien_im_Umlauf_splitbereinigt!A$3:AM$103,14,FALSE)&lt;&gt;"",IF(VLOOKUP(A54,Aktien_im_Umlauf_splitbereinigt!A$3:AM$103,13,FALSE)&lt;&gt;"",IF(VLOOKUP(A54,Schlußkurse!A$5:AU$105,46,FALSE)&gt;0,((VLOOKUP(A54,Aktien_im_Umlauf_splitbereinigt!A$3:AM$103,14,FALSE)-VLOOKUP(A54,Aktien_im_Umlauf_splitbereinigt!A$3:AM$103,13,FALSE))*VLOOKUP(A54,Schlußkurse!A$5:AU$105,46,FALSE))/VLOOKUP(A54,Aktien_im_Umlauf_splitbereinigt!A$3:AM$103,13,FALSE),0),0),0)</f>
        <v>0</v>
      </c>
      <c r="N54" s="13">
        <f>IF(C54&gt;0,IF(VLOOKUP(A54,Dividende_je_Aktie!A$3:AM$103,8,FALSE)&lt;&gt;"",C54+VLOOKUP(A54,Dividende_je_Aktie!A$3:AM$103,8,FALSE),C54),IF(VLOOKUP(A54,Dividende_je_Aktie!A$3:AM$103,8,FALSE)&lt;&gt;"",VLOOKUP(A54,Dividende_je_Aktie!A$3:AM$103,8,FALSE),""))</f>
        <v>1.57</v>
      </c>
      <c r="O54" s="13">
        <f>IF(D54&gt;0,IF(VLOOKUP(A54,Dividende_je_Aktie!A$3:AM$103,9,FALSE)&lt;&gt;"",D54+VLOOKUP(A54,Dividende_je_Aktie!A$3:AM$103,9,FALSE),D54),IF(VLOOKUP(A54,Dividende_je_Aktie!A$3:AM$103,9,FALSE)&lt;&gt;"",VLOOKUP(A54,Dividende_je_Aktie!A$3:AM$103,9,FALSE),""))</f>
        <v>1.47</v>
      </c>
      <c r="P54" s="13">
        <f>IF(E54&gt;0,IF(VLOOKUP(A54,Dividende_je_Aktie!A$3:AM$103,10,FALSE)&lt;&gt;"",E54+VLOOKUP(A54,Dividende_je_Aktie!A$3:AM$103,10,FALSE),E54),IF(VLOOKUP(A54,Dividende_je_Aktie!A$3:AM$103,10,FALSE)&lt;&gt;"",VLOOKUP(A54,Dividende_je_Aktie!A$3:AM$103,10,FALSE),""))</f>
        <v>1.31</v>
      </c>
      <c r="Q54" s="13">
        <f>IF(F54&gt;0,IF(VLOOKUP(A54,Dividende_je_Aktie!A$3:AM$103,11,FALSE)&lt;&gt;"",F54+VLOOKUP(A54,Dividende_je_Aktie!A$3:AM$103,11,FALSE),F54),IF(VLOOKUP(A54,Dividende_je_Aktie!A$3:AM$103,11,FALSE)&lt;&gt;"",VLOOKUP(A54,Dividende_je_Aktie!A$3:AM$103,11,FALSE),""))</f>
        <v>1.22</v>
      </c>
      <c r="R54" s="13">
        <f>IF(G54&gt;0,IF(VLOOKUP(A54,Dividende_je_Aktie!A$3:AM$103,12,FALSE)&lt;&gt;"",G54+VLOOKUP(A54,Dividende_je_Aktie!A$3:AM$103,12,FALSE),G54),IF(VLOOKUP(A54,Dividende_je_Aktie!A$3:AM$103,12,FALSE)&lt;&gt;"",VLOOKUP(A54,Dividende_je_Aktie!A$3:AM$103,12,FALSE),""))</f>
        <v>0.95568088409900731</v>
      </c>
      <c r="S54" s="13">
        <f>IF(H54&gt;0,IF(VLOOKUP(A54,Dividende_je_Aktie!A$3:AM$103,13,FALSE)&lt;&gt;"",H54+VLOOKUP(A54,Dividende_je_Aktie!A$3:AM$103,13,FALSE),H54),IF(VLOOKUP(A54,Dividende_je_Aktie!A$3:AM$103,13,FALSE)&lt;&gt;"",VLOOKUP(A54,Dividende_je_Aktie!A$3:AM$103,13,FALSE),""))</f>
        <v>0.8</v>
      </c>
      <c r="T54" s="13">
        <f>IF(I54&gt;0,IF(VLOOKUP(A54,Dividende_je_Aktie!A$3:AM$103,14,FALSE)&lt;&gt;"",I54+VLOOKUP(A54,Dividende_je_Aktie!A$3:AM$103,14,FALSE),I54),IF(VLOOKUP(A54,Dividende_je_Aktie!A$3:AM$103,14,FALSE)&lt;&gt;"",VLOOKUP(A54,Dividende_je_Aktie!A$3:AM$103,14,FALSE),""))</f>
        <v>0.72</v>
      </c>
      <c r="U54" s="13">
        <f>IF(J54&gt;0,IF(VLOOKUP(A54,Dividende_je_Aktie!A$3:AM$103,15,FALSE)&lt;&gt;"",J54+VLOOKUP(A54,Dividende_je_Aktie!A$3:AM$103,15,FALSE),J54),IF(VLOOKUP(A54,Dividende_je_Aktie!A$3:AM$103,15,FALSE)&lt;&gt;"",VLOOKUP(A54,Dividende_je_Aktie!A$3:AM$103,15,FALSE),""))</f>
        <v>0.53</v>
      </c>
      <c r="V54" s="13">
        <f>IF(K54&gt;0,IF(VLOOKUP(A54,Dividende_je_Aktie!A$3:AM$103,16,FALSE)&lt;&gt;"",K54+VLOOKUP(A54,Dividende_je_Aktie!A$3:AM$103,16,FALSE),K54),IF(VLOOKUP(A54,Dividende_je_Aktie!A$3:AM$103,16,FALSE)&lt;&gt;"",VLOOKUP(A54,Dividende_je_Aktie!A$3:AM$103,16,FALSE),""))</f>
        <v>0.53</v>
      </c>
      <c r="W54" s="13">
        <f>IF(L54&gt;0,IF(VLOOKUP(A54,Dividende_je_Aktie!A$3:AM$103,17,FALSE)&lt;&gt;"",L54+VLOOKUP(A54,Dividende_je_Aktie!A$3:AM$103,17,FALSE),L54),IF(VLOOKUP(A54,Dividende_je_Aktie!A$3:AM$103,17,FALSE)&lt;&gt;"",VLOOKUP(A54,Dividende_je_Aktie!A$3:AM$103,17,FALSE),""))</f>
        <v>0.53</v>
      </c>
      <c r="X54" s="13">
        <f>IF(M54&gt;0,IF(VLOOKUP(A54,Dividende_je_Aktie!A$3:AM$103,18,FALSE)&lt;&gt;"",M54+VLOOKUP(A54,Dividende_je_Aktie!A$3:AM$103,18,FALSE),M54),IF(VLOOKUP(A54,Dividende_je_Aktie!A$3:AM$103,18,FALSE)&lt;&gt;"",VLOOKUP(A54,Dividende_je_Aktie!A$3:AM$103,18,FALSE),""))</f>
        <v>0.5</v>
      </c>
    </row>
    <row r="55" spans="1:24">
      <c r="A55" s="52" t="s">
        <v>266</v>
      </c>
      <c r="B55" s="52" t="s">
        <v>270</v>
      </c>
      <c r="C55" s="13">
        <f>IF(VLOOKUP(A55,Aktien_im_Umlauf_splitbereinigt!A$3:AM$103,4,FALSE)&lt;&gt;"",IF(VLOOKUP(A55,Aktien_im_Umlauf_splitbereinigt!A$3:AM$103,3,FALSE)&lt;&gt;"",IF(VLOOKUP(A55,Schlußkurse!A$5:AU$105,36,FALSE)&gt;0,((VLOOKUP(A55,Aktien_im_Umlauf_splitbereinigt!A$3:AM$103,4,FALSE)-VLOOKUP(A55,Aktien_im_Umlauf_splitbereinigt!A$3:AM$103,3,FALSE))*VLOOKUP(A55,Schlußkurse!A$5:AU$105,36,FALSE))/VLOOKUP(A55,Aktien_im_Umlauf_splitbereinigt!A$3:AM$103,3,FALSE),0),0),0)</f>
        <v>0</v>
      </c>
      <c r="D55" s="97">
        <f>IF(VLOOKUP(A55,Aktien_im_Umlauf_splitbereinigt!A$3:AM$103,5,FALSE)&lt;&gt;"",IF(VLOOKUP(A55,Aktien_im_Umlauf_splitbereinigt!A$3:AM$103,4,FALSE)&lt;&gt;"",IF(VLOOKUP(A55,Schlußkurse!A$5:AU$105,37,FALSE)&gt;0,((VLOOKUP(A55,Aktien_im_Umlauf_splitbereinigt!A$3:AM$103,5,FALSE)-VLOOKUP(A55,Aktien_im_Umlauf_splitbereinigt!A$3:AM$103,4,FALSE))*VLOOKUP(A55,Schlußkurse!A$5:AU$105,37,FALSE))/VLOOKUP(A55,Aktien_im_Umlauf_splitbereinigt!A$3:AM$103,4,FALSE),0),0),0)</f>
        <v>0</v>
      </c>
      <c r="E55" s="97">
        <f>IF(VLOOKUP(A55,Aktien_im_Umlauf_splitbereinigt!A$3:AM$103,6,FALSE)&lt;&gt;"",IF(VLOOKUP(A55,Aktien_im_Umlauf_splitbereinigt!A$3:AM$103,5,FALSE)&lt;&gt;"",IF(VLOOKUP(A55,Schlußkurse!A$5:AU$105,38,FALSE)&gt;0,((VLOOKUP(A55,Aktien_im_Umlauf_splitbereinigt!A$3:AM$103,6,FALSE)-VLOOKUP(A55,Aktien_im_Umlauf_splitbereinigt!A$3:AM$103,5,FALSE))*VLOOKUP(A55,Schlußkurse!A$5:AU$105,38,FALSE))/VLOOKUP(A55,Aktien_im_Umlauf_splitbereinigt!A$3:AM$103,5,FALSE),0),0),0)</f>
        <v>-6.6418995315767754E-2</v>
      </c>
      <c r="F55" s="97">
        <f>IF(VLOOKUP(A55,Aktien_im_Umlauf_splitbereinigt!A$3:AM$103,7,FALSE)&lt;&gt;"",IF(VLOOKUP(A55,Aktien_im_Umlauf_splitbereinigt!A$3:AM$103,6,FALSE)&lt;&gt;"",IF(VLOOKUP(A55,Schlußkurse!A$5:AU$105,39,FALSE)&gt;0,((VLOOKUP(A55,Aktien_im_Umlauf_splitbereinigt!A$3:AM$103,7,FALSE)-VLOOKUP(A55,Aktien_im_Umlauf_splitbereinigt!A$3:AM$103,6,FALSE))*VLOOKUP(A55,Schlußkurse!A$5:AU$105,39,FALSE))/VLOOKUP(A55,Aktien_im_Umlauf_splitbereinigt!A$3:AM$103,6,FALSE),0),0),0)</f>
        <v>-0.34398599515218115</v>
      </c>
      <c r="G55" s="97">
        <f>IF(VLOOKUP(A55,Aktien_im_Umlauf_splitbereinigt!A$3:AM$103,8,FALSE)&lt;&gt;"",IF(VLOOKUP(A55,Aktien_im_Umlauf_splitbereinigt!A$3:AM$103,7,FALSE)&lt;&gt;"",IF(VLOOKUP(A55,Schlußkurse!A$5:AU$105,40,FALSE)&gt;0,((VLOOKUP(A55,Aktien_im_Umlauf_splitbereinigt!A$3:AM$103,8,FALSE)-VLOOKUP(A55,Aktien_im_Umlauf_splitbereinigt!A$3:AM$103,7,FALSE))*VLOOKUP(A55,Schlußkurse!A$5:AU$105,40,FALSE))/VLOOKUP(A55,Aktien_im_Umlauf_splitbereinigt!A$3:AM$103,7,FALSE),0),0),0)</f>
        <v>0</v>
      </c>
      <c r="H55" s="97">
        <f>IF(VLOOKUP(A55,Aktien_im_Umlauf_splitbereinigt!A$3:AM$103,9,FALSE)&lt;&gt;"",IF(VLOOKUP(A55,Aktien_im_Umlauf_splitbereinigt!A$3:AM$103,8,FALSE)&lt;&gt;"",IF(VLOOKUP(A55,Schlußkurse!A$5:AU$105,41,FALSE)&gt;0,((VLOOKUP(A55,Aktien_im_Umlauf_splitbereinigt!A$3:AM$103,9,FALSE)-VLOOKUP(A55,Aktien_im_Umlauf_splitbereinigt!A$3:AM$103,8,FALSE))*VLOOKUP(A55,Schlußkurse!A$5:AU$105,41,FALSE))/VLOOKUP(A55,Aktien_im_Umlauf_splitbereinigt!A$3:AM$103,8,FALSE),0),0),0)</f>
        <v>0</v>
      </c>
      <c r="I55" s="97">
        <f>IF(VLOOKUP(A55,Aktien_im_Umlauf_splitbereinigt!A$3:AM$103,10,FALSE)&lt;&gt;"",IF(VLOOKUP(A55,Aktien_im_Umlauf_splitbereinigt!A$3:AM$103,9,FALSE)&lt;&gt;"",IF(VLOOKUP(A55,Schlußkurse!A$5:AU$105,42,FALSE)&gt;0,((VLOOKUP(A55,Aktien_im_Umlauf_splitbereinigt!A$3:AM$103,10,FALSE)-VLOOKUP(A55,Aktien_im_Umlauf_splitbereinigt!A$3:AM$103,9,FALSE))*VLOOKUP(A55,Schlußkurse!A$5:AU$105,42,FALSE))/VLOOKUP(A55,Aktien_im_Umlauf_splitbereinigt!A$3:AM$103,9,FALSE),0),0),0)</f>
        <v>0</v>
      </c>
      <c r="J55" s="97">
        <f>IF(VLOOKUP(A55,Aktien_im_Umlauf_splitbereinigt!A$3:AM$103,11,FALSE)&lt;&gt;"",IF(VLOOKUP(A55,Aktien_im_Umlauf_splitbereinigt!A$3:AM$103,10,FALSE)&lt;&gt;"",IF(VLOOKUP(A55,Schlußkurse!A$5:AU$105,43,FALSE)&gt;0,((VLOOKUP(A55,Aktien_im_Umlauf_splitbereinigt!A$3:AM$103,11,FALSE)-VLOOKUP(A55,Aktien_im_Umlauf_splitbereinigt!A$3:AM$103,10,FALSE))*VLOOKUP(A55,Schlußkurse!A$5:AU$105,43,FALSE))/VLOOKUP(A55,Aktien_im_Umlauf_splitbereinigt!A$3:AM$103,10,FALSE),0),0),0)</f>
        <v>0</v>
      </c>
      <c r="K55" s="97">
        <f>IF(VLOOKUP(A55,Aktien_im_Umlauf_splitbereinigt!A$3:AM$103,12,FALSE)&lt;&gt;"",IF(VLOOKUP(A55,Aktien_im_Umlauf_splitbereinigt!A$3:AM$103,11,FALSE)&lt;&gt;"",IF(VLOOKUP(A55,Schlußkurse!A$5:AU$105,44,FALSE)&gt;0,((VLOOKUP(A55,Aktien_im_Umlauf_splitbereinigt!A$3:AM$103,12,FALSE)-VLOOKUP(A55,Aktien_im_Umlauf_splitbereinigt!A$3:AM$103,11,FALSE))*VLOOKUP(A55,Schlußkurse!A$5:AU$105,44,FALSE))/VLOOKUP(A55,Aktien_im_Umlauf_splitbereinigt!A$3:AM$103,11,FALSE),0),0),0)</f>
        <v>0</v>
      </c>
      <c r="L55" s="97">
        <f>IF(VLOOKUP(A55,Aktien_im_Umlauf_splitbereinigt!A$3:AM$103,13,FALSE)&lt;&gt;"",IF(VLOOKUP(A55,Aktien_im_Umlauf_splitbereinigt!A$3:AM$103,12,FALSE)&lt;&gt;"",IF(VLOOKUP(A55,Schlußkurse!A$5:AU$105,45,FALSE)&gt;0,((VLOOKUP(A55,Aktien_im_Umlauf_splitbereinigt!A$3:AM$103,13,FALSE)-VLOOKUP(A55,Aktien_im_Umlauf_splitbereinigt!A$3:AM$103,12,FALSE))*VLOOKUP(A55,Schlußkurse!A$5:AU$105,45,FALSE))/VLOOKUP(A55,Aktien_im_Umlauf_splitbereinigt!A$3:AM$103,12,FALSE),0),0),0)</f>
        <v>0</v>
      </c>
      <c r="M55" s="97">
        <f>IF(VLOOKUP(A55,Aktien_im_Umlauf_splitbereinigt!A$3:AM$103,14,FALSE)&lt;&gt;"",IF(VLOOKUP(A55,Aktien_im_Umlauf_splitbereinigt!A$3:AM$103,13,FALSE)&lt;&gt;"",IF(VLOOKUP(A55,Schlußkurse!A$5:AU$105,46,FALSE)&gt;0,((VLOOKUP(A55,Aktien_im_Umlauf_splitbereinigt!A$3:AM$103,14,FALSE)-VLOOKUP(A55,Aktien_im_Umlauf_splitbereinigt!A$3:AM$103,13,FALSE))*VLOOKUP(A55,Schlußkurse!A$5:AU$105,46,FALSE))/VLOOKUP(A55,Aktien_im_Umlauf_splitbereinigt!A$3:AM$103,13,FALSE),0),0),0)</f>
        <v>0</v>
      </c>
      <c r="N55" s="13">
        <f>IF(C55&gt;0,IF(VLOOKUP(A55,Dividende_je_Aktie!A$3:AM$103,8,FALSE)&lt;&gt;"",C55+VLOOKUP(A55,Dividende_je_Aktie!A$3:AM$103,8,FALSE),C55),IF(VLOOKUP(A55,Dividende_je_Aktie!A$3:AM$103,8,FALSE)&lt;&gt;"",VLOOKUP(A55,Dividende_je_Aktie!A$3:AM$103,8,FALSE),""))</f>
        <v>3.55</v>
      </c>
      <c r="O55" s="13">
        <f>IF(D55&gt;0,IF(VLOOKUP(A55,Dividende_je_Aktie!A$3:AM$103,9,FALSE)&lt;&gt;"",D55+VLOOKUP(A55,Dividende_je_Aktie!A$3:AM$103,9,FALSE),D55),IF(VLOOKUP(A55,Dividende_je_Aktie!A$3:AM$103,9,FALSE)&lt;&gt;"",VLOOKUP(A55,Dividende_je_Aktie!A$3:AM$103,9,FALSE),""))</f>
        <v>3.45</v>
      </c>
      <c r="P55" s="13">
        <f>IF(E55&gt;0,IF(VLOOKUP(A55,Dividende_je_Aktie!A$3:AM$103,10,FALSE)&lt;&gt;"",E55+VLOOKUP(A55,Dividende_je_Aktie!A$3:AM$103,10,FALSE),E55),IF(VLOOKUP(A55,Dividende_je_Aktie!A$3:AM$103,10,FALSE)&lt;&gt;"",VLOOKUP(A55,Dividende_je_Aktie!A$3:AM$103,10,FALSE),""))</f>
        <v>3.15</v>
      </c>
      <c r="Q55" s="13">
        <f>IF(F55&gt;0,IF(VLOOKUP(A55,Dividende_je_Aktie!A$3:AM$103,11,FALSE)&lt;&gt;"",F55+VLOOKUP(A55,Dividende_je_Aktie!A$3:AM$103,11,FALSE),F55),IF(VLOOKUP(A55,Dividende_je_Aktie!A$3:AM$103,11,FALSE)&lt;&gt;"",VLOOKUP(A55,Dividende_je_Aktie!A$3:AM$103,11,FALSE),""))</f>
        <v>3</v>
      </c>
      <c r="R55" s="13">
        <f>IF(G55&gt;0,IF(VLOOKUP(A55,Dividende_je_Aktie!A$3:AM$103,12,FALSE)&lt;&gt;"",G55+VLOOKUP(A55,Dividende_je_Aktie!A$3:AM$103,12,FALSE),G55),IF(VLOOKUP(A55,Dividende_je_Aktie!A$3:AM$103,12,FALSE)&lt;&gt;"",VLOOKUP(A55,Dividende_je_Aktie!A$3:AM$103,12,FALSE),""))</f>
        <v>2.7</v>
      </c>
      <c r="S55" s="13">
        <f>IF(H55&gt;0,IF(VLOOKUP(A55,Dividende_je_Aktie!A$3:AM$103,13,FALSE)&lt;&gt;"",H55+VLOOKUP(A55,Dividende_je_Aktie!A$3:AM$103,13,FALSE),H55),IF(VLOOKUP(A55,Dividende_je_Aktie!A$3:AM$103,13,FALSE)&lt;&gt;"",VLOOKUP(A55,Dividende_je_Aktie!A$3:AM$103,13,FALSE),""))</f>
        <v>2.5</v>
      </c>
      <c r="T55" s="13">
        <f>IF(I55&gt;0,IF(VLOOKUP(A55,Dividende_je_Aktie!A$3:AM$103,14,FALSE)&lt;&gt;"",I55+VLOOKUP(A55,Dividende_je_Aktie!A$3:AM$103,14,FALSE),I55),IF(VLOOKUP(A55,Dividende_je_Aktie!A$3:AM$103,14,FALSE)&lt;&gt;"",VLOOKUP(A55,Dividende_je_Aktie!A$3:AM$103,14,FALSE),""))</f>
        <v>2.2000000000000002</v>
      </c>
      <c r="U55" s="13">
        <f>IF(J55&gt;0,IF(VLOOKUP(A55,Dividende_je_Aktie!A$3:AM$103,15,FALSE)&lt;&gt;"",J55+VLOOKUP(A55,Dividende_je_Aktie!A$3:AM$103,15,FALSE),J55),IF(VLOOKUP(A55,Dividende_je_Aktie!A$3:AM$103,15,FALSE)&lt;&gt;"",VLOOKUP(A55,Dividende_je_Aktie!A$3:AM$103,15,FALSE),""))</f>
        <v>1.8</v>
      </c>
      <c r="V55" s="13">
        <f>IF(K55&gt;0,IF(VLOOKUP(A55,Dividende_je_Aktie!A$3:AM$103,16,FALSE)&lt;&gt;"",K55+VLOOKUP(A55,Dividende_je_Aktie!A$3:AM$103,16,FALSE),K55),IF(VLOOKUP(A55,Dividende_je_Aktie!A$3:AM$103,16,FALSE)&lt;&gt;"",VLOOKUP(A55,Dividende_je_Aktie!A$3:AM$103,16,FALSE),""))</f>
        <v>1.8</v>
      </c>
      <c r="W55" s="13">
        <f>IF(L55&gt;0,IF(VLOOKUP(A55,Dividende_je_Aktie!A$3:AM$103,17,FALSE)&lt;&gt;"",L55+VLOOKUP(A55,Dividende_je_Aktie!A$3:AM$103,17,FALSE),L55),IF(VLOOKUP(A55,Dividende_je_Aktie!A$3:AM$103,17,FALSE)&lt;&gt;"",VLOOKUP(A55,Dividende_je_Aktie!A$3:AM$103,17,FALSE),""))</f>
        <v>1.7</v>
      </c>
      <c r="X55" s="13">
        <f>IF(M55&gt;0,IF(VLOOKUP(A55,Dividende_je_Aktie!A$3:AM$103,18,FALSE)&lt;&gt;"",M55+VLOOKUP(A55,Dividende_je_Aktie!A$3:AM$103,18,FALSE),M55),IF(VLOOKUP(A55,Dividende_je_Aktie!A$3:AM$103,18,FALSE)&lt;&gt;"",VLOOKUP(A55,Dividende_je_Aktie!A$3:AM$103,18,FALSE),""))</f>
        <v>1.5</v>
      </c>
    </row>
    <row r="56" spans="1:24">
      <c r="A56" s="52" t="s">
        <v>320</v>
      </c>
      <c r="B56" s="52" t="s">
        <v>321</v>
      </c>
      <c r="C56" s="13">
        <f>IF(VLOOKUP(A56,Aktien_im_Umlauf_splitbereinigt!A$3:AM$103,4,FALSE)&lt;&gt;"",IF(VLOOKUP(A56,Aktien_im_Umlauf_splitbereinigt!A$3:AM$103,3,FALSE)&lt;&gt;"",IF(VLOOKUP(A56,Schlußkurse!A$5:AU$105,36,FALSE)&gt;0,((VLOOKUP(A56,Aktien_im_Umlauf_splitbereinigt!A$3:AM$103,4,FALSE)-VLOOKUP(A56,Aktien_im_Umlauf_splitbereinigt!A$3:AM$103,3,FALSE))*VLOOKUP(A56,Schlußkurse!A$5:AU$105,36,FALSE))/VLOOKUP(A56,Aktien_im_Umlauf_splitbereinigt!A$3:AM$103,3,FALSE),0),0),0)</f>
        <v>0</v>
      </c>
      <c r="D56" s="97">
        <f>IF(VLOOKUP(A56,Aktien_im_Umlauf_splitbereinigt!A$3:AM$103,5,FALSE)&lt;&gt;"",IF(VLOOKUP(A56,Aktien_im_Umlauf_splitbereinigt!A$3:AM$103,4,FALSE)&lt;&gt;"",IF(VLOOKUP(A56,Schlußkurse!A$5:AU$105,37,FALSE)&gt;0,((VLOOKUP(A56,Aktien_im_Umlauf_splitbereinigt!A$3:AM$103,5,FALSE)-VLOOKUP(A56,Aktien_im_Umlauf_splitbereinigt!A$3:AM$103,4,FALSE))*VLOOKUP(A56,Schlußkurse!A$5:AU$105,37,FALSE))/VLOOKUP(A56,Aktien_im_Umlauf_splitbereinigt!A$3:AM$103,4,FALSE),0),0),0)</f>
        <v>-1.4974225163877614E-2</v>
      </c>
      <c r="E56" s="97">
        <f>IF(VLOOKUP(A56,Aktien_im_Umlauf_splitbereinigt!A$3:AM$103,6,FALSE)&lt;&gt;"",IF(VLOOKUP(A56,Aktien_im_Umlauf_splitbereinigt!A$3:AM$103,5,FALSE)&lt;&gt;"",IF(VLOOKUP(A56,Schlußkurse!A$5:AU$105,38,FALSE)&gt;0,((VLOOKUP(A56,Aktien_im_Umlauf_splitbereinigt!A$3:AM$103,6,FALSE)-VLOOKUP(A56,Aktien_im_Umlauf_splitbereinigt!A$3:AM$103,5,FALSE))*VLOOKUP(A56,Schlußkurse!A$5:AU$105,38,FALSE))/VLOOKUP(A56,Aktien_im_Umlauf_splitbereinigt!A$3:AM$103,5,FALSE),0),0),0)</f>
        <v>0</v>
      </c>
      <c r="F56" s="97">
        <f>IF(VLOOKUP(A56,Aktien_im_Umlauf_splitbereinigt!A$3:AM$103,7,FALSE)&lt;&gt;"",IF(VLOOKUP(A56,Aktien_im_Umlauf_splitbereinigt!A$3:AM$103,6,FALSE)&lt;&gt;"",IF(VLOOKUP(A56,Schlußkurse!A$5:AU$105,39,FALSE)&gt;0,((VLOOKUP(A56,Aktien_im_Umlauf_splitbereinigt!A$3:AM$103,7,FALSE)-VLOOKUP(A56,Aktien_im_Umlauf_splitbereinigt!A$3:AM$103,6,FALSE))*VLOOKUP(A56,Schlußkurse!A$5:AU$105,39,FALSE))/VLOOKUP(A56,Aktien_im_Umlauf_splitbereinigt!A$3:AM$103,6,FALSE),0),0),0)</f>
        <v>0</v>
      </c>
      <c r="G56" s="97">
        <f>IF(VLOOKUP(A56,Aktien_im_Umlauf_splitbereinigt!A$3:AM$103,8,FALSE)&lt;&gt;"",IF(VLOOKUP(A56,Aktien_im_Umlauf_splitbereinigt!A$3:AM$103,7,FALSE)&lt;&gt;"",IF(VLOOKUP(A56,Schlußkurse!A$5:AU$105,40,FALSE)&gt;0,((VLOOKUP(A56,Aktien_im_Umlauf_splitbereinigt!A$3:AM$103,8,FALSE)-VLOOKUP(A56,Aktien_im_Umlauf_splitbereinigt!A$3:AM$103,7,FALSE))*VLOOKUP(A56,Schlußkurse!A$5:AU$105,40,FALSE))/VLOOKUP(A56,Aktien_im_Umlauf_splitbereinigt!A$3:AM$103,7,FALSE),0),0),0)</f>
        <v>0</v>
      </c>
      <c r="H56" s="97">
        <f>IF(VLOOKUP(A56,Aktien_im_Umlauf_splitbereinigt!A$3:AM$103,9,FALSE)&lt;&gt;"",IF(VLOOKUP(A56,Aktien_im_Umlauf_splitbereinigt!A$3:AM$103,8,FALSE)&lt;&gt;"",IF(VLOOKUP(A56,Schlußkurse!A$5:AU$105,41,FALSE)&gt;0,((VLOOKUP(A56,Aktien_im_Umlauf_splitbereinigt!A$3:AM$103,9,FALSE)-VLOOKUP(A56,Aktien_im_Umlauf_splitbereinigt!A$3:AM$103,8,FALSE))*VLOOKUP(A56,Schlußkurse!A$5:AU$105,41,FALSE))/VLOOKUP(A56,Aktien_im_Umlauf_splitbereinigt!A$3:AM$103,8,FALSE),0),0),0)</f>
        <v>0</v>
      </c>
      <c r="I56" s="97">
        <f>IF(VLOOKUP(A56,Aktien_im_Umlauf_splitbereinigt!A$3:AM$103,10,FALSE)&lt;&gt;"",IF(VLOOKUP(A56,Aktien_im_Umlauf_splitbereinigt!A$3:AM$103,9,FALSE)&lt;&gt;"",IF(VLOOKUP(A56,Schlußkurse!A$5:AU$105,42,FALSE)&gt;0,((VLOOKUP(A56,Aktien_im_Umlauf_splitbereinigt!A$3:AM$103,10,FALSE)-VLOOKUP(A56,Aktien_im_Umlauf_splitbereinigt!A$3:AM$103,9,FALSE))*VLOOKUP(A56,Schlußkurse!A$5:AU$105,42,FALSE))/VLOOKUP(A56,Aktien_im_Umlauf_splitbereinigt!A$3:AM$103,9,FALSE),0),0),0)</f>
        <v>0</v>
      </c>
      <c r="J56" s="97">
        <f>IF(VLOOKUP(A56,Aktien_im_Umlauf_splitbereinigt!A$3:AM$103,11,FALSE)&lt;&gt;"",IF(VLOOKUP(A56,Aktien_im_Umlauf_splitbereinigt!A$3:AM$103,10,FALSE)&lt;&gt;"",IF(VLOOKUP(A56,Schlußkurse!A$5:AU$105,43,FALSE)&gt;0,((VLOOKUP(A56,Aktien_im_Umlauf_splitbereinigt!A$3:AM$103,11,FALSE)-VLOOKUP(A56,Aktien_im_Umlauf_splitbereinigt!A$3:AM$103,10,FALSE))*VLOOKUP(A56,Schlußkurse!A$5:AU$105,43,FALSE))/VLOOKUP(A56,Aktien_im_Umlauf_splitbereinigt!A$3:AM$103,10,FALSE),0),0),0)</f>
        <v>0</v>
      </c>
      <c r="K56" s="97">
        <f>IF(VLOOKUP(A56,Aktien_im_Umlauf_splitbereinigt!A$3:AM$103,12,FALSE)&lt;&gt;"",IF(VLOOKUP(A56,Aktien_im_Umlauf_splitbereinigt!A$3:AM$103,11,FALSE)&lt;&gt;"",IF(VLOOKUP(A56,Schlußkurse!A$5:AU$105,44,FALSE)&gt;0,((VLOOKUP(A56,Aktien_im_Umlauf_splitbereinigt!A$3:AM$103,12,FALSE)-VLOOKUP(A56,Aktien_im_Umlauf_splitbereinigt!A$3:AM$103,11,FALSE))*VLOOKUP(A56,Schlußkurse!A$5:AU$105,44,FALSE))/VLOOKUP(A56,Aktien_im_Umlauf_splitbereinigt!A$3:AM$103,11,FALSE),0),0),0)</f>
        <v>0</v>
      </c>
      <c r="L56" s="97">
        <f>IF(VLOOKUP(A56,Aktien_im_Umlauf_splitbereinigt!A$3:AM$103,13,FALSE)&lt;&gt;"",IF(VLOOKUP(A56,Aktien_im_Umlauf_splitbereinigt!A$3:AM$103,12,FALSE)&lt;&gt;"",IF(VLOOKUP(A56,Schlußkurse!A$5:AU$105,45,FALSE)&gt;0,((VLOOKUP(A56,Aktien_im_Umlauf_splitbereinigt!A$3:AM$103,13,FALSE)-VLOOKUP(A56,Aktien_im_Umlauf_splitbereinigt!A$3:AM$103,12,FALSE))*VLOOKUP(A56,Schlußkurse!A$5:AU$105,45,FALSE))/VLOOKUP(A56,Aktien_im_Umlauf_splitbereinigt!A$3:AM$103,12,FALSE),0),0),0)</f>
        <v>0</v>
      </c>
      <c r="M56" s="97">
        <f>IF(VLOOKUP(A56,Aktien_im_Umlauf_splitbereinigt!A$3:AM$103,14,FALSE)&lt;&gt;"",IF(VLOOKUP(A56,Aktien_im_Umlauf_splitbereinigt!A$3:AM$103,13,FALSE)&lt;&gt;"",IF(VLOOKUP(A56,Schlußkurse!A$5:AU$105,46,FALSE)&gt;0,((VLOOKUP(A56,Aktien_im_Umlauf_splitbereinigt!A$3:AM$103,14,FALSE)-VLOOKUP(A56,Aktien_im_Umlauf_splitbereinigt!A$3:AM$103,13,FALSE))*VLOOKUP(A56,Schlußkurse!A$5:AU$105,46,FALSE))/VLOOKUP(A56,Aktien_im_Umlauf_splitbereinigt!A$3:AM$103,13,FALSE),0),0),0)</f>
        <v>0</v>
      </c>
      <c r="N56" s="13">
        <f>IF(C56&gt;0,IF(VLOOKUP(A56,Dividende_je_Aktie!A$3:AM$103,8,FALSE)&lt;&gt;"",C56+VLOOKUP(A56,Dividende_je_Aktie!A$3:AM$103,8,FALSE),C56),IF(VLOOKUP(A56,Dividende_je_Aktie!A$3:AM$103,8,FALSE)&lt;&gt;"",VLOOKUP(A56,Dividende_je_Aktie!A$3:AM$103,8,FALSE),""))</f>
        <v>2.29</v>
      </c>
      <c r="O56" s="13">
        <f>IF(D56&gt;0,IF(VLOOKUP(A56,Dividende_je_Aktie!A$3:AM$103,9,FALSE)&lt;&gt;"",D56+VLOOKUP(A56,Dividende_je_Aktie!A$3:AM$103,9,FALSE),D56),IF(VLOOKUP(A56,Dividende_je_Aktie!A$3:AM$103,9,FALSE)&lt;&gt;"",VLOOKUP(A56,Dividende_je_Aktie!A$3:AM$103,9,FALSE),""))</f>
        <v>2.2000000000000002</v>
      </c>
      <c r="P56" s="13">
        <f>IF(E56&gt;0,IF(VLOOKUP(A56,Dividende_je_Aktie!A$3:AM$103,10,FALSE)&lt;&gt;"",E56+VLOOKUP(A56,Dividende_je_Aktie!A$3:AM$103,10,FALSE),E56),IF(VLOOKUP(A56,Dividende_je_Aktie!A$3:AM$103,10,FALSE)&lt;&gt;"",VLOOKUP(A56,Dividende_je_Aktie!A$3:AM$103,10,FALSE),""))</f>
        <v>1.8</v>
      </c>
      <c r="Q56" s="13">
        <f>IF(F56&gt;0,IF(VLOOKUP(A56,Dividende_je_Aktie!A$3:AM$103,11,FALSE)&lt;&gt;"",F56+VLOOKUP(A56,Dividende_je_Aktie!A$3:AM$103,11,FALSE),F56),IF(VLOOKUP(A56,Dividende_je_Aktie!A$3:AM$103,11,FALSE)&lt;&gt;"",VLOOKUP(A56,Dividende_je_Aktie!A$3:AM$103,11,FALSE),""))</f>
        <v>1.62</v>
      </c>
      <c r="R56" s="13">
        <f>IF(G56&gt;0,IF(VLOOKUP(A56,Dividende_je_Aktie!A$3:AM$103,12,FALSE)&lt;&gt;"",G56+VLOOKUP(A56,Dividende_je_Aktie!A$3:AM$103,12,FALSE),G56),IF(VLOOKUP(A56,Dividende_je_Aktie!A$3:AM$103,12,FALSE)&lt;&gt;"",VLOOKUP(A56,Dividende_je_Aktie!A$3:AM$103,12,FALSE),""))</f>
        <v>1.59</v>
      </c>
      <c r="S56" s="13">
        <f>IF(H56&gt;0,IF(VLOOKUP(A56,Dividende_je_Aktie!A$3:AM$103,13,FALSE)&lt;&gt;"",H56+VLOOKUP(A56,Dividende_je_Aktie!A$3:AM$103,13,FALSE),H56),IF(VLOOKUP(A56,Dividende_je_Aktie!A$3:AM$103,13,FALSE)&lt;&gt;"",VLOOKUP(A56,Dividende_je_Aktie!A$3:AM$103,13,FALSE),""))</f>
        <v>1.46</v>
      </c>
      <c r="T56" s="13">
        <f>IF(I56&gt;0,IF(VLOOKUP(A56,Dividende_je_Aktie!A$3:AM$103,14,FALSE)&lt;&gt;"",I56+VLOOKUP(A56,Dividende_je_Aktie!A$3:AM$103,14,FALSE),I56),IF(VLOOKUP(A56,Dividende_je_Aktie!A$3:AM$103,14,FALSE)&lt;&gt;"",VLOOKUP(A56,Dividende_je_Aktie!A$3:AM$103,14,FALSE),""))</f>
        <v>1.35</v>
      </c>
      <c r="U56" s="13">
        <f>IF(J56&gt;0,IF(VLOOKUP(A56,Dividende_je_Aktie!A$3:AM$103,15,FALSE)&lt;&gt;"",J56+VLOOKUP(A56,Dividende_je_Aktie!A$3:AM$103,15,FALSE),J56),IF(VLOOKUP(A56,Dividende_je_Aktie!A$3:AM$103,15,FALSE)&lt;&gt;"",VLOOKUP(A56,Dividende_je_Aktie!A$3:AM$103,15,FALSE),""))</f>
        <v>1.27</v>
      </c>
      <c r="V56" s="13">
        <f>IF(K56&gt;0,IF(VLOOKUP(A56,Dividende_je_Aktie!A$3:AM$103,16,FALSE)&lt;&gt;"",K56+VLOOKUP(A56,Dividende_je_Aktie!A$3:AM$103,16,FALSE),K56),IF(VLOOKUP(A56,Dividende_je_Aktie!A$3:AM$103,16,FALSE)&lt;&gt;"",VLOOKUP(A56,Dividende_je_Aktie!A$3:AM$103,16,FALSE),""))</f>
        <v>1.27</v>
      </c>
      <c r="W56" s="13">
        <f>IF(L56&gt;0,IF(VLOOKUP(A56,Dividende_je_Aktie!A$3:AM$103,17,FALSE)&lt;&gt;"",L56+VLOOKUP(A56,Dividende_je_Aktie!A$3:AM$103,17,FALSE),L56),IF(VLOOKUP(A56,Dividende_je_Aktie!A$3:AM$103,17,FALSE)&lt;&gt;"",VLOOKUP(A56,Dividende_je_Aktie!A$3:AM$103,17,FALSE),""))</f>
        <v>1.1499999999999999</v>
      </c>
      <c r="X56" s="13">
        <f>IF(M56&gt;0,IF(VLOOKUP(A56,Dividende_je_Aktie!A$3:AM$103,18,FALSE)&lt;&gt;"",M56+VLOOKUP(A56,Dividende_je_Aktie!A$3:AM$103,18,FALSE),M56),IF(VLOOKUP(A56,Dividende_je_Aktie!A$3:AM$103,18,FALSE)&lt;&gt;"",VLOOKUP(A56,Dividende_je_Aktie!A$3:AM$103,18,FALSE),""))</f>
        <v>0.95</v>
      </c>
    </row>
    <row r="57" spans="1:24">
      <c r="A57" t="s">
        <v>83</v>
      </c>
      <c r="B57" t="s">
        <v>84</v>
      </c>
      <c r="C57" s="13">
        <f>IF(VLOOKUP(A57,Aktien_im_Umlauf_splitbereinigt!A$3:AM$103,4,FALSE)&lt;&gt;"",IF(VLOOKUP(A57,Aktien_im_Umlauf_splitbereinigt!A$3:AM$103,3,FALSE)&lt;&gt;"",IF(VLOOKUP(A57,Schlußkurse!A$5:AU$105,36,FALSE)&gt;0,((VLOOKUP(A57,Aktien_im_Umlauf_splitbereinigt!A$3:AM$103,4,FALSE)-VLOOKUP(A57,Aktien_im_Umlauf_splitbereinigt!A$3:AM$103,3,FALSE))*VLOOKUP(A57,Schlußkurse!A$5:AU$105,36,FALSE))/VLOOKUP(A57,Aktien_im_Umlauf_splitbereinigt!A$3:AM$103,3,FALSE),0),0),0)</f>
        <v>0</v>
      </c>
      <c r="D57" s="97">
        <f>IF(VLOOKUP(A57,Aktien_im_Umlauf_splitbereinigt!A$3:AM$103,5,FALSE)&lt;&gt;"",IF(VLOOKUP(A57,Aktien_im_Umlauf_splitbereinigt!A$3:AM$103,4,FALSE)&lt;&gt;"",IF(VLOOKUP(A57,Schlußkurse!A$5:AU$105,37,FALSE)&gt;0,((VLOOKUP(A57,Aktien_im_Umlauf_splitbereinigt!A$3:AM$103,5,FALSE)-VLOOKUP(A57,Aktien_im_Umlauf_splitbereinigt!A$3:AM$103,4,FALSE))*VLOOKUP(A57,Schlußkurse!A$5:AU$105,37,FALSE))/VLOOKUP(A57,Aktien_im_Umlauf_splitbereinigt!A$3:AM$103,4,FALSE),0),0),0)</f>
        <v>0</v>
      </c>
      <c r="E57" s="97">
        <f>IF(VLOOKUP(A57,Aktien_im_Umlauf_splitbereinigt!A$3:AM$103,6,FALSE)&lt;&gt;"",IF(VLOOKUP(A57,Aktien_im_Umlauf_splitbereinigt!A$3:AM$103,5,FALSE)&lt;&gt;"",IF(VLOOKUP(A57,Schlußkurse!A$5:AU$105,38,FALSE)&gt;0,((VLOOKUP(A57,Aktien_im_Umlauf_splitbereinigt!A$3:AM$103,6,FALSE)-VLOOKUP(A57,Aktien_im_Umlauf_splitbereinigt!A$3:AM$103,5,FALSE))*VLOOKUP(A57,Schlußkurse!A$5:AU$105,38,FALSE))/VLOOKUP(A57,Aktien_im_Umlauf_splitbereinigt!A$3:AM$103,5,FALSE),0),0),0)</f>
        <v>0</v>
      </c>
      <c r="F57" s="97">
        <f>IF(VLOOKUP(A57,Aktien_im_Umlauf_splitbereinigt!A$3:AM$103,7,FALSE)&lt;&gt;"",IF(VLOOKUP(A57,Aktien_im_Umlauf_splitbereinigt!A$3:AM$103,6,FALSE)&lt;&gt;"",IF(VLOOKUP(A57,Schlußkurse!A$5:AU$105,39,FALSE)&gt;0,((VLOOKUP(A57,Aktien_im_Umlauf_splitbereinigt!A$3:AM$103,7,FALSE)-VLOOKUP(A57,Aktien_im_Umlauf_splitbereinigt!A$3:AM$103,6,FALSE))*VLOOKUP(A57,Schlußkurse!A$5:AU$105,39,FALSE))/VLOOKUP(A57,Aktien_im_Umlauf_splitbereinigt!A$3:AM$103,6,FALSE),0),0),0)</f>
        <v>0</v>
      </c>
      <c r="G57" s="97">
        <f>IF(VLOOKUP(A57,Aktien_im_Umlauf_splitbereinigt!A$3:AM$103,8,FALSE)&lt;&gt;"",IF(VLOOKUP(A57,Aktien_im_Umlauf_splitbereinigt!A$3:AM$103,7,FALSE)&lt;&gt;"",IF(VLOOKUP(A57,Schlußkurse!A$5:AU$105,40,FALSE)&gt;0,((VLOOKUP(A57,Aktien_im_Umlauf_splitbereinigt!A$3:AM$103,8,FALSE)-VLOOKUP(A57,Aktien_im_Umlauf_splitbereinigt!A$3:AM$103,7,FALSE))*VLOOKUP(A57,Schlußkurse!A$5:AU$105,40,FALSE))/VLOOKUP(A57,Aktien_im_Umlauf_splitbereinigt!A$3:AM$103,7,FALSE),0),0),0)</f>
        <v>0</v>
      </c>
      <c r="H57" s="97">
        <f>IF(VLOOKUP(A57,Aktien_im_Umlauf_splitbereinigt!A$3:AM$103,9,FALSE)&lt;&gt;"",IF(VLOOKUP(A57,Aktien_im_Umlauf_splitbereinigt!A$3:AM$103,8,FALSE)&lt;&gt;"",IF(VLOOKUP(A57,Schlußkurse!A$5:AU$105,41,FALSE)&gt;0,((VLOOKUP(A57,Aktien_im_Umlauf_splitbereinigt!A$3:AM$103,9,FALSE)-VLOOKUP(A57,Aktien_im_Umlauf_splitbereinigt!A$3:AM$103,8,FALSE))*VLOOKUP(A57,Schlußkurse!A$5:AU$105,41,FALSE))/VLOOKUP(A57,Aktien_im_Umlauf_splitbereinigt!A$3:AM$103,8,FALSE),0),0),0)</f>
        <v>0</v>
      </c>
      <c r="I57" s="97">
        <f>IF(VLOOKUP(A57,Aktien_im_Umlauf_splitbereinigt!A$3:AM$103,10,FALSE)&lt;&gt;"",IF(VLOOKUP(A57,Aktien_im_Umlauf_splitbereinigt!A$3:AM$103,9,FALSE)&lt;&gt;"",IF(VLOOKUP(A57,Schlußkurse!A$5:AU$105,42,FALSE)&gt;0,((VLOOKUP(A57,Aktien_im_Umlauf_splitbereinigt!A$3:AM$103,10,FALSE)-VLOOKUP(A57,Aktien_im_Umlauf_splitbereinigt!A$3:AM$103,9,FALSE))*VLOOKUP(A57,Schlußkurse!A$5:AU$105,42,FALSE))/VLOOKUP(A57,Aktien_im_Umlauf_splitbereinigt!A$3:AM$103,9,FALSE),0),0),0)</f>
        <v>0.2617283950617284</v>
      </c>
      <c r="J57" s="97">
        <f>IF(VLOOKUP(A57,Aktien_im_Umlauf_splitbereinigt!A$3:AM$103,11,FALSE)&lt;&gt;"",IF(VLOOKUP(A57,Aktien_im_Umlauf_splitbereinigt!A$3:AM$103,10,FALSE)&lt;&gt;"",IF(VLOOKUP(A57,Schlußkurse!A$5:AU$105,43,FALSE)&gt;0,((VLOOKUP(A57,Aktien_im_Umlauf_splitbereinigt!A$3:AM$103,11,FALSE)-VLOOKUP(A57,Aktien_im_Umlauf_splitbereinigt!A$3:AM$103,10,FALSE))*VLOOKUP(A57,Schlußkurse!A$5:AU$105,43,FALSE))/VLOOKUP(A57,Aktien_im_Umlauf_splitbereinigt!A$3:AM$103,10,FALSE),0),0),0)</f>
        <v>-5.8676470588235295E-2</v>
      </c>
      <c r="K57" s="97">
        <f>IF(VLOOKUP(A57,Aktien_im_Umlauf_splitbereinigt!A$3:AM$103,12,FALSE)&lt;&gt;"",IF(VLOOKUP(A57,Aktien_im_Umlauf_splitbereinigt!A$3:AM$103,11,FALSE)&lt;&gt;"",IF(VLOOKUP(A57,Schlußkurse!A$5:AU$105,44,FALSE)&gt;0,((VLOOKUP(A57,Aktien_im_Umlauf_splitbereinigt!A$3:AM$103,12,FALSE)-VLOOKUP(A57,Aktien_im_Umlauf_splitbereinigt!A$3:AM$103,11,FALSE))*VLOOKUP(A57,Schlußkurse!A$5:AU$105,44,FALSE))/VLOOKUP(A57,Aktien_im_Umlauf_splitbereinigt!A$3:AM$103,11,FALSE),0),0),0)</f>
        <v>0.42194791295041029</v>
      </c>
      <c r="L57" s="97">
        <f>IF(VLOOKUP(A57,Aktien_im_Umlauf_splitbereinigt!A$3:AM$103,13,FALSE)&lt;&gt;"",IF(VLOOKUP(A57,Aktien_im_Umlauf_splitbereinigt!A$3:AM$103,12,FALSE)&lt;&gt;"",IF(VLOOKUP(A57,Schlußkurse!A$5:AU$105,45,FALSE)&gt;0,((VLOOKUP(A57,Aktien_im_Umlauf_splitbereinigt!A$3:AM$103,13,FALSE)-VLOOKUP(A57,Aktien_im_Umlauf_splitbereinigt!A$3:AM$103,12,FALSE))*VLOOKUP(A57,Schlußkurse!A$5:AU$105,45,FALSE))/VLOOKUP(A57,Aktien_im_Umlauf_splitbereinigt!A$3:AM$103,12,FALSE),0),0),0)</f>
        <v>0.42456499488229271</v>
      </c>
      <c r="M57" s="97">
        <f>IF(VLOOKUP(A57,Aktien_im_Umlauf_splitbereinigt!A$3:AM$103,14,FALSE)&lt;&gt;"",IF(VLOOKUP(A57,Aktien_im_Umlauf_splitbereinigt!A$3:AM$103,13,FALSE)&lt;&gt;"",IF(VLOOKUP(A57,Schlußkurse!A$5:AU$105,46,FALSE)&gt;0,((VLOOKUP(A57,Aktien_im_Umlauf_splitbereinigt!A$3:AM$103,14,FALSE)-VLOOKUP(A57,Aktien_im_Umlauf_splitbereinigt!A$3:AM$103,13,FALSE))*VLOOKUP(A57,Schlußkurse!A$5:AU$105,46,FALSE))/VLOOKUP(A57,Aktien_im_Umlauf_splitbereinigt!A$3:AM$103,13,FALSE),0),0),0)</f>
        <v>2.6828908554572272E-2</v>
      </c>
      <c r="N57" s="13">
        <f>IF(C57&gt;0,IF(VLOOKUP(A57,Dividende_je_Aktie!A$3:AM$103,8,FALSE)&lt;&gt;"",C57+VLOOKUP(A57,Dividende_je_Aktie!A$3:AM$103,8,FALSE),C57),IF(VLOOKUP(A57,Dividende_je_Aktie!A$3:AM$103,8,FALSE)&lt;&gt;"",VLOOKUP(A57,Dividende_je_Aktie!A$3:AM$103,8,FALSE),""))</f>
        <v>0.58899999999999997</v>
      </c>
      <c r="O57" s="13">
        <f>IF(D57&gt;0,IF(VLOOKUP(A57,Dividende_je_Aktie!A$3:AM$103,9,FALSE)&lt;&gt;"",D57+VLOOKUP(A57,Dividende_je_Aktie!A$3:AM$103,9,FALSE),D57),IF(VLOOKUP(A57,Dividende_je_Aktie!A$3:AM$103,9,FALSE)&lt;&gt;"",VLOOKUP(A57,Dividende_je_Aktie!A$3:AM$103,9,FALSE),""))</f>
        <v>0.56399999999999995</v>
      </c>
      <c r="P57" s="13">
        <f>IF(E57&gt;0,IF(VLOOKUP(A57,Dividende_je_Aktie!A$3:AM$103,10,FALSE)&lt;&gt;"",E57+VLOOKUP(A57,Dividende_je_Aktie!A$3:AM$103,10,FALSE),E57),IF(VLOOKUP(A57,Dividende_je_Aktie!A$3:AM$103,10,FALSE)&lt;&gt;"",VLOOKUP(A57,Dividende_je_Aktie!A$3:AM$103,10,FALSE),""))</f>
        <v>0.51700000000000002</v>
      </c>
      <c r="Q57" s="13">
        <f>IF(F57&gt;0,IF(VLOOKUP(A57,Dividende_je_Aktie!A$3:AM$103,11,FALSE)&lt;&gt;"",F57+VLOOKUP(A57,Dividende_je_Aktie!A$3:AM$103,11,FALSE),F57),IF(VLOOKUP(A57,Dividende_je_Aktie!A$3:AM$103,11,FALSE)&lt;&gt;"",VLOOKUP(A57,Dividende_je_Aktie!A$3:AM$103,11,FALSE),""))</f>
        <v>0.47399999999999998</v>
      </c>
      <c r="R57" s="13">
        <f>IF(G57&gt;0,IF(VLOOKUP(A57,Dividende_je_Aktie!A$3:AM$103,12,FALSE)&lt;&gt;"",G57+VLOOKUP(A57,Dividende_je_Aktie!A$3:AM$103,12,FALSE),G57),IF(VLOOKUP(A57,Dividende_je_Aktie!A$3:AM$103,12,FALSE)&lt;&gt;"",VLOOKUP(A57,Dividende_je_Aktie!A$3:AM$103,12,FALSE),""))</f>
        <v>0.435</v>
      </c>
      <c r="S57" s="13">
        <f>IF(H57&gt;0,IF(VLOOKUP(A57,Dividende_je_Aktie!A$3:AM$103,13,FALSE)&lt;&gt;"",H57+VLOOKUP(A57,Dividende_je_Aktie!A$3:AM$103,13,FALSE),H57),IF(VLOOKUP(A57,Dividende_je_Aktie!A$3:AM$103,13,FALSE)&lt;&gt;"",VLOOKUP(A57,Dividende_je_Aktie!A$3:AM$103,13,FALSE),""))</f>
        <v>0.40400000000000003</v>
      </c>
      <c r="T57" s="13">
        <f>IF(I57&gt;0,IF(VLOOKUP(A57,Dividende_je_Aktie!A$3:AM$103,14,FALSE)&lt;&gt;"",I57+VLOOKUP(A57,Dividende_je_Aktie!A$3:AM$103,14,FALSE),I57),IF(VLOOKUP(A57,Dividende_je_Aktie!A$3:AM$103,14,FALSE)&lt;&gt;"",VLOOKUP(A57,Dividende_je_Aktie!A$3:AM$103,14,FALSE),""))</f>
        <v>0.64272839506172841</v>
      </c>
      <c r="U57" s="13">
        <f>IF(J57&gt;0,IF(VLOOKUP(A57,Dividende_je_Aktie!A$3:AM$103,15,FALSE)&lt;&gt;"",J57+VLOOKUP(A57,Dividende_je_Aktie!A$3:AM$103,15,FALSE),J57),IF(VLOOKUP(A57,Dividende_je_Aktie!A$3:AM$103,15,FALSE)&lt;&gt;"",VLOOKUP(A57,Dividende_je_Aktie!A$3:AM$103,15,FALSE),""))</f>
        <v>0.36099999999999999</v>
      </c>
      <c r="V57" s="13">
        <f>IF(K57&gt;0,IF(VLOOKUP(A57,Dividende_je_Aktie!A$3:AM$103,16,FALSE)&lt;&gt;"",K57+VLOOKUP(A57,Dividende_je_Aktie!A$3:AM$103,16,FALSE),K57),IF(VLOOKUP(A57,Dividende_je_Aktie!A$3:AM$103,16,FALSE)&lt;&gt;"",VLOOKUP(A57,Dividende_je_Aktie!A$3:AM$103,16,FALSE),""))</f>
        <v>0.76544791295041037</v>
      </c>
      <c r="W57" s="13">
        <f>IF(L57&gt;0,IF(VLOOKUP(A57,Dividende_je_Aktie!A$3:AM$103,17,FALSE)&lt;&gt;"",L57+VLOOKUP(A57,Dividende_je_Aktie!A$3:AM$103,17,FALSE),L57),IF(VLOOKUP(A57,Dividende_je_Aktie!A$3:AM$103,17,FALSE)&lt;&gt;"",VLOOKUP(A57,Dividende_je_Aktie!A$3:AM$103,17,FALSE),""))</f>
        <v>0.75156499488229267</v>
      </c>
      <c r="X57" s="13">
        <f>IF(M57&gt;0,IF(VLOOKUP(A57,Dividende_je_Aktie!A$3:AM$103,18,FALSE)&lt;&gt;"",M57+VLOOKUP(A57,Dividende_je_Aktie!A$3:AM$103,18,FALSE),M57),IF(VLOOKUP(A57,Dividende_je_Aktie!A$3:AM$103,18,FALSE)&lt;&gt;"",VLOOKUP(A57,Dividende_je_Aktie!A$3:AM$103,18,FALSE),""))</f>
        <v>0.33782890855457226</v>
      </c>
    </row>
    <row r="58" spans="1:24">
      <c r="A58" t="s">
        <v>85</v>
      </c>
      <c r="B58" t="s">
        <v>86</v>
      </c>
      <c r="C58" s="13">
        <f>IF(VLOOKUP(A58,Aktien_im_Umlauf_splitbereinigt!A$3:AM$103,4,FALSE)&lt;&gt;"",IF(VLOOKUP(A58,Aktien_im_Umlauf_splitbereinigt!A$3:AM$103,3,FALSE)&lt;&gt;"",IF(VLOOKUP(A58,Schlußkurse!A$5:AU$105,36,FALSE)&gt;0,((VLOOKUP(A58,Aktien_im_Umlauf_splitbereinigt!A$3:AM$103,4,FALSE)-VLOOKUP(A58,Aktien_im_Umlauf_splitbereinigt!A$3:AM$103,3,FALSE))*VLOOKUP(A58,Schlußkurse!A$5:AU$105,36,FALSE))/VLOOKUP(A58,Aktien_im_Umlauf_splitbereinigt!A$3:AM$103,3,FALSE),0),0),0)</f>
        <v>2.1136872296296296</v>
      </c>
      <c r="D58" s="97">
        <f>IF(VLOOKUP(A58,Aktien_im_Umlauf_splitbereinigt!A$3:AM$103,5,FALSE)&lt;&gt;"",IF(VLOOKUP(A58,Aktien_im_Umlauf_splitbereinigt!A$3:AM$103,4,FALSE)&lt;&gt;"",IF(VLOOKUP(A58,Schlußkurse!A$5:AU$105,37,FALSE)&gt;0,((VLOOKUP(A58,Aktien_im_Umlauf_splitbereinigt!A$3:AM$103,5,FALSE)-VLOOKUP(A58,Aktien_im_Umlauf_splitbereinigt!A$3:AM$103,4,FALSE))*VLOOKUP(A58,Schlußkurse!A$5:AU$105,37,FALSE))/VLOOKUP(A58,Aktien_im_Umlauf_splitbereinigt!A$3:AM$103,4,FALSE),0),0),0)</f>
        <v>-9.4078245823389001E-2</v>
      </c>
      <c r="E58" s="97">
        <f>IF(VLOOKUP(A58,Aktien_im_Umlauf_splitbereinigt!A$3:AM$103,6,FALSE)&lt;&gt;"",IF(VLOOKUP(A58,Aktien_im_Umlauf_splitbereinigt!A$3:AM$103,5,FALSE)&lt;&gt;"",IF(VLOOKUP(A58,Schlußkurse!A$5:AU$105,38,FALSE)&gt;0,((VLOOKUP(A58,Aktien_im_Umlauf_splitbereinigt!A$3:AM$103,6,FALSE)-VLOOKUP(A58,Aktien_im_Umlauf_splitbereinigt!A$3:AM$103,5,FALSE))*VLOOKUP(A58,Schlußkurse!A$5:AU$105,38,FALSE))/VLOOKUP(A58,Aktien_im_Umlauf_splitbereinigt!A$3:AM$103,5,FALSE),0),0),0)</f>
        <v>-8.9366646742378958E-2</v>
      </c>
      <c r="F58" s="97">
        <f>IF(VLOOKUP(A58,Aktien_im_Umlauf_splitbereinigt!A$3:AM$103,7,FALSE)&lt;&gt;"",IF(VLOOKUP(A58,Aktien_im_Umlauf_splitbereinigt!A$3:AM$103,6,FALSE)&lt;&gt;"",IF(VLOOKUP(A58,Schlußkurse!A$5:AU$105,39,FALSE)&gt;0,((VLOOKUP(A58,Aktien_im_Umlauf_splitbereinigt!A$3:AM$103,7,FALSE)-VLOOKUP(A58,Aktien_im_Umlauf_splitbereinigt!A$3:AM$103,6,FALSE))*VLOOKUP(A58,Schlußkurse!A$5:AU$105,39,FALSE))/VLOOKUP(A58,Aktien_im_Umlauf_splitbereinigt!A$3:AM$103,6,FALSE),0),0),0)</f>
        <v>-0.18914684550898206</v>
      </c>
      <c r="G58" s="97">
        <f>IF(VLOOKUP(A58,Aktien_im_Umlauf_splitbereinigt!A$3:AM$103,8,FALSE)&lt;&gt;"",IF(VLOOKUP(A58,Aktien_im_Umlauf_splitbereinigt!A$3:AM$103,7,FALSE)&lt;&gt;"",IF(VLOOKUP(A58,Schlußkurse!A$5:AU$105,40,FALSE)&gt;0,((VLOOKUP(A58,Aktien_im_Umlauf_splitbereinigt!A$3:AM$103,8,FALSE)-VLOOKUP(A58,Aktien_im_Umlauf_splitbereinigt!A$3:AM$103,7,FALSE))*VLOOKUP(A58,Schlußkurse!A$5:AU$105,40,FALSE))/VLOOKUP(A58,Aktien_im_Umlauf_splitbereinigt!A$3:AM$103,7,FALSE),0),0),0)</f>
        <v>-0.12073198467548076</v>
      </c>
      <c r="H58" s="97">
        <f>IF(VLOOKUP(A58,Aktien_im_Umlauf_splitbereinigt!A$3:AM$103,9,FALSE)&lt;&gt;"",IF(VLOOKUP(A58,Aktien_im_Umlauf_splitbereinigt!A$3:AM$103,8,FALSE)&lt;&gt;"",IF(VLOOKUP(A58,Schlußkurse!A$5:AU$105,41,FALSE)&gt;0,((VLOOKUP(A58,Aktien_im_Umlauf_splitbereinigt!A$3:AM$103,9,FALSE)-VLOOKUP(A58,Aktien_im_Umlauf_splitbereinigt!A$3:AM$103,8,FALSE))*VLOOKUP(A58,Schlußkurse!A$5:AU$105,41,FALSE))/VLOOKUP(A58,Aktien_im_Umlauf_splitbereinigt!A$3:AM$103,8,FALSE),0),0),0)</f>
        <v>-0.38400919529837246</v>
      </c>
      <c r="I58" s="97">
        <f>IF(VLOOKUP(A58,Aktien_im_Umlauf_splitbereinigt!A$3:AM$103,10,FALSE)&lt;&gt;"",IF(VLOOKUP(A58,Aktien_im_Umlauf_splitbereinigt!A$3:AM$103,9,FALSE)&lt;&gt;"",IF(VLOOKUP(A58,Schlußkurse!A$5:AU$105,42,FALSE)&gt;0,((VLOOKUP(A58,Aktien_im_Umlauf_splitbereinigt!A$3:AM$103,10,FALSE)-VLOOKUP(A58,Aktien_im_Umlauf_splitbereinigt!A$3:AM$103,9,FALSE))*VLOOKUP(A58,Schlußkurse!A$5:AU$105,42,FALSE))/VLOOKUP(A58,Aktien_im_Umlauf_splitbereinigt!A$3:AM$103,9,FALSE),0),0),0)</f>
        <v>-1.0009573089579524</v>
      </c>
      <c r="J58" s="97">
        <f>IF(VLOOKUP(A58,Aktien_im_Umlauf_splitbereinigt!A$3:AM$103,11,FALSE)&lt;&gt;"",IF(VLOOKUP(A58,Aktien_im_Umlauf_splitbereinigt!A$3:AM$103,10,FALSE)&lt;&gt;"",IF(VLOOKUP(A58,Schlußkurse!A$5:AU$105,43,FALSE)&gt;0,((VLOOKUP(A58,Aktien_im_Umlauf_splitbereinigt!A$3:AM$103,11,FALSE)-VLOOKUP(A58,Aktien_im_Umlauf_splitbereinigt!A$3:AM$103,10,FALSE))*VLOOKUP(A58,Schlußkurse!A$5:AU$105,43,FALSE))/VLOOKUP(A58,Aktien_im_Umlauf_splitbereinigt!A$3:AM$103,10,FALSE),0),0),0)</f>
        <v>-0.7412351690851734</v>
      </c>
      <c r="K58" s="97">
        <f>IF(VLOOKUP(A58,Aktien_im_Umlauf_splitbereinigt!A$3:AM$103,12,FALSE)&lt;&gt;"",IF(VLOOKUP(A58,Aktien_im_Umlauf_splitbereinigt!A$3:AM$103,11,FALSE)&lt;&gt;"",IF(VLOOKUP(A58,Schlußkurse!A$5:AU$105,44,FALSE)&gt;0,((VLOOKUP(A58,Aktien_im_Umlauf_splitbereinigt!A$3:AM$103,12,FALSE)-VLOOKUP(A58,Aktien_im_Umlauf_splitbereinigt!A$3:AM$103,11,FALSE))*VLOOKUP(A58,Schlußkurse!A$5:AU$105,44,FALSE))/VLOOKUP(A58,Aktien_im_Umlauf_splitbereinigt!A$3:AM$103,11,FALSE),0),0),0)</f>
        <v>0</v>
      </c>
      <c r="L58" s="97">
        <f>IF(VLOOKUP(A58,Aktien_im_Umlauf_splitbereinigt!A$3:AM$103,13,FALSE)&lt;&gt;"",IF(VLOOKUP(A58,Aktien_im_Umlauf_splitbereinigt!A$3:AM$103,12,FALSE)&lt;&gt;"",IF(VLOOKUP(A58,Schlußkurse!A$5:AU$105,45,FALSE)&gt;0,((VLOOKUP(A58,Aktien_im_Umlauf_splitbereinigt!A$3:AM$103,13,FALSE)-VLOOKUP(A58,Aktien_im_Umlauf_splitbereinigt!A$3:AM$103,12,FALSE))*VLOOKUP(A58,Schlußkurse!A$5:AU$105,45,FALSE))/VLOOKUP(A58,Aktien_im_Umlauf_splitbereinigt!A$3:AM$103,12,FALSE),0),0),0)</f>
        <v>0</v>
      </c>
      <c r="M58" s="97">
        <f>IF(VLOOKUP(A58,Aktien_im_Umlauf_splitbereinigt!A$3:AM$103,14,FALSE)&lt;&gt;"",IF(VLOOKUP(A58,Aktien_im_Umlauf_splitbereinigt!A$3:AM$103,13,FALSE)&lt;&gt;"",IF(VLOOKUP(A58,Schlußkurse!A$5:AU$105,46,FALSE)&gt;0,((VLOOKUP(A58,Aktien_im_Umlauf_splitbereinigt!A$3:AM$103,14,FALSE)-VLOOKUP(A58,Aktien_im_Umlauf_splitbereinigt!A$3:AM$103,13,FALSE))*VLOOKUP(A58,Schlußkurse!A$5:AU$105,46,FALSE))/VLOOKUP(A58,Aktien_im_Umlauf_splitbereinigt!A$3:AM$103,13,FALSE),0),0),0)</f>
        <v>0</v>
      </c>
      <c r="N58" s="13">
        <f>IF(C58&gt;0,IF(VLOOKUP(A58,Dividende_je_Aktie!A$3:AM$103,8,FALSE)&lt;&gt;"",C58+VLOOKUP(A58,Dividende_je_Aktie!A$3:AM$103,8,FALSE),C58),IF(VLOOKUP(A58,Dividende_je_Aktie!A$3:AM$103,8,FALSE)&lt;&gt;"",VLOOKUP(A58,Dividende_je_Aktie!A$3:AM$103,8,FALSE),""))</f>
        <v>3.3036872296296296</v>
      </c>
      <c r="O58" s="13">
        <f>IF(D58&gt;0,IF(VLOOKUP(A58,Dividende_je_Aktie!A$3:AM$103,9,FALSE)&lt;&gt;"",D58+VLOOKUP(A58,Dividende_je_Aktie!A$3:AM$103,9,FALSE),D58),IF(VLOOKUP(A58,Dividende_je_Aktie!A$3:AM$103,9,FALSE)&lt;&gt;"",VLOOKUP(A58,Dividende_je_Aktie!A$3:AM$103,9,FALSE),""))</f>
        <v>1.1299999999999999</v>
      </c>
      <c r="P58" s="13">
        <f>IF(E58&gt;0,IF(VLOOKUP(A58,Dividende_je_Aktie!A$3:AM$103,10,FALSE)&lt;&gt;"",E58+VLOOKUP(A58,Dividende_je_Aktie!A$3:AM$103,10,FALSE),E58),IF(VLOOKUP(A58,Dividende_je_Aktie!A$3:AM$103,10,FALSE)&lt;&gt;"",VLOOKUP(A58,Dividende_je_Aktie!A$3:AM$103,10,FALSE),""))</f>
        <v>1.05</v>
      </c>
      <c r="Q58" s="13">
        <f>IF(F58&gt;0,IF(VLOOKUP(A58,Dividende_je_Aktie!A$3:AM$103,11,FALSE)&lt;&gt;"",F58+VLOOKUP(A58,Dividende_je_Aktie!A$3:AM$103,11,FALSE),F58),IF(VLOOKUP(A58,Dividende_je_Aktie!A$3:AM$103,11,FALSE)&lt;&gt;"",VLOOKUP(A58,Dividende_je_Aktie!A$3:AM$103,11,FALSE),""))</f>
        <v>1.01</v>
      </c>
      <c r="R58" s="13">
        <f>IF(G58&gt;0,IF(VLOOKUP(A58,Dividende_je_Aktie!A$3:AM$103,12,FALSE)&lt;&gt;"",G58+VLOOKUP(A58,Dividende_je_Aktie!A$3:AM$103,12,FALSE),G58),IF(VLOOKUP(A58,Dividende_je_Aktie!A$3:AM$103,12,FALSE)&lt;&gt;"",VLOOKUP(A58,Dividende_je_Aktie!A$3:AM$103,12,FALSE),""))</f>
        <v>0.91</v>
      </c>
      <c r="S58" s="13">
        <f>IF(H58&gt;0,IF(VLOOKUP(A58,Dividende_je_Aktie!A$3:AM$103,13,FALSE)&lt;&gt;"",H58+VLOOKUP(A58,Dividende_je_Aktie!A$3:AM$103,13,FALSE),H58),IF(VLOOKUP(A58,Dividende_je_Aktie!A$3:AM$103,13,FALSE)&lt;&gt;"",VLOOKUP(A58,Dividende_je_Aktie!A$3:AM$103,13,FALSE),""))</f>
        <v>0.81</v>
      </c>
      <c r="T58" s="13">
        <f>IF(I58&gt;0,IF(VLOOKUP(A58,Dividende_je_Aktie!A$3:AM$103,14,FALSE)&lt;&gt;"",I58+VLOOKUP(A58,Dividende_je_Aktie!A$3:AM$103,14,FALSE),I58),IF(VLOOKUP(A58,Dividende_je_Aktie!A$3:AM$103,14,FALSE)&lt;&gt;"",VLOOKUP(A58,Dividende_je_Aktie!A$3:AM$103,14,FALSE),""))</f>
        <v>0.68</v>
      </c>
      <c r="U58" s="13">
        <f>IF(J58&gt;0,IF(VLOOKUP(A58,Dividende_je_Aktie!A$3:AM$103,15,FALSE)&lt;&gt;"",J58+VLOOKUP(A58,Dividende_je_Aktie!A$3:AM$103,15,FALSE),J58),IF(VLOOKUP(A58,Dividende_je_Aktie!A$3:AM$103,15,FALSE)&lt;&gt;"",VLOOKUP(A58,Dividende_je_Aktie!A$3:AM$103,15,FALSE),""))</f>
        <v>0.57999999999999996</v>
      </c>
      <c r="V58" s="13">
        <f>IF(K58&gt;0,IF(VLOOKUP(A58,Dividende_je_Aktie!A$3:AM$103,16,FALSE)&lt;&gt;"",K58+VLOOKUP(A58,Dividende_je_Aktie!A$3:AM$103,16,FALSE),K58),IF(VLOOKUP(A58,Dividende_je_Aktie!A$3:AM$103,16,FALSE)&lt;&gt;"",VLOOKUP(A58,Dividende_je_Aktie!A$3:AM$103,16,FALSE),""))</f>
        <v>0.57999999999999996</v>
      </c>
      <c r="W58" s="13">
        <f>IF(L58&gt;0,IF(VLOOKUP(A58,Dividende_je_Aktie!A$3:AM$103,17,FALSE)&lt;&gt;"",L58+VLOOKUP(A58,Dividende_je_Aktie!A$3:AM$103,17,FALSE),L58),IF(VLOOKUP(A58,Dividende_je_Aktie!A$3:AM$103,17,FALSE)&lt;&gt;"",VLOOKUP(A58,Dividende_je_Aktie!A$3:AM$103,17,FALSE),""))</f>
        <v>0.5</v>
      </c>
      <c r="X58" s="13" t="str">
        <f>IF(M58&gt;0,IF(VLOOKUP(A58,Dividende_je_Aktie!A$3:AM$103,18,FALSE)&lt;&gt;"",M58+VLOOKUP(A58,Dividende_je_Aktie!A$3:AM$103,18,FALSE),M58),IF(VLOOKUP(A58,Dividende_je_Aktie!A$3:AM$103,18,FALSE)&lt;&gt;"",VLOOKUP(A58,Dividende_je_Aktie!A$3:AM$103,18,FALSE),""))</f>
        <v/>
      </c>
    </row>
    <row r="59" spans="1:24">
      <c r="A59" t="s">
        <v>87</v>
      </c>
      <c r="B59" t="s">
        <v>88</v>
      </c>
      <c r="C59" s="13">
        <f>IF(VLOOKUP(A59,Aktien_im_Umlauf_splitbereinigt!A$3:AM$103,4,FALSE)&lt;&gt;"",IF(VLOOKUP(A59,Aktien_im_Umlauf_splitbereinigt!A$3:AM$103,3,FALSE)&lt;&gt;"",IF(VLOOKUP(A59,Schlußkurse!A$5:AU$105,36,FALSE)&gt;0,((VLOOKUP(A59,Aktien_im_Umlauf_splitbereinigt!A$3:AM$103,4,FALSE)-VLOOKUP(A59,Aktien_im_Umlauf_splitbereinigt!A$3:AM$103,3,FALSE))*VLOOKUP(A59,Schlußkurse!A$5:AU$105,36,FALSE))/VLOOKUP(A59,Aktien_im_Umlauf_splitbereinigt!A$3:AM$103,3,FALSE),0),0),0)</f>
        <v>0</v>
      </c>
      <c r="D59" s="97">
        <f>IF(VLOOKUP(A59,Aktien_im_Umlauf_splitbereinigt!A$3:AM$103,5,FALSE)&lt;&gt;"",IF(VLOOKUP(A59,Aktien_im_Umlauf_splitbereinigt!A$3:AM$103,4,FALSE)&lt;&gt;"",IF(VLOOKUP(A59,Schlußkurse!A$5:AU$105,37,FALSE)&gt;0,((VLOOKUP(A59,Aktien_im_Umlauf_splitbereinigt!A$3:AM$103,5,FALSE)-VLOOKUP(A59,Aktien_im_Umlauf_splitbereinigt!A$3:AM$103,4,FALSE))*VLOOKUP(A59,Schlußkurse!A$5:AU$105,37,FALSE))/VLOOKUP(A59,Aktien_im_Umlauf_splitbereinigt!A$3:AM$103,4,FALSE),0),0),0)</f>
        <v>0</v>
      </c>
      <c r="E59" s="97">
        <f>IF(VLOOKUP(A59,Aktien_im_Umlauf_splitbereinigt!A$3:AM$103,6,FALSE)&lt;&gt;"",IF(VLOOKUP(A59,Aktien_im_Umlauf_splitbereinigt!A$3:AM$103,5,FALSE)&lt;&gt;"",IF(VLOOKUP(A59,Schlußkurse!A$5:AU$105,38,FALSE)&gt;0,((VLOOKUP(A59,Aktien_im_Umlauf_splitbereinigt!A$3:AM$103,6,FALSE)-VLOOKUP(A59,Aktien_im_Umlauf_splitbereinigt!A$3:AM$103,5,FALSE))*VLOOKUP(A59,Schlußkurse!A$5:AU$105,38,FALSE))/VLOOKUP(A59,Aktien_im_Umlauf_splitbereinigt!A$3:AM$103,5,FALSE),0),0),0)</f>
        <v>0</v>
      </c>
      <c r="F59" s="97">
        <f>IF(VLOOKUP(A59,Aktien_im_Umlauf_splitbereinigt!A$3:AM$103,7,FALSE)&lt;&gt;"",IF(VLOOKUP(A59,Aktien_im_Umlauf_splitbereinigt!A$3:AM$103,6,FALSE)&lt;&gt;"",IF(VLOOKUP(A59,Schlußkurse!A$5:AU$105,39,FALSE)&gt;0,((VLOOKUP(A59,Aktien_im_Umlauf_splitbereinigt!A$3:AM$103,7,FALSE)-VLOOKUP(A59,Aktien_im_Umlauf_splitbereinigt!A$3:AM$103,6,FALSE))*VLOOKUP(A59,Schlußkurse!A$5:AU$105,39,FALSE))/VLOOKUP(A59,Aktien_im_Umlauf_splitbereinigt!A$3:AM$103,6,FALSE),0),0),0)</f>
        <v>-0.14800492057457326</v>
      </c>
      <c r="G59" s="97">
        <f>IF(VLOOKUP(A59,Aktien_im_Umlauf_splitbereinigt!A$3:AM$103,8,FALSE)&lt;&gt;"",IF(VLOOKUP(A59,Aktien_im_Umlauf_splitbereinigt!A$3:AM$103,7,FALSE)&lt;&gt;"",IF(VLOOKUP(A59,Schlußkurse!A$5:AU$105,40,FALSE)&gt;0,((VLOOKUP(A59,Aktien_im_Umlauf_splitbereinigt!A$3:AM$103,8,FALSE)-VLOOKUP(A59,Aktien_im_Umlauf_splitbereinigt!A$3:AM$103,7,FALSE))*VLOOKUP(A59,Schlußkurse!A$5:AU$105,40,FALSE))/VLOOKUP(A59,Aktien_im_Umlauf_splitbereinigt!A$3:AM$103,7,FALSE),0),0),0)</f>
        <v>-0.28756938163988127</v>
      </c>
      <c r="H59" s="97">
        <f>IF(VLOOKUP(A59,Aktien_im_Umlauf_splitbereinigt!A$3:AM$103,9,FALSE)&lt;&gt;"",IF(VLOOKUP(A59,Aktien_im_Umlauf_splitbereinigt!A$3:AM$103,8,FALSE)&lt;&gt;"",IF(VLOOKUP(A59,Schlußkurse!A$5:AU$105,41,FALSE)&gt;0,((VLOOKUP(A59,Aktien_im_Umlauf_splitbereinigt!A$3:AM$103,9,FALSE)-VLOOKUP(A59,Aktien_im_Umlauf_splitbereinigt!A$3:AM$103,8,FALSE))*VLOOKUP(A59,Schlußkurse!A$5:AU$105,41,FALSE))/VLOOKUP(A59,Aktien_im_Umlauf_splitbereinigt!A$3:AM$103,8,FALSE),0),0),0)</f>
        <v>-0.11453836535822318</v>
      </c>
      <c r="I59" s="97">
        <f>IF(VLOOKUP(A59,Aktien_im_Umlauf_splitbereinigt!A$3:AM$103,10,FALSE)&lt;&gt;"",IF(VLOOKUP(A59,Aktien_im_Umlauf_splitbereinigt!A$3:AM$103,9,FALSE)&lt;&gt;"",IF(VLOOKUP(A59,Schlußkurse!A$5:AU$105,42,FALSE)&gt;0,((VLOOKUP(A59,Aktien_im_Umlauf_splitbereinigt!A$3:AM$103,10,FALSE)-VLOOKUP(A59,Aktien_im_Umlauf_splitbereinigt!A$3:AM$103,9,FALSE))*VLOOKUP(A59,Schlußkurse!A$5:AU$105,42,FALSE))/VLOOKUP(A59,Aktien_im_Umlauf_splitbereinigt!A$3:AM$103,9,FALSE),0),0),0)</f>
        <v>-0.15575627221380142</v>
      </c>
      <c r="J59" s="97">
        <f>IF(VLOOKUP(A59,Aktien_im_Umlauf_splitbereinigt!A$3:AM$103,11,FALSE)&lt;&gt;"",IF(VLOOKUP(A59,Aktien_im_Umlauf_splitbereinigt!A$3:AM$103,10,FALSE)&lt;&gt;"",IF(VLOOKUP(A59,Schlußkurse!A$5:AU$105,43,FALSE)&gt;0,((VLOOKUP(A59,Aktien_im_Umlauf_splitbereinigt!A$3:AM$103,11,FALSE)-VLOOKUP(A59,Aktien_im_Umlauf_splitbereinigt!A$3:AM$103,10,FALSE))*VLOOKUP(A59,Schlußkurse!A$5:AU$105,43,FALSE))/VLOOKUP(A59,Aktien_im_Umlauf_splitbereinigt!A$3:AM$103,10,FALSE),0),0),0)</f>
        <v>0</v>
      </c>
      <c r="K59" s="97">
        <f>IF(VLOOKUP(A59,Aktien_im_Umlauf_splitbereinigt!A$3:AM$103,12,FALSE)&lt;&gt;"",IF(VLOOKUP(A59,Aktien_im_Umlauf_splitbereinigt!A$3:AM$103,11,FALSE)&lt;&gt;"",IF(VLOOKUP(A59,Schlußkurse!A$5:AU$105,44,FALSE)&gt;0,((VLOOKUP(A59,Aktien_im_Umlauf_splitbereinigt!A$3:AM$103,12,FALSE)-VLOOKUP(A59,Aktien_im_Umlauf_splitbereinigt!A$3:AM$103,11,FALSE))*VLOOKUP(A59,Schlußkurse!A$5:AU$105,44,FALSE))/VLOOKUP(A59,Aktien_im_Umlauf_splitbereinigt!A$3:AM$103,11,FALSE),0),0),0)</f>
        <v>-6.9352836977596725E-3</v>
      </c>
      <c r="L59" s="97">
        <f>IF(VLOOKUP(A59,Aktien_im_Umlauf_splitbereinigt!A$3:AM$103,13,FALSE)&lt;&gt;"",IF(VLOOKUP(A59,Aktien_im_Umlauf_splitbereinigt!A$3:AM$103,12,FALSE)&lt;&gt;"",IF(VLOOKUP(A59,Schlußkurse!A$5:AU$105,45,FALSE)&gt;0,((VLOOKUP(A59,Aktien_im_Umlauf_splitbereinigt!A$3:AM$103,13,FALSE)-VLOOKUP(A59,Aktien_im_Umlauf_splitbereinigt!A$3:AM$103,12,FALSE))*VLOOKUP(A59,Schlußkurse!A$5:AU$105,45,FALSE))/VLOOKUP(A59,Aktien_im_Umlauf_splitbereinigt!A$3:AM$103,12,FALSE),0),0),0)</f>
        <v>0</v>
      </c>
      <c r="M59" s="97">
        <f>IF(VLOOKUP(A59,Aktien_im_Umlauf_splitbereinigt!A$3:AM$103,14,FALSE)&lt;&gt;"",IF(VLOOKUP(A59,Aktien_im_Umlauf_splitbereinigt!A$3:AM$103,13,FALSE)&lt;&gt;"",IF(VLOOKUP(A59,Schlußkurse!A$5:AU$105,46,FALSE)&gt;0,((VLOOKUP(A59,Aktien_im_Umlauf_splitbereinigt!A$3:AM$103,14,FALSE)-VLOOKUP(A59,Aktien_im_Umlauf_splitbereinigt!A$3:AM$103,13,FALSE))*VLOOKUP(A59,Schlußkurse!A$5:AU$105,46,FALSE))/VLOOKUP(A59,Aktien_im_Umlauf_splitbereinigt!A$3:AM$103,13,FALSE),0),0),0)</f>
        <v>0</v>
      </c>
      <c r="N59" s="13">
        <f>IF(C59&gt;0,IF(VLOOKUP(A59,Dividende_je_Aktie!A$3:AM$103,8,FALSE)&lt;&gt;"",C59+VLOOKUP(A59,Dividende_je_Aktie!A$3:AM$103,8,FALSE),C59),IF(VLOOKUP(A59,Dividende_je_Aktie!A$3:AM$103,8,FALSE)&lt;&gt;"",VLOOKUP(A59,Dividende_je_Aktie!A$3:AM$103,8,FALSE),""))</f>
        <v>1.41</v>
      </c>
      <c r="O59" s="13">
        <f>IF(D59&gt;0,IF(VLOOKUP(A59,Dividende_je_Aktie!A$3:AM$103,9,FALSE)&lt;&gt;"",D59+VLOOKUP(A59,Dividende_je_Aktie!A$3:AM$103,9,FALSE),D59),IF(VLOOKUP(A59,Dividende_je_Aktie!A$3:AM$103,9,FALSE)&lt;&gt;"",VLOOKUP(A59,Dividende_je_Aktie!A$3:AM$103,9,FALSE),""))</f>
        <v>1.39</v>
      </c>
      <c r="P59" s="13">
        <f>IF(E59&gt;0,IF(VLOOKUP(A59,Dividende_je_Aktie!A$3:AM$103,10,FALSE)&lt;&gt;"",E59+VLOOKUP(A59,Dividende_je_Aktie!A$3:AM$103,10,FALSE),E59),IF(VLOOKUP(A59,Dividende_je_Aktie!A$3:AM$103,10,FALSE)&lt;&gt;"",VLOOKUP(A59,Dividende_je_Aktie!A$3:AM$103,10,FALSE),""))</f>
        <v>1.39</v>
      </c>
      <c r="Q59" s="13">
        <f>IF(F59&gt;0,IF(VLOOKUP(A59,Dividende_je_Aktie!A$3:AM$103,11,FALSE)&lt;&gt;"",F59+VLOOKUP(A59,Dividende_je_Aktie!A$3:AM$103,11,FALSE),F59),IF(VLOOKUP(A59,Dividende_je_Aktie!A$3:AM$103,11,FALSE)&lt;&gt;"",VLOOKUP(A59,Dividende_je_Aktie!A$3:AM$103,11,FALSE),""))</f>
        <v>1.37</v>
      </c>
      <c r="R59" s="13">
        <f>IF(G59&gt;0,IF(VLOOKUP(A59,Dividende_je_Aktie!A$3:AM$103,12,FALSE)&lt;&gt;"",G59+VLOOKUP(A59,Dividende_je_Aktie!A$3:AM$103,12,FALSE),G59),IF(VLOOKUP(A59,Dividende_je_Aktie!A$3:AM$103,12,FALSE)&lt;&gt;"",VLOOKUP(A59,Dividende_je_Aktie!A$3:AM$103,12,FALSE),""))</f>
        <v>1.34</v>
      </c>
      <c r="S59" s="13">
        <f>IF(H59&gt;0,IF(VLOOKUP(A59,Dividende_je_Aktie!A$3:AM$103,13,FALSE)&lt;&gt;"",H59+VLOOKUP(A59,Dividende_je_Aktie!A$3:AM$103,13,FALSE),H59),IF(VLOOKUP(A59,Dividende_je_Aktie!A$3:AM$103,13,FALSE)&lt;&gt;"",VLOOKUP(A59,Dividende_je_Aktie!A$3:AM$103,13,FALSE),""))</f>
        <v>1.25</v>
      </c>
      <c r="T59" s="13">
        <f>IF(I59&gt;0,IF(VLOOKUP(A59,Dividende_je_Aktie!A$3:AM$103,14,FALSE)&lt;&gt;"",I59+VLOOKUP(A59,Dividende_je_Aktie!A$3:AM$103,14,FALSE),I59),IF(VLOOKUP(A59,Dividende_je_Aktie!A$3:AM$103,14,FALSE)&lt;&gt;"",VLOOKUP(A59,Dividende_je_Aktie!A$3:AM$103,14,FALSE),""))</f>
        <v>1.1499999999999999</v>
      </c>
      <c r="U59" s="13">
        <f>IF(J59&gt;0,IF(VLOOKUP(A59,Dividende_je_Aktie!A$3:AM$103,15,FALSE)&lt;&gt;"",J59+VLOOKUP(A59,Dividende_je_Aktie!A$3:AM$103,15,FALSE),J59),IF(VLOOKUP(A59,Dividende_je_Aktie!A$3:AM$103,15,FALSE)&lt;&gt;"",VLOOKUP(A59,Dividende_je_Aktie!A$3:AM$103,15,FALSE),""))</f>
        <v>1</v>
      </c>
      <c r="V59" s="13">
        <f>IF(K59&gt;0,IF(VLOOKUP(A59,Dividende_je_Aktie!A$3:AM$103,16,FALSE)&lt;&gt;"",K59+VLOOKUP(A59,Dividende_je_Aktie!A$3:AM$103,16,FALSE),K59),IF(VLOOKUP(A59,Dividende_je_Aktie!A$3:AM$103,16,FALSE)&lt;&gt;"",VLOOKUP(A59,Dividende_je_Aktie!A$3:AM$103,16,FALSE),""))</f>
        <v>0.62</v>
      </c>
      <c r="W59" s="13">
        <f>IF(L59&gt;0,IF(VLOOKUP(A59,Dividende_je_Aktie!A$3:AM$103,17,FALSE)&lt;&gt;"",L59+VLOOKUP(A59,Dividende_je_Aktie!A$3:AM$103,17,FALSE),L59),IF(VLOOKUP(A59,Dividende_je_Aktie!A$3:AM$103,17,FALSE)&lt;&gt;"",VLOOKUP(A59,Dividende_je_Aktie!A$3:AM$103,17,FALSE),""))</f>
        <v>0.5</v>
      </c>
      <c r="X59" s="13">
        <f>IF(M59&gt;0,IF(VLOOKUP(A59,Dividende_je_Aktie!A$3:AM$103,18,FALSE)&lt;&gt;"",M59+VLOOKUP(A59,Dividende_je_Aktie!A$3:AM$103,18,FALSE),M59),IF(VLOOKUP(A59,Dividende_je_Aktie!A$3:AM$103,18,FALSE)&lt;&gt;"",VLOOKUP(A59,Dividende_je_Aktie!A$3:AM$103,18,FALSE),""))</f>
        <v>0.42</v>
      </c>
    </row>
    <row r="60" spans="1:24">
      <c r="A60" s="52" t="s">
        <v>252</v>
      </c>
      <c r="B60" s="52" t="s">
        <v>253</v>
      </c>
      <c r="C60" s="13">
        <f>IF(VLOOKUP(A60,Aktien_im_Umlauf_splitbereinigt!A$3:AM$103,4,FALSE)&lt;&gt;"",IF(VLOOKUP(A60,Aktien_im_Umlauf_splitbereinigt!A$3:AM$103,3,FALSE)&lt;&gt;"",IF(VLOOKUP(A60,Schlußkurse!A$5:AU$105,36,FALSE)&gt;0,((VLOOKUP(A60,Aktien_im_Umlauf_splitbereinigt!A$3:AM$103,4,FALSE)-VLOOKUP(A60,Aktien_im_Umlauf_splitbereinigt!A$3:AM$103,3,FALSE))*VLOOKUP(A60,Schlußkurse!A$5:AU$105,36,FALSE))/VLOOKUP(A60,Aktien_im_Umlauf_splitbereinigt!A$3:AM$103,3,FALSE),0),0),0)</f>
        <v>0</v>
      </c>
      <c r="D60" s="97">
        <f>IF(VLOOKUP(A60,Aktien_im_Umlauf_splitbereinigt!A$3:AM$103,5,FALSE)&lt;&gt;"",IF(VLOOKUP(A60,Aktien_im_Umlauf_splitbereinigt!A$3:AM$103,4,FALSE)&lt;&gt;"",IF(VLOOKUP(A60,Schlußkurse!A$5:AU$105,37,FALSE)&gt;0,((VLOOKUP(A60,Aktien_im_Umlauf_splitbereinigt!A$3:AM$103,5,FALSE)-VLOOKUP(A60,Aktien_im_Umlauf_splitbereinigt!A$3:AM$103,4,FALSE))*VLOOKUP(A60,Schlußkurse!A$5:AU$105,37,FALSE))/VLOOKUP(A60,Aktien_im_Umlauf_splitbereinigt!A$3:AM$103,4,FALSE),0),0),0)</f>
        <v>-22.146518987341775</v>
      </c>
      <c r="E60" s="97">
        <f>IF(VLOOKUP(A60,Aktien_im_Umlauf_splitbereinigt!A$3:AM$103,6,FALSE)&lt;&gt;"",IF(VLOOKUP(A60,Aktien_im_Umlauf_splitbereinigt!A$3:AM$103,5,FALSE)&lt;&gt;"",IF(VLOOKUP(A60,Schlußkurse!A$5:AU$105,38,FALSE)&gt;0,((VLOOKUP(A60,Aktien_im_Umlauf_splitbereinigt!A$3:AM$103,6,FALSE)-VLOOKUP(A60,Aktien_im_Umlauf_splitbereinigt!A$3:AM$103,5,FALSE))*VLOOKUP(A60,Schlußkurse!A$5:AU$105,38,FALSE))/VLOOKUP(A60,Aktien_im_Umlauf_splitbereinigt!A$3:AM$103,5,FALSE),0),0),0)</f>
        <v>1.0009409409409411</v>
      </c>
      <c r="F60" s="97">
        <f>IF(VLOOKUP(A60,Aktien_im_Umlauf_splitbereinigt!A$3:AM$103,7,FALSE)&lt;&gt;"",IF(VLOOKUP(A60,Aktien_im_Umlauf_splitbereinigt!A$3:AM$103,6,FALSE)&lt;&gt;"",IF(VLOOKUP(A60,Schlußkurse!A$5:AU$105,39,FALSE)&gt;0,((VLOOKUP(A60,Aktien_im_Umlauf_splitbereinigt!A$3:AM$103,7,FALSE)-VLOOKUP(A60,Aktien_im_Umlauf_splitbereinigt!A$3:AM$103,6,FALSE))*VLOOKUP(A60,Schlußkurse!A$5:AU$105,39,FALSE))/VLOOKUP(A60,Aktien_im_Umlauf_splitbereinigt!A$3:AM$103,6,FALSE),0),0),0)</f>
        <v>0.96525590551181106</v>
      </c>
      <c r="G60" s="97">
        <f>IF(VLOOKUP(A60,Aktien_im_Umlauf_splitbereinigt!A$3:AM$103,8,FALSE)&lt;&gt;"",IF(VLOOKUP(A60,Aktien_im_Umlauf_splitbereinigt!A$3:AM$103,7,FALSE)&lt;&gt;"",IF(VLOOKUP(A60,Schlußkurse!A$5:AU$105,40,FALSE)&gt;0,((VLOOKUP(A60,Aktien_im_Umlauf_splitbereinigt!A$3:AM$103,8,FALSE)-VLOOKUP(A60,Aktien_im_Umlauf_splitbereinigt!A$3:AM$103,7,FALSE))*VLOOKUP(A60,Schlußkurse!A$5:AU$105,40,FALSE))/VLOOKUP(A60,Aktien_im_Umlauf_splitbereinigt!A$3:AM$103,7,FALSE),0),0),0)</f>
        <v>1.2156219864995179</v>
      </c>
      <c r="H60" s="97">
        <f>IF(VLOOKUP(A60,Aktien_im_Umlauf_splitbereinigt!A$3:AM$103,9,FALSE)&lt;&gt;"",IF(VLOOKUP(A60,Aktien_im_Umlauf_splitbereinigt!A$3:AM$103,8,FALSE)&lt;&gt;"",IF(VLOOKUP(A60,Schlußkurse!A$5:AU$105,41,FALSE)&gt;0,((VLOOKUP(A60,Aktien_im_Umlauf_splitbereinigt!A$3:AM$103,9,FALSE)-VLOOKUP(A60,Aktien_im_Umlauf_splitbereinigt!A$3:AM$103,8,FALSE))*VLOOKUP(A60,Schlußkurse!A$5:AU$105,41,FALSE))/VLOOKUP(A60,Aktien_im_Umlauf_splitbereinigt!A$3:AM$103,8,FALSE),0),0),0)</f>
        <v>1.0535046728971962</v>
      </c>
      <c r="I60" s="97">
        <f>IF(VLOOKUP(A60,Aktien_im_Umlauf_splitbereinigt!A$3:AM$103,10,FALSE)&lt;&gt;"",IF(VLOOKUP(A60,Aktien_im_Umlauf_splitbereinigt!A$3:AM$103,9,FALSE)&lt;&gt;"",IF(VLOOKUP(A60,Schlußkurse!A$5:AU$105,42,FALSE)&gt;0,((VLOOKUP(A60,Aktien_im_Umlauf_splitbereinigt!A$3:AM$103,10,FALSE)-VLOOKUP(A60,Aktien_im_Umlauf_splitbereinigt!A$3:AM$103,9,FALSE))*VLOOKUP(A60,Schlußkurse!A$5:AU$105,42,FALSE))/VLOOKUP(A60,Aktien_im_Umlauf_splitbereinigt!A$3:AM$103,9,FALSE),0),0),0)</f>
        <v>0.87618960802187784</v>
      </c>
      <c r="J60" s="97">
        <f>IF(VLOOKUP(A60,Aktien_im_Umlauf_splitbereinigt!A$3:AM$103,11,FALSE)&lt;&gt;"",IF(VLOOKUP(A60,Aktien_im_Umlauf_splitbereinigt!A$3:AM$103,10,FALSE)&lt;&gt;"",IF(VLOOKUP(A60,Schlußkurse!A$5:AU$105,43,FALSE)&gt;0,((VLOOKUP(A60,Aktien_im_Umlauf_splitbereinigt!A$3:AM$103,11,FALSE)-VLOOKUP(A60,Aktien_im_Umlauf_splitbereinigt!A$3:AM$103,10,FALSE))*VLOOKUP(A60,Schlußkurse!A$5:AU$105,43,FALSE))/VLOOKUP(A60,Aktien_im_Umlauf_splitbereinigt!A$3:AM$103,10,FALSE),0),0),0)</f>
        <v>0.17158176943699732</v>
      </c>
      <c r="K60" s="97">
        <f>IF(VLOOKUP(A60,Aktien_im_Umlauf_splitbereinigt!A$3:AM$103,12,FALSE)&lt;&gt;"",IF(VLOOKUP(A60,Aktien_im_Umlauf_splitbereinigt!A$3:AM$103,11,FALSE)&lt;&gt;"",IF(VLOOKUP(A60,Schlußkurse!A$5:AU$105,44,FALSE)&gt;0,((VLOOKUP(A60,Aktien_im_Umlauf_splitbereinigt!A$3:AM$103,12,FALSE)-VLOOKUP(A60,Aktien_im_Umlauf_splitbereinigt!A$3:AM$103,11,FALSE))*VLOOKUP(A60,Schlußkurse!A$5:AU$105,44,FALSE))/VLOOKUP(A60,Aktien_im_Umlauf_splitbereinigt!A$3:AM$103,11,FALSE),0),0),0)</f>
        <v>0.77888000000000002</v>
      </c>
      <c r="L60" s="97">
        <f>IF(VLOOKUP(A60,Aktien_im_Umlauf_splitbereinigt!A$3:AM$103,13,FALSE)&lt;&gt;"",IF(VLOOKUP(A60,Aktien_im_Umlauf_splitbereinigt!A$3:AM$103,12,FALSE)&lt;&gt;"",IF(VLOOKUP(A60,Schlußkurse!A$5:AU$105,45,FALSE)&gt;0,((VLOOKUP(A60,Aktien_im_Umlauf_splitbereinigt!A$3:AM$103,13,FALSE)-VLOOKUP(A60,Aktien_im_Umlauf_splitbereinigt!A$3:AM$103,12,FALSE))*VLOOKUP(A60,Schlußkurse!A$5:AU$105,45,FALSE))/VLOOKUP(A60,Aktien_im_Umlauf_splitbereinigt!A$3:AM$103,12,FALSE),0),0),0)</f>
        <v>0.55611548556430446</v>
      </c>
      <c r="M60" s="97">
        <f>IF(VLOOKUP(A60,Aktien_im_Umlauf_splitbereinigt!A$3:AM$103,14,FALSE)&lt;&gt;"",IF(VLOOKUP(A60,Aktien_im_Umlauf_splitbereinigt!A$3:AM$103,13,FALSE)&lt;&gt;"",IF(VLOOKUP(A60,Schlußkurse!A$5:AU$105,46,FALSE)&gt;0,((VLOOKUP(A60,Aktien_im_Umlauf_splitbereinigt!A$3:AM$103,14,FALSE)-VLOOKUP(A60,Aktien_im_Umlauf_splitbereinigt!A$3:AM$103,13,FALSE))*VLOOKUP(A60,Schlußkurse!A$5:AU$105,46,FALSE))/VLOOKUP(A60,Aktien_im_Umlauf_splitbereinigt!A$3:AM$103,13,FALSE),0),0),0)</f>
        <v>2.3866666666666667</v>
      </c>
      <c r="N60" s="13">
        <f>IF(C60&gt;0,IF(VLOOKUP(A60,Dividende_je_Aktie!A$3:AM$103,8,FALSE)&lt;&gt;"",C60+VLOOKUP(A60,Dividende_je_Aktie!A$3:AM$103,8,FALSE),C60),IF(VLOOKUP(A60,Dividende_je_Aktie!A$3:AM$103,8,FALSE)&lt;&gt;"",VLOOKUP(A60,Dividende_je_Aktie!A$3:AM$103,8,FALSE),""))</f>
        <v>1.5</v>
      </c>
      <c r="O60" s="13">
        <f>IF(D60&gt;0,IF(VLOOKUP(A60,Dividende_je_Aktie!A$3:AM$103,9,FALSE)&lt;&gt;"",D60+VLOOKUP(A60,Dividende_je_Aktie!A$3:AM$103,9,FALSE),D60),IF(VLOOKUP(A60,Dividende_je_Aktie!A$3:AM$103,9,FALSE)&lt;&gt;"",VLOOKUP(A60,Dividende_je_Aktie!A$3:AM$103,9,FALSE),""))</f>
        <v>1.22</v>
      </c>
      <c r="P60" s="13">
        <f>IF(E60&gt;0,IF(VLOOKUP(A60,Dividende_je_Aktie!A$3:AM$103,10,FALSE)&lt;&gt;"",E60+VLOOKUP(A60,Dividende_je_Aktie!A$3:AM$103,10,FALSE),E60),IF(VLOOKUP(A60,Dividende_je_Aktie!A$3:AM$103,10,FALSE)&lt;&gt;"",VLOOKUP(A60,Dividende_je_Aktie!A$3:AM$103,10,FALSE),""))</f>
        <v>2.1209409409409412</v>
      </c>
      <c r="Q60" s="13">
        <f>IF(F60&gt;0,IF(VLOOKUP(A60,Dividende_je_Aktie!A$3:AM$103,11,FALSE)&lt;&gt;"",F60+VLOOKUP(A60,Dividende_je_Aktie!A$3:AM$103,11,FALSE),F60),IF(VLOOKUP(A60,Dividende_je_Aktie!A$3:AM$103,11,FALSE)&lt;&gt;"",VLOOKUP(A60,Dividende_je_Aktie!A$3:AM$103,11,FALSE),""))</f>
        <v>2.0052559055118113</v>
      </c>
      <c r="R60" s="13">
        <f>IF(G60&gt;0,IF(VLOOKUP(A60,Dividende_je_Aktie!A$3:AM$103,12,FALSE)&lt;&gt;"",G60+VLOOKUP(A60,Dividende_je_Aktie!A$3:AM$103,12,FALSE),G60),IF(VLOOKUP(A60,Dividende_je_Aktie!A$3:AM$103,12,FALSE)&lt;&gt;"",VLOOKUP(A60,Dividende_je_Aktie!A$3:AM$103,12,FALSE),""))</f>
        <v>2.1856219864995179</v>
      </c>
      <c r="S60" s="13">
        <f>IF(H60&gt;0,IF(VLOOKUP(A60,Dividende_je_Aktie!A$3:AM$103,13,FALSE)&lt;&gt;"",H60+VLOOKUP(A60,Dividende_je_Aktie!A$3:AM$103,13,FALSE),H60),IF(VLOOKUP(A60,Dividende_je_Aktie!A$3:AM$103,13,FALSE)&lt;&gt;"",VLOOKUP(A60,Dividende_je_Aktie!A$3:AM$103,13,FALSE),""))</f>
        <v>1.9535046728971963</v>
      </c>
      <c r="T60" s="13">
        <f>IF(I60&gt;0,IF(VLOOKUP(A60,Dividende_je_Aktie!A$3:AM$103,14,FALSE)&lt;&gt;"",I60+VLOOKUP(A60,Dividende_je_Aktie!A$3:AM$103,14,FALSE),I60),IF(VLOOKUP(A60,Dividende_je_Aktie!A$3:AM$103,14,FALSE)&lt;&gt;"",VLOOKUP(A60,Dividende_je_Aktie!A$3:AM$103,14,FALSE),""))</f>
        <v>1.6961896080218777</v>
      </c>
      <c r="U60" s="13">
        <f>IF(J60&gt;0,IF(VLOOKUP(A60,Dividende_je_Aktie!A$3:AM$103,15,FALSE)&lt;&gt;"",J60+VLOOKUP(A60,Dividende_je_Aktie!A$3:AM$103,15,FALSE),J60),IF(VLOOKUP(A60,Dividende_je_Aktie!A$3:AM$103,15,FALSE)&lt;&gt;"",VLOOKUP(A60,Dividende_je_Aktie!A$3:AM$103,15,FALSE),""))</f>
        <v>0.92158176943699732</v>
      </c>
      <c r="V60" s="13">
        <f>IF(K60&gt;0,IF(VLOOKUP(A60,Dividende_je_Aktie!A$3:AM$103,16,FALSE)&lt;&gt;"",K60+VLOOKUP(A60,Dividende_je_Aktie!A$3:AM$103,16,FALSE),K60),IF(VLOOKUP(A60,Dividende_je_Aktie!A$3:AM$103,16,FALSE)&lt;&gt;"",VLOOKUP(A60,Dividende_je_Aktie!A$3:AM$103,16,FALSE),""))</f>
        <v>1.27888</v>
      </c>
      <c r="W60" s="13">
        <f>IF(L60&gt;0,IF(VLOOKUP(A60,Dividende_je_Aktie!A$3:AM$103,17,FALSE)&lt;&gt;"",L60+VLOOKUP(A60,Dividende_je_Aktie!A$3:AM$103,17,FALSE),L60),IF(VLOOKUP(A60,Dividende_je_Aktie!A$3:AM$103,17,FALSE)&lt;&gt;"",VLOOKUP(A60,Dividende_je_Aktie!A$3:AM$103,17,FALSE),""))</f>
        <v>0.9961154855643044</v>
      </c>
      <c r="X60" s="13">
        <f>IF(M60&gt;0,IF(VLOOKUP(A60,Dividende_je_Aktie!A$3:AM$103,18,FALSE)&lt;&gt;"",M60+VLOOKUP(A60,Dividende_je_Aktie!A$3:AM$103,18,FALSE),M60),IF(VLOOKUP(A60,Dividende_je_Aktie!A$3:AM$103,18,FALSE)&lt;&gt;"",VLOOKUP(A60,Dividende_je_Aktie!A$3:AM$103,18,FALSE),""))</f>
        <v>2.7766666666666668</v>
      </c>
    </row>
    <row r="61" spans="1:24">
      <c r="A61" t="s">
        <v>89</v>
      </c>
      <c r="B61" t="s">
        <v>90</v>
      </c>
      <c r="C61" s="13">
        <f>IF(VLOOKUP(A61,Aktien_im_Umlauf_splitbereinigt!A$3:AM$103,4,FALSE)&lt;&gt;"",IF(VLOOKUP(A61,Aktien_im_Umlauf_splitbereinigt!A$3:AM$103,3,FALSE)&lt;&gt;"",IF(VLOOKUP(A61,Schlußkurse!A$5:AU$105,36,FALSE)&gt;0,((VLOOKUP(A61,Aktien_im_Umlauf_splitbereinigt!A$3:AM$103,4,FALSE)-VLOOKUP(A61,Aktien_im_Umlauf_splitbereinigt!A$3:AM$103,3,FALSE))*VLOOKUP(A61,Schlußkurse!A$5:AU$105,36,FALSE))/VLOOKUP(A61,Aktien_im_Umlauf_splitbereinigt!A$3:AM$103,3,FALSE),0),0),0)</f>
        <v>0</v>
      </c>
      <c r="D61" s="97">
        <f>IF(VLOOKUP(A61,Aktien_im_Umlauf_splitbereinigt!A$3:AM$103,5,FALSE)&lt;&gt;"",IF(VLOOKUP(A61,Aktien_im_Umlauf_splitbereinigt!A$3:AM$103,4,FALSE)&lt;&gt;"",IF(VLOOKUP(A61,Schlußkurse!A$5:AU$105,37,FALSE)&gt;0,((VLOOKUP(A61,Aktien_im_Umlauf_splitbereinigt!A$3:AM$103,5,FALSE)-VLOOKUP(A61,Aktien_im_Umlauf_splitbereinigt!A$3:AM$103,4,FALSE))*VLOOKUP(A61,Schlußkurse!A$5:AU$105,37,FALSE))/VLOOKUP(A61,Aktien_im_Umlauf_splitbereinigt!A$3:AM$103,4,FALSE),0),0),0)</f>
        <v>0.35638775510204079</v>
      </c>
      <c r="E61" s="97">
        <f>IF(VLOOKUP(A61,Aktien_im_Umlauf_splitbereinigt!A$3:AM$103,6,FALSE)&lt;&gt;"",IF(VLOOKUP(A61,Aktien_im_Umlauf_splitbereinigt!A$3:AM$103,5,FALSE)&lt;&gt;"",IF(VLOOKUP(A61,Schlußkurse!A$5:AU$105,38,FALSE)&gt;0,((VLOOKUP(A61,Aktien_im_Umlauf_splitbereinigt!A$3:AM$103,6,FALSE)-VLOOKUP(A61,Aktien_im_Umlauf_splitbereinigt!A$3:AM$103,5,FALSE))*VLOOKUP(A61,Schlußkurse!A$5:AU$105,38,FALSE))/VLOOKUP(A61,Aktien_im_Umlauf_splitbereinigt!A$3:AM$103,5,FALSE),0),0),0)</f>
        <v>0.52468052738336712</v>
      </c>
      <c r="F61" s="97">
        <f>IF(VLOOKUP(A61,Aktien_im_Umlauf_splitbereinigt!A$3:AM$103,7,FALSE)&lt;&gt;"",IF(VLOOKUP(A61,Aktien_im_Umlauf_splitbereinigt!A$3:AM$103,6,FALSE)&lt;&gt;"",IF(VLOOKUP(A61,Schlußkurse!A$5:AU$105,39,FALSE)&gt;0,((VLOOKUP(A61,Aktien_im_Umlauf_splitbereinigt!A$3:AM$103,7,FALSE)-VLOOKUP(A61,Aktien_im_Umlauf_splitbereinigt!A$3:AM$103,6,FALSE))*VLOOKUP(A61,Schlußkurse!A$5:AU$105,39,FALSE))/VLOOKUP(A61,Aktien_im_Umlauf_splitbereinigt!A$3:AM$103,6,FALSE),0),0),0)</f>
        <v>0.32746111389864524</v>
      </c>
      <c r="G61" s="97">
        <f>IF(VLOOKUP(A61,Aktien_im_Umlauf_splitbereinigt!A$3:AM$103,8,FALSE)&lt;&gt;"",IF(VLOOKUP(A61,Aktien_im_Umlauf_splitbereinigt!A$3:AM$103,7,FALSE)&lt;&gt;"",IF(VLOOKUP(A61,Schlußkurse!A$5:AU$105,40,FALSE)&gt;0,((VLOOKUP(A61,Aktien_im_Umlauf_splitbereinigt!A$3:AM$103,8,FALSE)-VLOOKUP(A61,Aktien_im_Umlauf_splitbereinigt!A$3:AM$103,7,FALSE))*VLOOKUP(A61,Schlußkurse!A$5:AU$105,40,FALSE))/VLOOKUP(A61,Aktien_im_Umlauf_splitbereinigt!A$3:AM$103,7,FALSE),0),0),0)</f>
        <v>0.56310447761194038</v>
      </c>
      <c r="H61" s="97">
        <f>IF(VLOOKUP(A61,Aktien_im_Umlauf_splitbereinigt!A$3:AM$103,9,FALSE)&lt;&gt;"",IF(VLOOKUP(A61,Aktien_im_Umlauf_splitbereinigt!A$3:AM$103,8,FALSE)&lt;&gt;"",IF(VLOOKUP(A61,Schlußkurse!A$5:AU$105,41,FALSE)&gt;0,((VLOOKUP(A61,Aktien_im_Umlauf_splitbereinigt!A$3:AM$103,9,FALSE)-VLOOKUP(A61,Aktien_im_Umlauf_splitbereinigt!A$3:AM$103,8,FALSE))*VLOOKUP(A61,Schlußkurse!A$5:AU$105,41,FALSE))/VLOOKUP(A61,Aktien_im_Umlauf_splitbereinigt!A$3:AM$103,8,FALSE),0),0),0)</f>
        <v>0.62314271749755623</v>
      </c>
      <c r="I61" s="97">
        <f>IF(VLOOKUP(A61,Aktien_im_Umlauf_splitbereinigt!A$3:AM$103,10,FALSE)&lt;&gt;"",IF(VLOOKUP(A61,Aktien_im_Umlauf_splitbereinigt!A$3:AM$103,9,FALSE)&lt;&gt;"",IF(VLOOKUP(A61,Schlußkurse!A$5:AU$105,42,FALSE)&gt;0,((VLOOKUP(A61,Aktien_im_Umlauf_splitbereinigt!A$3:AM$103,10,FALSE)-VLOOKUP(A61,Aktien_im_Umlauf_splitbereinigt!A$3:AM$103,9,FALSE))*VLOOKUP(A61,Schlußkurse!A$5:AU$105,42,FALSE))/VLOOKUP(A61,Aktien_im_Umlauf_splitbereinigt!A$3:AM$103,9,FALSE),0),0),0)</f>
        <v>-9.4284346577309719E-2</v>
      </c>
      <c r="J61" s="97">
        <f>IF(VLOOKUP(A61,Aktien_im_Umlauf_splitbereinigt!A$3:AM$103,11,FALSE)&lt;&gt;"",IF(VLOOKUP(A61,Aktien_im_Umlauf_splitbereinigt!A$3:AM$103,10,FALSE)&lt;&gt;"",IF(VLOOKUP(A61,Schlußkurse!A$5:AU$105,43,FALSE)&gt;0,((VLOOKUP(A61,Aktien_im_Umlauf_splitbereinigt!A$3:AM$103,11,FALSE)-VLOOKUP(A61,Aktien_im_Umlauf_splitbereinigt!A$3:AM$103,10,FALSE))*VLOOKUP(A61,Schlußkurse!A$5:AU$105,43,FALSE))/VLOOKUP(A61,Aktien_im_Umlauf_splitbereinigt!A$3:AM$103,10,FALSE),0),0),0)</f>
        <v>-0.18865929841422391</v>
      </c>
      <c r="K61" s="97">
        <f>IF(VLOOKUP(A61,Aktien_im_Umlauf_splitbereinigt!A$3:AM$103,12,FALSE)&lt;&gt;"",IF(VLOOKUP(A61,Aktien_im_Umlauf_splitbereinigt!A$3:AM$103,11,FALSE)&lt;&gt;"",IF(VLOOKUP(A61,Schlußkurse!A$5:AU$105,44,FALSE)&gt;0,((VLOOKUP(A61,Aktien_im_Umlauf_splitbereinigt!A$3:AM$103,12,FALSE)-VLOOKUP(A61,Aktien_im_Umlauf_splitbereinigt!A$3:AM$103,11,FALSE))*VLOOKUP(A61,Schlußkurse!A$5:AU$105,44,FALSE))/VLOOKUP(A61,Aktien_im_Umlauf_splitbereinigt!A$3:AM$103,11,FALSE),0),0),0)</f>
        <v>0.21262882096069868</v>
      </c>
      <c r="L61" s="97">
        <f>IF(VLOOKUP(A61,Aktien_im_Umlauf_splitbereinigt!A$3:AM$103,13,FALSE)&lt;&gt;"",IF(VLOOKUP(A61,Aktien_im_Umlauf_splitbereinigt!A$3:AM$103,12,FALSE)&lt;&gt;"",IF(VLOOKUP(A61,Schlußkurse!A$5:AU$105,45,FALSE)&gt;0,((VLOOKUP(A61,Aktien_im_Umlauf_splitbereinigt!A$3:AM$103,13,FALSE)-VLOOKUP(A61,Aktien_im_Umlauf_splitbereinigt!A$3:AM$103,12,FALSE))*VLOOKUP(A61,Schlußkurse!A$5:AU$105,45,FALSE))/VLOOKUP(A61,Aktien_im_Umlauf_splitbereinigt!A$3:AM$103,12,FALSE),0),0),0)</f>
        <v>-0.12511195445920303</v>
      </c>
      <c r="M61" s="97">
        <f>IF(VLOOKUP(A61,Aktien_im_Umlauf_splitbereinigt!A$3:AM$103,14,FALSE)&lt;&gt;"",IF(VLOOKUP(A61,Aktien_im_Umlauf_splitbereinigt!A$3:AM$103,13,FALSE)&lt;&gt;"",IF(VLOOKUP(A61,Schlußkurse!A$5:AU$105,46,FALSE)&gt;0,((VLOOKUP(A61,Aktien_im_Umlauf_splitbereinigt!A$3:AM$103,14,FALSE)-VLOOKUP(A61,Aktien_im_Umlauf_splitbereinigt!A$3:AM$103,13,FALSE))*VLOOKUP(A61,Schlußkurse!A$5:AU$105,46,FALSE))/VLOOKUP(A61,Aktien_im_Umlauf_splitbereinigt!A$3:AM$103,13,FALSE),0),0),0)</f>
        <v>-0.13947877920839297</v>
      </c>
      <c r="N61" s="13">
        <f>IF(C61&gt;0,IF(VLOOKUP(A61,Dividende_je_Aktie!A$3:AM$103,8,FALSE)&lt;&gt;"",C61+VLOOKUP(A61,Dividende_je_Aktie!A$3:AM$103,8,FALSE),C61),IF(VLOOKUP(A61,Dividende_je_Aktie!A$3:AM$103,8,FALSE)&lt;&gt;"",VLOOKUP(A61,Dividende_je_Aktie!A$3:AM$103,8,FALSE),""))</f>
        <v>2.38</v>
      </c>
      <c r="O61" s="13">
        <f>IF(D61&gt;0,IF(VLOOKUP(A61,Dividende_je_Aktie!A$3:AM$103,9,FALSE)&lt;&gt;"",D61+VLOOKUP(A61,Dividende_je_Aktie!A$3:AM$103,9,FALSE),D61),IF(VLOOKUP(A61,Dividende_je_Aktie!A$3:AM$103,9,FALSE)&lt;&gt;"",VLOOKUP(A61,Dividende_je_Aktie!A$3:AM$103,9,FALSE),""))</f>
        <v>2.5263877551020406</v>
      </c>
      <c r="P61" s="13">
        <f>IF(E61&gt;0,IF(VLOOKUP(A61,Dividende_je_Aktie!A$3:AM$103,10,FALSE)&lt;&gt;"",E61+VLOOKUP(A61,Dividende_je_Aktie!A$3:AM$103,10,FALSE),E61),IF(VLOOKUP(A61,Dividende_je_Aktie!A$3:AM$103,10,FALSE)&lt;&gt;"",VLOOKUP(A61,Dividende_je_Aktie!A$3:AM$103,10,FALSE),""))</f>
        <v>2.5246805273833672</v>
      </c>
      <c r="Q61" s="13">
        <f>IF(F61&gt;0,IF(VLOOKUP(A61,Dividende_je_Aktie!A$3:AM$103,11,FALSE)&lt;&gt;"",F61+VLOOKUP(A61,Dividende_je_Aktie!A$3:AM$103,11,FALSE),F61),IF(VLOOKUP(A61,Dividende_je_Aktie!A$3:AM$103,11,FALSE)&lt;&gt;"",VLOOKUP(A61,Dividende_je_Aktie!A$3:AM$103,11,FALSE),""))</f>
        <v>2.1674611138986455</v>
      </c>
      <c r="R61" s="13">
        <f>IF(G61&gt;0,IF(VLOOKUP(A61,Dividende_je_Aktie!A$3:AM$103,12,FALSE)&lt;&gt;"",G61+VLOOKUP(A61,Dividende_je_Aktie!A$3:AM$103,12,FALSE),G61),IF(VLOOKUP(A61,Dividende_je_Aktie!A$3:AM$103,12,FALSE)&lt;&gt;"",VLOOKUP(A61,Dividende_je_Aktie!A$3:AM$103,12,FALSE),""))</f>
        <v>2.2631044776119404</v>
      </c>
      <c r="S61" s="13">
        <f>IF(H61&gt;0,IF(VLOOKUP(A61,Dividende_je_Aktie!A$3:AM$103,13,FALSE)&lt;&gt;"",H61+VLOOKUP(A61,Dividende_je_Aktie!A$3:AM$103,13,FALSE),H61),IF(VLOOKUP(A61,Dividende_je_Aktie!A$3:AM$103,13,FALSE)&lt;&gt;"",VLOOKUP(A61,Dividende_je_Aktie!A$3:AM$103,13,FALSE),""))</f>
        <v>2.2031427174975562</v>
      </c>
      <c r="T61" s="13">
        <f>IF(I61&gt;0,IF(VLOOKUP(A61,Dividende_je_Aktie!A$3:AM$103,14,FALSE)&lt;&gt;"",I61+VLOOKUP(A61,Dividende_je_Aktie!A$3:AM$103,14,FALSE),I61),IF(VLOOKUP(A61,Dividende_je_Aktie!A$3:AM$103,14,FALSE)&lt;&gt;"",VLOOKUP(A61,Dividende_je_Aktie!A$3:AM$103,14,FALSE),""))</f>
        <v>1.46</v>
      </c>
      <c r="U61" s="13">
        <f>IF(J61&gt;0,IF(VLOOKUP(A61,Dividende_je_Aktie!A$3:AM$103,15,FALSE)&lt;&gt;"",J61+VLOOKUP(A61,Dividende_je_Aktie!A$3:AM$103,15,FALSE),J61),IF(VLOOKUP(A61,Dividende_je_Aktie!A$3:AM$103,15,FALSE)&lt;&gt;"",VLOOKUP(A61,Dividende_je_Aktie!A$3:AM$103,15,FALSE),""))</f>
        <v>1.32</v>
      </c>
      <c r="V61" s="13">
        <f>IF(K61&gt;0,IF(VLOOKUP(A61,Dividende_je_Aktie!A$3:AM$103,16,FALSE)&lt;&gt;"",K61+VLOOKUP(A61,Dividende_je_Aktie!A$3:AM$103,16,FALSE),K61),IF(VLOOKUP(A61,Dividende_je_Aktie!A$3:AM$103,16,FALSE)&lt;&gt;"",VLOOKUP(A61,Dividende_je_Aktie!A$3:AM$103,16,FALSE),""))</f>
        <v>1.2526288209606986</v>
      </c>
      <c r="W61" s="13">
        <f>IF(L61&gt;0,IF(VLOOKUP(A61,Dividende_je_Aktie!A$3:AM$103,17,FALSE)&lt;&gt;"",L61+VLOOKUP(A61,Dividende_je_Aktie!A$3:AM$103,17,FALSE),L61),IF(VLOOKUP(A61,Dividende_je_Aktie!A$3:AM$103,17,FALSE)&lt;&gt;"",VLOOKUP(A61,Dividende_je_Aktie!A$3:AM$103,17,FALSE),""))</f>
        <v>0.94199999999999995</v>
      </c>
      <c r="X61" s="13">
        <f>IF(M61&gt;0,IF(VLOOKUP(A61,Dividende_je_Aktie!A$3:AM$103,18,FALSE)&lt;&gt;"",M61+VLOOKUP(A61,Dividende_je_Aktie!A$3:AM$103,18,FALSE),M61),IF(VLOOKUP(A61,Dividende_je_Aktie!A$3:AM$103,18,FALSE)&lt;&gt;"",VLOOKUP(A61,Dividende_je_Aktie!A$3:AM$103,18,FALSE),""))</f>
        <v>0.83499999999999996</v>
      </c>
    </row>
    <row r="62" spans="1:24">
      <c r="A62" t="s">
        <v>92</v>
      </c>
      <c r="B62" t="s">
        <v>93</v>
      </c>
      <c r="C62" s="13">
        <f>IF(VLOOKUP(A62,Aktien_im_Umlauf_splitbereinigt!A$3:AM$103,4,FALSE)&lt;&gt;"",IF(VLOOKUP(A62,Aktien_im_Umlauf_splitbereinigt!A$3:AM$103,3,FALSE)&lt;&gt;"",IF(VLOOKUP(A62,Schlußkurse!A$5:AU$105,36,FALSE)&gt;0,((VLOOKUP(A62,Aktien_im_Umlauf_splitbereinigt!A$3:AM$103,4,FALSE)-VLOOKUP(A62,Aktien_im_Umlauf_splitbereinigt!A$3:AM$103,3,FALSE))*VLOOKUP(A62,Schlußkurse!A$5:AU$105,36,FALSE))/VLOOKUP(A62,Aktien_im_Umlauf_splitbereinigt!A$3:AM$103,3,FALSE),0),0),0)</f>
        <v>0</v>
      </c>
      <c r="D62" s="97">
        <f>IF(VLOOKUP(A62,Aktien_im_Umlauf_splitbereinigt!A$3:AM$103,5,FALSE)&lt;&gt;"",IF(VLOOKUP(A62,Aktien_im_Umlauf_splitbereinigt!A$3:AM$103,4,FALSE)&lt;&gt;"",IF(VLOOKUP(A62,Schlußkurse!A$5:AU$105,37,FALSE)&gt;0,((VLOOKUP(A62,Aktien_im_Umlauf_splitbereinigt!A$3:AM$103,5,FALSE)-VLOOKUP(A62,Aktien_im_Umlauf_splitbereinigt!A$3:AM$103,4,FALSE))*VLOOKUP(A62,Schlußkurse!A$5:AU$105,37,FALSE))/VLOOKUP(A62,Aktien_im_Umlauf_splitbereinigt!A$3:AM$103,4,FALSE),0),0),0)</f>
        <v>1.2942542174711831</v>
      </c>
      <c r="E62" s="97">
        <f>IF(VLOOKUP(A62,Aktien_im_Umlauf_splitbereinigt!A$3:AM$103,6,FALSE)&lt;&gt;"",IF(VLOOKUP(A62,Aktien_im_Umlauf_splitbereinigt!A$3:AM$103,5,FALSE)&lt;&gt;"",IF(VLOOKUP(A62,Schlußkurse!A$5:AU$105,38,FALSE)&gt;0,((VLOOKUP(A62,Aktien_im_Umlauf_splitbereinigt!A$3:AM$103,6,FALSE)-VLOOKUP(A62,Aktien_im_Umlauf_splitbereinigt!A$3:AM$103,5,FALSE))*VLOOKUP(A62,Schlußkurse!A$5:AU$105,38,FALSE))/VLOOKUP(A62,Aktien_im_Umlauf_splitbereinigt!A$3:AM$103,5,FALSE),0),0),0)</f>
        <v>2.5379902040816287</v>
      </c>
      <c r="F62" s="97">
        <f>IF(VLOOKUP(A62,Aktien_im_Umlauf_splitbereinigt!A$3:AM$103,7,FALSE)&lt;&gt;"",IF(VLOOKUP(A62,Aktien_im_Umlauf_splitbereinigt!A$3:AM$103,6,FALSE)&lt;&gt;"",IF(VLOOKUP(A62,Schlußkurse!A$5:AU$105,39,FALSE)&gt;0,((VLOOKUP(A62,Aktien_im_Umlauf_splitbereinigt!A$3:AM$103,7,FALSE)-VLOOKUP(A62,Aktien_im_Umlauf_splitbereinigt!A$3:AM$103,6,FALSE))*VLOOKUP(A62,Schlußkurse!A$5:AU$105,39,FALSE))/VLOOKUP(A62,Aktien_im_Umlauf_splitbereinigt!A$3:AM$103,6,FALSE),0),0),0)</f>
        <v>0.56572409488140163</v>
      </c>
      <c r="G62" s="97">
        <f>IF(VLOOKUP(A62,Aktien_im_Umlauf_splitbereinigt!A$3:AM$103,8,FALSE)&lt;&gt;"",IF(VLOOKUP(A62,Aktien_im_Umlauf_splitbereinigt!A$3:AM$103,7,FALSE)&lt;&gt;"",IF(VLOOKUP(A62,Schlußkurse!A$5:AU$105,40,FALSE)&gt;0,((VLOOKUP(A62,Aktien_im_Umlauf_splitbereinigt!A$3:AM$103,8,FALSE)-VLOOKUP(A62,Aktien_im_Umlauf_splitbereinigt!A$3:AM$103,7,FALSE))*VLOOKUP(A62,Schlußkurse!A$5:AU$105,40,FALSE))/VLOOKUP(A62,Aktien_im_Umlauf_splitbereinigt!A$3:AM$103,7,FALSE),0),0),0)</f>
        <v>-0.2186622976098716</v>
      </c>
      <c r="H62" s="97">
        <f>IF(VLOOKUP(A62,Aktien_im_Umlauf_splitbereinigt!A$3:AM$103,9,FALSE)&lt;&gt;"",IF(VLOOKUP(A62,Aktien_im_Umlauf_splitbereinigt!A$3:AM$103,8,FALSE)&lt;&gt;"",IF(VLOOKUP(A62,Schlußkurse!A$5:AU$105,41,FALSE)&gt;0,((VLOOKUP(A62,Aktien_im_Umlauf_splitbereinigt!A$3:AM$103,9,FALSE)-VLOOKUP(A62,Aktien_im_Umlauf_splitbereinigt!A$3:AM$103,8,FALSE))*VLOOKUP(A62,Schlußkurse!A$5:AU$105,41,FALSE))/VLOOKUP(A62,Aktien_im_Umlauf_splitbereinigt!A$3:AM$103,8,FALSE),0),0),0)</f>
        <v>0.39473945409429845</v>
      </c>
      <c r="I62" s="97">
        <f>IF(VLOOKUP(A62,Aktien_im_Umlauf_splitbereinigt!A$3:AM$103,10,FALSE)&lt;&gt;"",IF(VLOOKUP(A62,Aktien_im_Umlauf_splitbereinigt!A$3:AM$103,9,FALSE)&lt;&gt;"",IF(VLOOKUP(A62,Schlußkurse!A$5:AU$105,42,FALSE)&gt;0,((VLOOKUP(A62,Aktien_im_Umlauf_splitbereinigt!A$3:AM$103,10,FALSE)-VLOOKUP(A62,Aktien_im_Umlauf_splitbereinigt!A$3:AM$103,9,FALSE))*VLOOKUP(A62,Schlußkurse!A$5:AU$105,42,FALSE))/VLOOKUP(A62,Aktien_im_Umlauf_splitbereinigt!A$3:AM$103,9,FALSE),0),0),0)</f>
        <v>-2.18765356265406E-2</v>
      </c>
      <c r="J62" s="97">
        <f>IF(VLOOKUP(A62,Aktien_im_Umlauf_splitbereinigt!A$3:AM$103,11,FALSE)&lt;&gt;"",IF(VLOOKUP(A62,Aktien_im_Umlauf_splitbereinigt!A$3:AM$103,10,FALSE)&lt;&gt;"",IF(VLOOKUP(A62,Schlußkurse!A$5:AU$105,43,FALSE)&gt;0,((VLOOKUP(A62,Aktien_im_Umlauf_splitbereinigt!A$3:AM$103,11,FALSE)-VLOOKUP(A62,Aktien_im_Umlauf_splitbereinigt!A$3:AM$103,10,FALSE))*VLOOKUP(A62,Schlußkurse!A$5:AU$105,43,FALSE))/VLOOKUP(A62,Aktien_im_Umlauf_splitbereinigt!A$3:AM$103,10,FALSE),0),0),0)</f>
        <v>-2.1941026429010435</v>
      </c>
      <c r="K62" s="97">
        <f>IF(VLOOKUP(A62,Aktien_im_Umlauf_splitbereinigt!A$3:AM$103,12,FALSE)&lt;&gt;"",IF(VLOOKUP(A62,Aktien_im_Umlauf_splitbereinigt!A$3:AM$103,11,FALSE)&lt;&gt;"",IF(VLOOKUP(A62,Schlußkurse!A$5:AU$105,44,FALSE)&gt;0,((VLOOKUP(A62,Aktien_im_Umlauf_splitbereinigt!A$3:AM$103,12,FALSE)-VLOOKUP(A62,Aktien_im_Umlauf_splitbereinigt!A$3:AM$103,11,FALSE))*VLOOKUP(A62,Schlußkurse!A$5:AU$105,44,FALSE))/VLOOKUP(A62,Aktien_im_Umlauf_splitbereinigt!A$3:AM$103,11,FALSE),0),0),0)</f>
        <v>4.5142857142857142</v>
      </c>
      <c r="L62" s="97">
        <f>IF(VLOOKUP(A62,Aktien_im_Umlauf_splitbereinigt!A$3:AM$103,13,FALSE)&lt;&gt;"",IF(VLOOKUP(A62,Aktien_im_Umlauf_splitbereinigt!A$3:AM$103,12,FALSE)&lt;&gt;"",IF(VLOOKUP(A62,Schlußkurse!A$5:AU$105,45,FALSE)&gt;0,((VLOOKUP(A62,Aktien_im_Umlauf_splitbereinigt!A$3:AM$103,13,FALSE)-VLOOKUP(A62,Aktien_im_Umlauf_splitbereinigt!A$3:AM$103,12,FALSE))*VLOOKUP(A62,Schlußkurse!A$5:AU$105,45,FALSE))/VLOOKUP(A62,Aktien_im_Umlauf_splitbereinigt!A$3:AM$103,12,FALSE),0),0),0)</f>
        <v>1.4400000000000002</v>
      </c>
      <c r="M62" s="97">
        <f>IF(VLOOKUP(A62,Aktien_im_Umlauf_splitbereinigt!A$3:AM$103,14,FALSE)&lt;&gt;"",IF(VLOOKUP(A62,Aktien_im_Umlauf_splitbereinigt!A$3:AM$103,13,FALSE)&lt;&gt;"",IF(VLOOKUP(A62,Schlußkurse!A$5:AU$105,46,FALSE)&gt;0,((VLOOKUP(A62,Aktien_im_Umlauf_splitbereinigt!A$3:AM$103,14,FALSE)-VLOOKUP(A62,Aktien_im_Umlauf_splitbereinigt!A$3:AM$103,13,FALSE))*VLOOKUP(A62,Schlußkurse!A$5:AU$105,46,FALSE))/VLOOKUP(A62,Aktien_im_Umlauf_splitbereinigt!A$3:AM$103,13,FALSE),0),0),0)</f>
        <v>0.947429775280899</v>
      </c>
      <c r="N62" s="13">
        <f>IF(C62&gt;0,IF(VLOOKUP(A62,Dividende_je_Aktie!A$3:AM$103,8,FALSE)&lt;&gt;"",C62+VLOOKUP(A62,Dividende_je_Aktie!A$3:AM$103,8,FALSE),C62),IF(VLOOKUP(A62,Dividende_je_Aktie!A$3:AM$103,8,FALSE)&lt;&gt;"",VLOOKUP(A62,Dividende_je_Aktie!A$3:AM$103,8,FALSE),""))</f>
        <v>1.76</v>
      </c>
      <c r="O62" s="13">
        <f>IF(D62&gt;0,IF(VLOOKUP(A62,Dividende_je_Aktie!A$3:AM$103,9,FALSE)&lt;&gt;"",D62+VLOOKUP(A62,Dividende_je_Aktie!A$3:AM$103,9,FALSE),D62),IF(VLOOKUP(A62,Dividende_je_Aktie!A$3:AM$103,9,FALSE)&lt;&gt;"",VLOOKUP(A62,Dividende_je_Aktie!A$3:AM$103,9,FALSE),""))</f>
        <v>2.9642542174711828</v>
      </c>
      <c r="P62" s="13">
        <f>IF(E62&gt;0,IF(VLOOKUP(A62,Dividende_je_Aktie!A$3:AM$103,10,FALSE)&lt;&gt;"",E62+VLOOKUP(A62,Dividende_je_Aktie!A$3:AM$103,10,FALSE),E62),IF(VLOOKUP(A62,Dividende_je_Aktie!A$3:AM$103,10,FALSE)&lt;&gt;"",VLOOKUP(A62,Dividende_je_Aktie!A$3:AM$103,10,FALSE),""))</f>
        <v>4.0879902040816285</v>
      </c>
      <c r="Q62" s="13">
        <f>IF(F62&gt;0,IF(VLOOKUP(A62,Dividende_je_Aktie!A$3:AM$103,11,FALSE)&lt;&gt;"",F62+VLOOKUP(A62,Dividende_je_Aktie!A$3:AM$103,11,FALSE),F62),IF(VLOOKUP(A62,Dividende_je_Aktie!A$3:AM$103,11,FALSE)&lt;&gt;"",VLOOKUP(A62,Dividende_je_Aktie!A$3:AM$103,11,FALSE),""))</f>
        <v>1.8857240948814016</v>
      </c>
      <c r="R62" s="13">
        <f>IF(G62&gt;0,IF(VLOOKUP(A62,Dividende_je_Aktie!A$3:AM$103,12,FALSE)&lt;&gt;"",G62+VLOOKUP(A62,Dividende_je_Aktie!A$3:AM$103,12,FALSE),G62),IF(VLOOKUP(A62,Dividende_je_Aktie!A$3:AM$103,12,FALSE)&lt;&gt;"",VLOOKUP(A62,Dividende_je_Aktie!A$3:AM$103,12,FALSE),""))</f>
        <v>1.22</v>
      </c>
      <c r="S62" s="13">
        <f>IF(H62&gt;0,IF(VLOOKUP(A62,Dividende_je_Aktie!A$3:AM$103,13,FALSE)&lt;&gt;"",H62+VLOOKUP(A62,Dividende_je_Aktie!A$3:AM$103,13,FALSE),H62),IF(VLOOKUP(A62,Dividende_je_Aktie!A$3:AM$103,13,FALSE)&lt;&gt;"",VLOOKUP(A62,Dividende_je_Aktie!A$3:AM$103,13,FALSE),""))</f>
        <v>1.5147394540942987</v>
      </c>
      <c r="T62" s="13">
        <f>IF(I62&gt;0,IF(VLOOKUP(A62,Dividende_je_Aktie!A$3:AM$103,14,FALSE)&lt;&gt;"",I62+VLOOKUP(A62,Dividende_je_Aktie!A$3:AM$103,14,FALSE),I62),IF(VLOOKUP(A62,Dividende_je_Aktie!A$3:AM$103,14,FALSE)&lt;&gt;"",VLOOKUP(A62,Dividende_je_Aktie!A$3:AM$103,14,FALSE),""))</f>
        <v>0.96</v>
      </c>
      <c r="U62" s="13">
        <f>IF(J62&gt;0,IF(VLOOKUP(A62,Dividende_je_Aktie!A$3:AM$103,15,FALSE)&lt;&gt;"",J62+VLOOKUP(A62,Dividende_je_Aktie!A$3:AM$103,15,FALSE),J62),IF(VLOOKUP(A62,Dividende_je_Aktie!A$3:AM$103,15,FALSE)&lt;&gt;"",VLOOKUP(A62,Dividende_je_Aktie!A$3:AM$103,15,FALSE),""))</f>
        <v>0.86</v>
      </c>
      <c r="V62" s="13">
        <f>IF(K62&gt;0,IF(VLOOKUP(A62,Dividende_je_Aktie!A$3:AM$103,16,FALSE)&lt;&gt;"",K62+VLOOKUP(A62,Dividende_je_Aktie!A$3:AM$103,16,FALSE),K62),IF(VLOOKUP(A62,Dividende_je_Aktie!A$3:AM$103,16,FALSE)&lt;&gt;"",VLOOKUP(A62,Dividende_je_Aktie!A$3:AM$103,16,FALSE),""))</f>
        <v>5.3042857142857143</v>
      </c>
      <c r="W62" s="13">
        <f>IF(L62&gt;0,IF(VLOOKUP(A62,Dividende_je_Aktie!A$3:AM$103,17,FALSE)&lt;&gt;"",L62+VLOOKUP(A62,Dividende_je_Aktie!A$3:AM$103,17,FALSE),L62),IF(VLOOKUP(A62,Dividende_je_Aktie!A$3:AM$103,17,FALSE)&lt;&gt;"",VLOOKUP(A62,Dividende_je_Aktie!A$3:AM$103,17,FALSE),""))</f>
        <v>2.16</v>
      </c>
      <c r="X62" s="13">
        <f>IF(M62&gt;0,IF(VLOOKUP(A62,Dividende_je_Aktie!A$3:AM$103,18,FALSE)&lt;&gt;"",M62+VLOOKUP(A62,Dividende_je_Aktie!A$3:AM$103,18,FALSE),M62),IF(VLOOKUP(A62,Dividende_je_Aktie!A$3:AM$103,18,FALSE)&lt;&gt;"",VLOOKUP(A62,Dividende_je_Aktie!A$3:AM$103,18,FALSE),""))</f>
        <v>1.617429775280899</v>
      </c>
    </row>
    <row r="63" spans="1:24">
      <c r="A63" s="52" t="s">
        <v>323</v>
      </c>
      <c r="B63" s="52" t="s">
        <v>324</v>
      </c>
      <c r="C63" s="13">
        <f>IF(VLOOKUP(A63,Aktien_im_Umlauf_splitbereinigt!A$3:AM$103,4,FALSE)&lt;&gt;"",IF(VLOOKUP(A63,Aktien_im_Umlauf_splitbereinigt!A$3:AM$103,3,FALSE)&lt;&gt;"",IF(VLOOKUP(A63,Schlußkurse!A$5:AU$105,36,FALSE)&gt;0,((VLOOKUP(A63,Aktien_im_Umlauf_splitbereinigt!A$3:AM$103,4,FALSE)-VLOOKUP(A63,Aktien_im_Umlauf_splitbereinigt!A$3:AM$103,3,FALSE))*VLOOKUP(A63,Schlußkurse!A$5:AU$105,36,FALSE))/VLOOKUP(A63,Aktien_im_Umlauf_splitbereinigt!A$3:AM$103,3,FALSE),0),0),0)</f>
        <v>0</v>
      </c>
      <c r="D63" s="97">
        <f>IF(VLOOKUP(A63,Aktien_im_Umlauf_splitbereinigt!A$3:AM$103,5,FALSE)&lt;&gt;"",IF(VLOOKUP(A63,Aktien_im_Umlauf_splitbereinigt!A$3:AM$103,4,FALSE)&lt;&gt;"",IF(VLOOKUP(A63,Schlußkurse!A$5:AU$105,37,FALSE)&gt;0,((VLOOKUP(A63,Aktien_im_Umlauf_splitbereinigt!A$3:AM$103,5,FALSE)-VLOOKUP(A63,Aktien_im_Umlauf_splitbereinigt!A$3:AM$103,4,FALSE))*VLOOKUP(A63,Schlußkurse!A$5:AU$105,37,FALSE))/VLOOKUP(A63,Aktien_im_Umlauf_splitbereinigt!A$3:AM$103,4,FALSE),0),0),0)</f>
        <v>1.7583859212104478</v>
      </c>
      <c r="E63" s="97">
        <f>IF(VLOOKUP(A63,Aktien_im_Umlauf_splitbereinigt!A$3:AM$103,6,FALSE)&lt;&gt;"",IF(VLOOKUP(A63,Aktien_im_Umlauf_splitbereinigt!A$3:AM$103,5,FALSE)&lt;&gt;"",IF(VLOOKUP(A63,Schlußkurse!A$5:AU$105,38,FALSE)&gt;0,((VLOOKUP(A63,Aktien_im_Umlauf_splitbereinigt!A$3:AM$103,6,FALSE)-VLOOKUP(A63,Aktien_im_Umlauf_splitbereinigt!A$3:AM$103,5,FALSE))*VLOOKUP(A63,Schlußkurse!A$5:AU$105,38,FALSE))/VLOOKUP(A63,Aktien_im_Umlauf_splitbereinigt!A$3:AM$103,5,FALSE),0),0),0)</f>
        <v>1.3399705948880316</v>
      </c>
      <c r="F63" s="97">
        <f>IF(VLOOKUP(A63,Aktien_im_Umlauf_splitbereinigt!A$3:AM$103,7,FALSE)&lt;&gt;"",IF(VLOOKUP(A63,Aktien_im_Umlauf_splitbereinigt!A$3:AM$103,6,FALSE)&lt;&gt;"",IF(VLOOKUP(A63,Schlußkurse!A$5:AU$105,39,FALSE)&gt;0,((VLOOKUP(A63,Aktien_im_Umlauf_splitbereinigt!A$3:AM$103,7,FALSE)-VLOOKUP(A63,Aktien_im_Umlauf_splitbereinigt!A$3:AM$103,6,FALSE))*VLOOKUP(A63,Schlußkurse!A$5:AU$105,39,FALSE))/VLOOKUP(A63,Aktien_im_Umlauf_splitbereinigt!A$3:AM$103,6,FALSE),0),0),0)</f>
        <v>-4.7768200089331518E-2</v>
      </c>
      <c r="G63" s="97">
        <f>IF(VLOOKUP(A63,Aktien_im_Umlauf_splitbereinigt!A$3:AM$103,8,FALSE)&lt;&gt;"",IF(VLOOKUP(A63,Aktien_im_Umlauf_splitbereinigt!A$3:AM$103,7,FALSE)&lt;&gt;"",IF(VLOOKUP(A63,Schlußkurse!A$5:AU$105,40,FALSE)&gt;0,((VLOOKUP(A63,Aktien_im_Umlauf_splitbereinigt!A$3:AM$103,8,FALSE)-VLOOKUP(A63,Aktien_im_Umlauf_splitbereinigt!A$3:AM$103,7,FALSE))*VLOOKUP(A63,Schlußkurse!A$5:AU$105,40,FALSE))/VLOOKUP(A63,Aktien_im_Umlauf_splitbereinigt!A$3:AM$103,7,FALSE),0),0),0)</f>
        <v>0.45825282631038539</v>
      </c>
      <c r="H63" s="97">
        <f>IF(VLOOKUP(A63,Aktien_im_Umlauf_splitbereinigt!A$3:AM$103,9,FALSE)&lt;&gt;"",IF(VLOOKUP(A63,Aktien_im_Umlauf_splitbereinigt!A$3:AM$103,8,FALSE)&lt;&gt;"",IF(VLOOKUP(A63,Schlußkurse!A$5:AU$105,41,FALSE)&gt;0,((VLOOKUP(A63,Aktien_im_Umlauf_splitbereinigt!A$3:AM$103,9,FALSE)-VLOOKUP(A63,Aktien_im_Umlauf_splitbereinigt!A$3:AM$103,8,FALSE))*VLOOKUP(A63,Schlußkurse!A$5:AU$105,41,FALSE))/VLOOKUP(A63,Aktien_im_Umlauf_splitbereinigt!A$3:AM$103,8,FALSE),0),0),0)</f>
        <v>0.49103592202832691</v>
      </c>
      <c r="I63" s="97">
        <f>IF(VLOOKUP(A63,Aktien_im_Umlauf_splitbereinigt!A$3:AM$103,10,FALSE)&lt;&gt;"",IF(VLOOKUP(A63,Aktien_im_Umlauf_splitbereinigt!A$3:AM$103,9,FALSE)&lt;&gt;"",IF(VLOOKUP(A63,Schlußkurse!A$5:AU$105,42,FALSE)&gt;0,((VLOOKUP(A63,Aktien_im_Umlauf_splitbereinigt!A$3:AM$103,10,FALSE)-VLOOKUP(A63,Aktien_im_Umlauf_splitbereinigt!A$3:AM$103,9,FALSE))*VLOOKUP(A63,Schlußkurse!A$5:AU$105,42,FALSE))/VLOOKUP(A63,Aktien_im_Umlauf_splitbereinigt!A$3:AM$103,9,FALSE),0),0),0)</f>
        <v>0.20770925110132157</v>
      </c>
      <c r="J63" s="97">
        <f>IF(VLOOKUP(A63,Aktien_im_Umlauf_splitbereinigt!A$3:AM$103,11,FALSE)&lt;&gt;"",IF(VLOOKUP(A63,Aktien_im_Umlauf_splitbereinigt!A$3:AM$103,10,FALSE)&lt;&gt;"",IF(VLOOKUP(A63,Schlußkurse!A$5:AU$105,43,FALSE)&gt;0,((VLOOKUP(A63,Aktien_im_Umlauf_splitbereinigt!A$3:AM$103,11,FALSE)-VLOOKUP(A63,Aktien_im_Umlauf_splitbereinigt!A$3:AM$103,10,FALSE))*VLOOKUP(A63,Schlußkurse!A$5:AU$105,43,FALSE))/VLOOKUP(A63,Aktien_im_Umlauf_splitbereinigt!A$3:AM$103,10,FALSE),0),0),0)</f>
        <v>-0.15697368421052632</v>
      </c>
      <c r="K63" s="97">
        <f>IF(VLOOKUP(A63,Aktien_im_Umlauf_splitbereinigt!A$3:AM$103,12,FALSE)&lt;&gt;"",IF(VLOOKUP(A63,Aktien_im_Umlauf_splitbereinigt!A$3:AM$103,11,FALSE)&lt;&gt;"",IF(VLOOKUP(A63,Schlußkurse!A$5:AU$105,44,FALSE)&gt;0,((VLOOKUP(A63,Aktien_im_Umlauf_splitbereinigt!A$3:AM$103,12,FALSE)-VLOOKUP(A63,Aktien_im_Umlauf_splitbereinigt!A$3:AM$103,11,FALSE))*VLOOKUP(A63,Schlußkurse!A$5:AU$105,44,FALSE))/VLOOKUP(A63,Aktien_im_Umlauf_splitbereinigt!A$3:AM$103,11,FALSE),0),0),0)</f>
        <v>0</v>
      </c>
      <c r="L63" s="97">
        <f>IF(VLOOKUP(A63,Aktien_im_Umlauf_splitbereinigt!A$3:AM$103,13,FALSE)&lt;&gt;"",IF(VLOOKUP(A63,Aktien_im_Umlauf_splitbereinigt!A$3:AM$103,12,FALSE)&lt;&gt;"",IF(VLOOKUP(A63,Schlußkurse!A$5:AU$105,45,FALSE)&gt;0,((VLOOKUP(A63,Aktien_im_Umlauf_splitbereinigt!A$3:AM$103,13,FALSE)-VLOOKUP(A63,Aktien_im_Umlauf_splitbereinigt!A$3:AM$103,12,FALSE))*VLOOKUP(A63,Schlußkurse!A$5:AU$105,45,FALSE))/VLOOKUP(A63,Aktien_im_Umlauf_splitbereinigt!A$3:AM$103,12,FALSE),0),0),0)</f>
        <v>0.57277533039647766</v>
      </c>
      <c r="M63" s="97">
        <f>IF(VLOOKUP(A63,Aktien_im_Umlauf_splitbereinigt!A$3:AM$103,14,FALSE)&lt;&gt;"",IF(VLOOKUP(A63,Aktien_im_Umlauf_splitbereinigt!A$3:AM$103,13,FALSE)&lt;&gt;"",IF(VLOOKUP(A63,Schlußkurse!A$5:AU$105,46,FALSE)&gt;0,((VLOOKUP(A63,Aktien_im_Umlauf_splitbereinigt!A$3:AM$103,14,FALSE)-VLOOKUP(A63,Aktien_im_Umlauf_splitbereinigt!A$3:AM$103,13,FALSE))*VLOOKUP(A63,Schlußkurse!A$5:AU$105,46,FALSE))/VLOOKUP(A63,Aktien_im_Umlauf_splitbereinigt!A$3:AM$103,13,FALSE),0),0),0)</f>
        <v>2.2114025184541877</v>
      </c>
      <c r="N63" s="13">
        <f>IF(C63&gt;0,IF(VLOOKUP(A63,Dividende_je_Aktie!A$3:AM$103,8,FALSE)&lt;&gt;"",C63+VLOOKUP(A63,Dividende_je_Aktie!A$3:AM$103,8,FALSE),C63),IF(VLOOKUP(A63,Dividende_je_Aktie!A$3:AM$103,8,FALSE)&lt;&gt;"",VLOOKUP(A63,Dividende_je_Aktie!A$3:AM$103,8,FALSE),""))</f>
        <v>2.4</v>
      </c>
      <c r="O63" s="13">
        <f>IF(D63&gt;0,IF(VLOOKUP(A63,Dividende_je_Aktie!A$3:AM$103,9,FALSE)&lt;&gt;"",D63+VLOOKUP(A63,Dividende_je_Aktie!A$3:AM$103,9,FALSE),D63),IF(VLOOKUP(A63,Dividende_je_Aktie!A$3:AM$103,9,FALSE)&lt;&gt;"",VLOOKUP(A63,Dividende_je_Aktie!A$3:AM$103,9,FALSE),""))</f>
        <v>3.9983859212104482</v>
      </c>
      <c r="P63" s="13">
        <f>IF(E63&gt;0,IF(VLOOKUP(A63,Dividende_je_Aktie!A$3:AM$103,10,FALSE)&lt;&gt;"",E63+VLOOKUP(A63,Dividende_je_Aktie!A$3:AM$103,10,FALSE),E63),IF(VLOOKUP(A63,Dividende_je_Aktie!A$3:AM$103,10,FALSE)&lt;&gt;"",VLOOKUP(A63,Dividende_je_Aktie!A$3:AM$103,10,FALSE),""))</f>
        <v>3.3799705948880314</v>
      </c>
      <c r="Q63" s="13">
        <f>IF(F63&gt;0,IF(VLOOKUP(A63,Dividende_je_Aktie!A$3:AM$103,11,FALSE)&lt;&gt;"",F63+VLOOKUP(A63,Dividende_je_Aktie!A$3:AM$103,11,FALSE),F63),IF(VLOOKUP(A63,Dividende_je_Aktie!A$3:AM$103,11,FALSE)&lt;&gt;"",VLOOKUP(A63,Dividende_je_Aktie!A$3:AM$103,11,FALSE),""))</f>
        <v>1.81</v>
      </c>
      <c r="R63" s="13">
        <f>IF(G63&gt;0,IF(VLOOKUP(A63,Dividende_je_Aktie!A$3:AM$103,12,FALSE)&lt;&gt;"",G63+VLOOKUP(A63,Dividende_je_Aktie!A$3:AM$103,12,FALSE),G63),IF(VLOOKUP(A63,Dividende_je_Aktie!A$3:AM$103,12,FALSE)&lt;&gt;"",VLOOKUP(A63,Dividende_je_Aktie!A$3:AM$103,12,FALSE),""))</f>
        <v>2.0182528263103854</v>
      </c>
      <c r="S63" s="13">
        <f>IF(H63&gt;0,IF(VLOOKUP(A63,Dividende_je_Aktie!A$3:AM$103,13,FALSE)&lt;&gt;"",H63+VLOOKUP(A63,Dividende_je_Aktie!A$3:AM$103,13,FALSE),H63),IF(VLOOKUP(A63,Dividende_je_Aktie!A$3:AM$103,13,FALSE)&lt;&gt;"",VLOOKUP(A63,Dividende_je_Aktie!A$3:AM$103,13,FALSE),""))</f>
        <v>1.8710359220283268</v>
      </c>
      <c r="T63" s="13">
        <f>IF(I63&gt;0,IF(VLOOKUP(A63,Dividende_je_Aktie!A$3:AM$103,14,FALSE)&lt;&gt;"",I63+VLOOKUP(A63,Dividende_je_Aktie!A$3:AM$103,14,FALSE),I63),IF(VLOOKUP(A63,Dividende_je_Aktie!A$3:AM$103,14,FALSE)&lt;&gt;"",VLOOKUP(A63,Dividende_je_Aktie!A$3:AM$103,14,FALSE),""))</f>
        <v>1.4877092511013217</v>
      </c>
      <c r="U63" s="13">
        <f>IF(J63&gt;0,IF(VLOOKUP(A63,Dividende_je_Aktie!A$3:AM$103,15,FALSE)&lt;&gt;"",J63+VLOOKUP(A63,Dividende_je_Aktie!A$3:AM$103,15,FALSE),J63),IF(VLOOKUP(A63,Dividende_je_Aktie!A$3:AM$103,15,FALSE)&lt;&gt;"",VLOOKUP(A63,Dividende_je_Aktie!A$3:AM$103,15,FALSE),""))</f>
        <v>1.19</v>
      </c>
      <c r="V63" s="13">
        <f>IF(K63&gt;0,IF(VLOOKUP(A63,Dividende_je_Aktie!A$3:AM$103,16,FALSE)&lt;&gt;"",K63+VLOOKUP(A63,Dividende_je_Aktie!A$3:AM$103,16,FALSE),K63),IF(VLOOKUP(A63,Dividende_je_Aktie!A$3:AM$103,16,FALSE)&lt;&gt;"",VLOOKUP(A63,Dividende_je_Aktie!A$3:AM$103,16,FALSE),""))</f>
        <v>1.19</v>
      </c>
      <c r="W63" s="13">
        <f>IF(L63&gt;0,IF(VLOOKUP(A63,Dividende_je_Aktie!A$3:AM$103,17,FALSE)&lt;&gt;"",L63+VLOOKUP(A63,Dividende_je_Aktie!A$3:AM$103,17,FALSE),L63),IF(VLOOKUP(A63,Dividende_je_Aktie!A$3:AM$103,17,FALSE)&lt;&gt;"",VLOOKUP(A63,Dividende_je_Aktie!A$3:AM$103,17,FALSE),""))</f>
        <v>1.7127753303964774</v>
      </c>
      <c r="X63" s="13">
        <f>IF(M63&gt;0,IF(VLOOKUP(A63,Dividende_je_Aktie!A$3:AM$103,18,FALSE)&lt;&gt;"",M63+VLOOKUP(A63,Dividende_je_Aktie!A$3:AM$103,18,FALSE),M63),IF(VLOOKUP(A63,Dividende_je_Aktie!A$3:AM$103,18,FALSE)&lt;&gt;"",VLOOKUP(A63,Dividende_je_Aktie!A$3:AM$103,18,FALSE),""))</f>
        <v>3.2414025184541879</v>
      </c>
    </row>
    <row r="64" spans="1:24">
      <c r="A64" s="52" t="s">
        <v>254</v>
      </c>
      <c r="B64" s="52" t="s">
        <v>255</v>
      </c>
      <c r="C64" s="13">
        <f>IF(VLOOKUP(A64,Aktien_im_Umlauf_splitbereinigt!A$3:AM$103,4,FALSE)&lt;&gt;"",IF(VLOOKUP(A64,Aktien_im_Umlauf_splitbereinigt!A$3:AM$103,3,FALSE)&lt;&gt;"",IF(VLOOKUP(A64,Schlußkurse!A$5:AU$105,36,FALSE)&gt;0,((VLOOKUP(A64,Aktien_im_Umlauf_splitbereinigt!A$3:AM$103,4,FALSE)-VLOOKUP(A64,Aktien_im_Umlauf_splitbereinigt!A$3:AM$103,3,FALSE))*VLOOKUP(A64,Schlußkurse!A$5:AU$105,36,FALSE))/VLOOKUP(A64,Aktien_im_Umlauf_splitbereinigt!A$3:AM$103,3,FALSE),0),0),0)</f>
        <v>0</v>
      </c>
      <c r="D64" s="97">
        <f>IF(VLOOKUP(A64,Aktien_im_Umlauf_splitbereinigt!A$3:AM$103,5,FALSE)&lt;&gt;"",IF(VLOOKUP(A64,Aktien_im_Umlauf_splitbereinigt!A$3:AM$103,4,FALSE)&lt;&gt;"",IF(VLOOKUP(A64,Schlußkurse!A$5:AU$105,37,FALSE)&gt;0,((VLOOKUP(A64,Aktien_im_Umlauf_splitbereinigt!A$3:AM$103,5,FALSE)-VLOOKUP(A64,Aktien_im_Umlauf_splitbereinigt!A$3:AM$103,4,FALSE))*VLOOKUP(A64,Schlußkurse!A$5:AU$105,37,FALSE))/VLOOKUP(A64,Aktien_im_Umlauf_splitbereinigt!A$3:AM$103,4,FALSE),0),0),0)</f>
        <v>1.234714016341927</v>
      </c>
      <c r="E64" s="97">
        <f>IF(VLOOKUP(A64,Aktien_im_Umlauf_splitbereinigt!A$3:AM$103,6,FALSE)&lt;&gt;"",IF(VLOOKUP(A64,Aktien_im_Umlauf_splitbereinigt!A$3:AM$103,5,FALSE)&lt;&gt;"",IF(VLOOKUP(A64,Schlußkurse!A$5:AU$105,38,FALSE)&gt;0,((VLOOKUP(A64,Aktien_im_Umlauf_splitbereinigt!A$3:AM$103,6,FALSE)-VLOOKUP(A64,Aktien_im_Umlauf_splitbereinigt!A$3:AM$103,5,FALSE))*VLOOKUP(A64,Schlußkurse!A$5:AU$105,38,FALSE))/VLOOKUP(A64,Aktien_im_Umlauf_splitbereinigt!A$3:AM$103,5,FALSE),0),0),0)</f>
        <v>1.2499775280898897</v>
      </c>
      <c r="F64" s="97">
        <f>IF(VLOOKUP(A64,Aktien_im_Umlauf_splitbereinigt!A$3:AM$103,7,FALSE)&lt;&gt;"",IF(VLOOKUP(A64,Aktien_im_Umlauf_splitbereinigt!A$3:AM$103,6,FALSE)&lt;&gt;"",IF(VLOOKUP(A64,Schlußkurse!A$5:AU$105,39,FALSE)&gt;0,((VLOOKUP(A64,Aktien_im_Umlauf_splitbereinigt!A$3:AM$103,7,FALSE)-VLOOKUP(A64,Aktien_im_Umlauf_splitbereinigt!A$3:AM$103,6,FALSE))*VLOOKUP(A64,Schlußkurse!A$5:AU$105,39,FALSE))/VLOOKUP(A64,Aktien_im_Umlauf_splitbereinigt!A$3:AM$103,6,FALSE),0),0),0)</f>
        <v>-0.25754437706725963</v>
      </c>
      <c r="G64" s="97">
        <f>IF(VLOOKUP(A64,Aktien_im_Umlauf_splitbereinigt!A$3:AM$103,8,FALSE)&lt;&gt;"",IF(VLOOKUP(A64,Aktien_im_Umlauf_splitbereinigt!A$3:AM$103,7,FALSE)&lt;&gt;"",IF(VLOOKUP(A64,Schlußkurse!A$5:AU$105,40,FALSE)&gt;0,((VLOOKUP(A64,Aktien_im_Umlauf_splitbereinigt!A$3:AM$103,8,FALSE)-VLOOKUP(A64,Aktien_im_Umlauf_splitbereinigt!A$3:AM$103,7,FALSE))*VLOOKUP(A64,Schlußkurse!A$5:AU$105,40,FALSE))/VLOOKUP(A64,Aktien_im_Umlauf_splitbereinigt!A$3:AM$103,7,FALSE),0),0),0)</f>
        <v>-0.61373626373625922</v>
      </c>
      <c r="H64" s="97">
        <f>IF(VLOOKUP(A64,Aktien_im_Umlauf_splitbereinigt!A$3:AM$103,9,FALSE)&lt;&gt;"",IF(VLOOKUP(A64,Aktien_im_Umlauf_splitbereinigt!A$3:AM$103,8,FALSE)&lt;&gt;"",IF(VLOOKUP(A64,Schlußkurse!A$5:AU$105,41,FALSE)&gt;0,((VLOOKUP(A64,Aktien_im_Umlauf_splitbereinigt!A$3:AM$103,9,FALSE)-VLOOKUP(A64,Aktien_im_Umlauf_splitbereinigt!A$3:AM$103,8,FALSE))*VLOOKUP(A64,Schlußkurse!A$5:AU$105,41,FALSE))/VLOOKUP(A64,Aktien_im_Umlauf_splitbereinigt!A$3:AM$103,8,FALSE),0),0),0)</f>
        <v>1.1039630562552494</v>
      </c>
      <c r="I64" s="97">
        <f>IF(VLOOKUP(A64,Aktien_im_Umlauf_splitbereinigt!A$3:AM$103,10,FALSE)&lt;&gt;"",IF(VLOOKUP(A64,Aktien_im_Umlauf_splitbereinigt!A$3:AM$103,9,FALSE)&lt;&gt;"",IF(VLOOKUP(A64,Schlußkurse!A$5:AU$105,42,FALSE)&gt;0,((VLOOKUP(A64,Aktien_im_Umlauf_splitbereinigt!A$3:AM$103,10,FALSE)-VLOOKUP(A64,Aktien_im_Umlauf_splitbereinigt!A$3:AM$103,9,FALSE))*VLOOKUP(A64,Schlußkurse!A$5:AU$105,42,FALSE))/VLOOKUP(A64,Aktien_im_Umlauf_splitbereinigt!A$3:AM$103,9,FALSE),0),0),0)</f>
        <v>2.1685565598466172</v>
      </c>
      <c r="J64" s="97">
        <f>IF(VLOOKUP(A64,Aktien_im_Umlauf_splitbereinigt!A$3:AM$103,11,FALSE)&lt;&gt;"",IF(VLOOKUP(A64,Aktien_im_Umlauf_splitbereinigt!A$3:AM$103,10,FALSE)&lt;&gt;"",IF(VLOOKUP(A64,Schlußkurse!A$5:AU$105,43,FALSE)&gt;0,((VLOOKUP(A64,Aktien_im_Umlauf_splitbereinigt!A$3:AM$103,11,FALSE)-VLOOKUP(A64,Aktien_im_Umlauf_splitbereinigt!A$3:AM$103,10,FALSE))*VLOOKUP(A64,Schlußkurse!A$5:AU$105,43,FALSE))/VLOOKUP(A64,Aktien_im_Umlauf_splitbereinigt!A$3:AM$103,10,FALSE),0),0),0)</f>
        <v>0.18171308460325164</v>
      </c>
      <c r="K64" s="97">
        <f>IF(VLOOKUP(A64,Aktien_im_Umlauf_splitbereinigt!A$3:AM$103,12,FALSE)&lt;&gt;"",IF(VLOOKUP(A64,Aktien_im_Umlauf_splitbereinigt!A$3:AM$103,11,FALSE)&lt;&gt;"",IF(VLOOKUP(A64,Schlußkurse!A$5:AU$105,44,FALSE)&gt;0,((VLOOKUP(A64,Aktien_im_Umlauf_splitbereinigt!A$3:AM$103,12,FALSE)-VLOOKUP(A64,Aktien_im_Umlauf_splitbereinigt!A$3:AM$103,11,FALSE))*VLOOKUP(A64,Schlußkurse!A$5:AU$105,44,FALSE))/VLOOKUP(A64,Aktien_im_Umlauf_splitbereinigt!A$3:AM$103,11,FALSE),0),0),0)</f>
        <v>0.94152919612464525</v>
      </c>
      <c r="L64" s="97">
        <f>IF(VLOOKUP(A64,Aktien_im_Umlauf_splitbereinigt!A$3:AM$103,13,FALSE)&lt;&gt;"",IF(VLOOKUP(A64,Aktien_im_Umlauf_splitbereinigt!A$3:AM$103,12,FALSE)&lt;&gt;"",IF(VLOOKUP(A64,Schlußkurse!A$5:AU$105,45,FALSE)&gt;0,((VLOOKUP(A64,Aktien_im_Umlauf_splitbereinigt!A$3:AM$103,13,FALSE)-VLOOKUP(A64,Aktien_im_Umlauf_splitbereinigt!A$3:AM$103,12,FALSE))*VLOOKUP(A64,Schlußkurse!A$5:AU$105,45,FALSE))/VLOOKUP(A64,Aktien_im_Umlauf_splitbereinigt!A$3:AM$103,12,FALSE),0),0),0)</f>
        <v>1.0214509100230664</v>
      </c>
      <c r="M64" s="97">
        <f>IF(VLOOKUP(A64,Aktien_im_Umlauf_splitbereinigt!A$3:AM$103,14,FALSE)&lt;&gt;"",IF(VLOOKUP(A64,Aktien_im_Umlauf_splitbereinigt!A$3:AM$103,13,FALSE)&lt;&gt;"",IF(VLOOKUP(A64,Schlußkurse!A$5:AU$105,46,FALSE)&gt;0,((VLOOKUP(A64,Aktien_im_Umlauf_splitbereinigt!A$3:AM$103,14,FALSE)-VLOOKUP(A64,Aktien_im_Umlauf_splitbereinigt!A$3:AM$103,13,FALSE))*VLOOKUP(A64,Schlußkurse!A$5:AU$105,46,FALSE))/VLOOKUP(A64,Aktien_im_Umlauf_splitbereinigt!A$3:AM$103,13,FALSE),0),0),0)</f>
        <v>0.95816947447825285</v>
      </c>
      <c r="N64" s="13">
        <f>IF(C64&gt;0,IF(VLOOKUP(A64,Dividende_je_Aktie!A$3:AM$103,8,FALSE)&lt;&gt;"",C64+VLOOKUP(A64,Dividende_je_Aktie!A$3:AM$103,8,FALSE),C64),IF(VLOOKUP(A64,Dividende_je_Aktie!A$3:AM$103,8,FALSE)&lt;&gt;"",VLOOKUP(A64,Dividende_je_Aktie!A$3:AM$103,8,FALSE),""))</f>
        <v>2.0299999999999998</v>
      </c>
      <c r="O64" s="13">
        <f>IF(D64&gt;0,IF(VLOOKUP(A64,Dividende_je_Aktie!A$3:AM$103,9,FALSE)&lt;&gt;"",D64+VLOOKUP(A64,Dividende_je_Aktie!A$3:AM$103,9,FALSE),D64),IF(VLOOKUP(A64,Dividende_je_Aktie!A$3:AM$103,9,FALSE)&lt;&gt;"",VLOOKUP(A64,Dividende_je_Aktie!A$3:AM$103,9,FALSE),""))</f>
        <v>3.2147140163419268</v>
      </c>
      <c r="P64" s="13">
        <f>IF(E64&gt;0,IF(VLOOKUP(A64,Dividende_je_Aktie!A$3:AM$103,10,FALSE)&lt;&gt;"",E64+VLOOKUP(A64,Dividende_je_Aktie!A$3:AM$103,10,FALSE),E64),IF(VLOOKUP(A64,Dividende_je_Aktie!A$3:AM$103,10,FALSE)&lt;&gt;"",VLOOKUP(A64,Dividende_je_Aktie!A$3:AM$103,10,FALSE),""))</f>
        <v>3.1499775280898898</v>
      </c>
      <c r="Q64" s="13">
        <f>IF(F64&gt;0,IF(VLOOKUP(A64,Dividende_je_Aktie!A$3:AM$103,11,FALSE)&lt;&gt;"",F64+VLOOKUP(A64,Dividende_je_Aktie!A$3:AM$103,11,FALSE),F64),IF(VLOOKUP(A64,Dividende_je_Aktie!A$3:AM$103,11,FALSE)&lt;&gt;"",VLOOKUP(A64,Dividende_je_Aktie!A$3:AM$103,11,FALSE),""))</f>
        <v>1.8</v>
      </c>
      <c r="R64" s="13">
        <f>IF(G64&gt;0,IF(VLOOKUP(A64,Dividende_je_Aktie!A$3:AM$103,12,FALSE)&lt;&gt;"",G64+VLOOKUP(A64,Dividende_je_Aktie!A$3:AM$103,12,FALSE),G64),IF(VLOOKUP(A64,Dividende_je_Aktie!A$3:AM$103,12,FALSE)&lt;&gt;"",VLOOKUP(A64,Dividende_je_Aktie!A$3:AM$103,12,FALSE),""))</f>
        <v>1.74</v>
      </c>
      <c r="S64" s="13">
        <f>IF(H64&gt;0,IF(VLOOKUP(A64,Dividende_je_Aktie!A$3:AM$103,13,FALSE)&lt;&gt;"",H64+VLOOKUP(A64,Dividende_je_Aktie!A$3:AM$103,13,FALSE),H64),IF(VLOOKUP(A64,Dividende_je_Aktie!A$3:AM$103,13,FALSE)&lt;&gt;"",VLOOKUP(A64,Dividende_je_Aktie!A$3:AM$103,13,FALSE),""))</f>
        <v>2.7739630562552495</v>
      </c>
      <c r="T64" s="13">
        <f>IF(I64&gt;0,IF(VLOOKUP(A64,Dividende_je_Aktie!A$3:AM$103,14,FALSE)&lt;&gt;"",I64+VLOOKUP(A64,Dividende_je_Aktie!A$3:AM$103,14,FALSE),I64),IF(VLOOKUP(A64,Dividende_je_Aktie!A$3:AM$103,14,FALSE)&lt;&gt;"",VLOOKUP(A64,Dividende_je_Aktie!A$3:AM$103,14,FALSE),""))</f>
        <v>3.7285565598466173</v>
      </c>
      <c r="U64" s="13">
        <f>IF(J64&gt;0,IF(VLOOKUP(A64,Dividende_je_Aktie!A$3:AM$103,15,FALSE)&lt;&gt;"",J64+VLOOKUP(A64,Dividende_je_Aktie!A$3:AM$103,15,FALSE),J64),IF(VLOOKUP(A64,Dividende_je_Aktie!A$3:AM$103,15,FALSE)&lt;&gt;"",VLOOKUP(A64,Dividende_je_Aktie!A$3:AM$103,15,FALSE),""))</f>
        <v>1.6117130846032515</v>
      </c>
      <c r="V64" s="13">
        <f>IF(K64&gt;0,IF(VLOOKUP(A64,Dividende_je_Aktie!A$3:AM$103,16,FALSE)&lt;&gt;"",K64+VLOOKUP(A64,Dividende_je_Aktie!A$3:AM$103,16,FALSE),K64),IF(VLOOKUP(A64,Dividende_je_Aktie!A$3:AM$103,16,FALSE)&lt;&gt;"",VLOOKUP(A64,Dividende_je_Aktie!A$3:AM$103,16,FALSE),""))</f>
        <v>2.2415291961246453</v>
      </c>
      <c r="W64" s="13">
        <f>IF(L64&gt;0,IF(VLOOKUP(A64,Dividende_je_Aktie!A$3:AM$103,17,FALSE)&lt;&gt;"",L64+VLOOKUP(A64,Dividende_je_Aktie!A$3:AM$103,17,FALSE),L64),IF(VLOOKUP(A64,Dividende_je_Aktie!A$3:AM$103,17,FALSE)&lt;&gt;"",VLOOKUP(A64,Dividende_je_Aktie!A$3:AM$103,17,FALSE),""))</f>
        <v>2.2214509100230666</v>
      </c>
      <c r="X64" s="13">
        <f>IF(M64&gt;0,IF(VLOOKUP(A64,Dividende_je_Aktie!A$3:AM$103,18,FALSE)&lt;&gt;"",M64+VLOOKUP(A64,Dividende_je_Aktie!A$3:AM$103,18,FALSE),M64),IF(VLOOKUP(A64,Dividende_je_Aktie!A$3:AM$103,18,FALSE)&lt;&gt;"",VLOOKUP(A64,Dividende_je_Aktie!A$3:AM$103,18,FALSE),""))</f>
        <v>2.0981694744782526</v>
      </c>
    </row>
    <row r="65" spans="1:24">
      <c r="A65" t="s">
        <v>94</v>
      </c>
      <c r="B65" t="s">
        <v>95</v>
      </c>
      <c r="C65" s="13">
        <f>IF(VLOOKUP(A65,Aktien_im_Umlauf_splitbereinigt!A$3:AM$103,4,FALSE)&lt;&gt;"",IF(VLOOKUP(A65,Aktien_im_Umlauf_splitbereinigt!A$3:AM$103,3,FALSE)&lt;&gt;"",IF(VLOOKUP(A65,Schlußkurse!A$5:AU$105,36,FALSE)&gt;0,((VLOOKUP(A65,Aktien_im_Umlauf_splitbereinigt!A$3:AM$103,4,FALSE)-VLOOKUP(A65,Aktien_im_Umlauf_splitbereinigt!A$3:AM$103,3,FALSE))*VLOOKUP(A65,Schlußkurse!A$5:AU$105,36,FALSE))/VLOOKUP(A65,Aktien_im_Umlauf_splitbereinigt!A$3:AM$103,3,FALSE),0),0),0)</f>
        <v>0</v>
      </c>
      <c r="D65" s="97">
        <f>IF(VLOOKUP(A65,Aktien_im_Umlauf_splitbereinigt!A$3:AM$103,5,FALSE)&lt;&gt;"",IF(VLOOKUP(A65,Aktien_im_Umlauf_splitbereinigt!A$3:AM$103,4,FALSE)&lt;&gt;"",IF(VLOOKUP(A65,Schlußkurse!A$5:AU$105,37,FALSE)&gt;0,((VLOOKUP(A65,Aktien_im_Umlauf_splitbereinigt!A$3:AM$103,5,FALSE)-VLOOKUP(A65,Aktien_im_Umlauf_splitbereinigt!A$3:AM$103,4,FALSE))*VLOOKUP(A65,Schlußkurse!A$5:AU$105,37,FALSE))/VLOOKUP(A65,Aktien_im_Umlauf_splitbereinigt!A$3:AM$103,4,FALSE),0),0),0)</f>
        <v>1.5520088667220957</v>
      </c>
      <c r="E65" s="97">
        <f>IF(VLOOKUP(A65,Aktien_im_Umlauf_splitbereinigt!A$3:AM$103,6,FALSE)&lt;&gt;"",IF(VLOOKUP(A65,Aktien_im_Umlauf_splitbereinigt!A$3:AM$103,5,FALSE)&lt;&gt;"",IF(VLOOKUP(A65,Schlußkurse!A$5:AU$105,38,FALSE)&gt;0,((VLOOKUP(A65,Aktien_im_Umlauf_splitbereinigt!A$3:AM$103,6,FALSE)-VLOOKUP(A65,Aktien_im_Umlauf_splitbereinigt!A$3:AM$103,5,FALSE))*VLOOKUP(A65,Schlußkurse!A$5:AU$105,38,FALSE))/VLOOKUP(A65,Aktien_im_Umlauf_splitbereinigt!A$3:AM$103,5,FALSE),0),0),0)</f>
        <v>4.9024637284423767</v>
      </c>
      <c r="F65" s="97">
        <f>IF(VLOOKUP(A65,Aktien_im_Umlauf_splitbereinigt!A$3:AM$103,7,FALSE)&lt;&gt;"",IF(VLOOKUP(A65,Aktien_im_Umlauf_splitbereinigt!A$3:AM$103,6,FALSE)&lt;&gt;"",IF(VLOOKUP(A65,Schlußkurse!A$5:AU$105,39,FALSE)&gt;0,((VLOOKUP(A65,Aktien_im_Umlauf_splitbereinigt!A$3:AM$103,7,FALSE)-VLOOKUP(A65,Aktien_im_Umlauf_splitbereinigt!A$3:AM$103,6,FALSE))*VLOOKUP(A65,Schlußkurse!A$5:AU$105,39,FALSE))/VLOOKUP(A65,Aktien_im_Umlauf_splitbereinigt!A$3:AM$103,6,FALSE),0),0),0)</f>
        <v>2.3316964285714286</v>
      </c>
      <c r="G65" s="97">
        <f>IF(VLOOKUP(A65,Aktien_im_Umlauf_splitbereinigt!A$3:AM$103,8,FALSE)&lt;&gt;"",IF(VLOOKUP(A65,Aktien_im_Umlauf_splitbereinigt!A$3:AM$103,7,FALSE)&lt;&gt;"",IF(VLOOKUP(A65,Schlußkurse!A$5:AU$105,40,FALSE)&gt;0,((VLOOKUP(A65,Aktien_im_Umlauf_splitbereinigt!A$3:AM$103,8,FALSE)-VLOOKUP(A65,Aktien_im_Umlauf_splitbereinigt!A$3:AM$103,7,FALSE))*VLOOKUP(A65,Schlußkurse!A$5:AU$105,40,FALSE))/VLOOKUP(A65,Aktien_im_Umlauf_splitbereinigt!A$3:AM$103,7,FALSE),0),0),0)</f>
        <v>1.3880092473670642</v>
      </c>
      <c r="H65" s="97">
        <f>IF(VLOOKUP(A65,Aktien_im_Umlauf_splitbereinigt!A$3:AM$103,9,FALSE)&lt;&gt;"",IF(VLOOKUP(A65,Aktien_im_Umlauf_splitbereinigt!A$3:AM$103,8,FALSE)&lt;&gt;"",IF(VLOOKUP(A65,Schlußkurse!A$5:AU$105,41,FALSE)&gt;0,((VLOOKUP(A65,Aktien_im_Umlauf_splitbereinigt!A$3:AM$103,9,FALSE)-VLOOKUP(A65,Aktien_im_Umlauf_splitbereinigt!A$3:AM$103,8,FALSE))*VLOOKUP(A65,Schlußkurse!A$5:AU$105,41,FALSE))/VLOOKUP(A65,Aktien_im_Umlauf_splitbereinigt!A$3:AM$103,8,FALSE),0),0),0)</f>
        <v>2.082062168309323</v>
      </c>
      <c r="I65" s="97">
        <f>IF(VLOOKUP(A65,Aktien_im_Umlauf_splitbereinigt!A$3:AM$103,10,FALSE)&lt;&gt;"",IF(VLOOKUP(A65,Aktien_im_Umlauf_splitbereinigt!A$3:AM$103,9,FALSE)&lt;&gt;"",IF(VLOOKUP(A65,Schlußkurse!A$5:AU$105,42,FALSE)&gt;0,((VLOOKUP(A65,Aktien_im_Umlauf_splitbereinigt!A$3:AM$103,10,FALSE)-VLOOKUP(A65,Aktien_im_Umlauf_splitbereinigt!A$3:AM$103,9,FALSE))*VLOOKUP(A65,Schlußkurse!A$5:AU$105,42,FALSE))/VLOOKUP(A65,Aktien_im_Umlauf_splitbereinigt!A$3:AM$103,9,FALSE),0),0),0)</f>
        <v>1.4563185057753802</v>
      </c>
      <c r="J65" s="97">
        <f>IF(VLOOKUP(A65,Aktien_im_Umlauf_splitbereinigt!A$3:AM$103,11,FALSE)&lt;&gt;"",IF(VLOOKUP(A65,Aktien_im_Umlauf_splitbereinigt!A$3:AM$103,10,FALSE)&lt;&gt;"",IF(VLOOKUP(A65,Schlußkurse!A$5:AU$105,43,FALSE)&gt;0,((VLOOKUP(A65,Aktien_im_Umlauf_splitbereinigt!A$3:AM$103,11,FALSE)-VLOOKUP(A65,Aktien_im_Umlauf_splitbereinigt!A$3:AM$103,10,FALSE))*VLOOKUP(A65,Schlußkurse!A$5:AU$105,43,FALSE))/VLOOKUP(A65,Aktien_im_Umlauf_splitbereinigt!A$3:AM$103,10,FALSE),0),0),0)</f>
        <v>-0.41320441988950102</v>
      </c>
      <c r="K65" s="97">
        <f>IF(VLOOKUP(A65,Aktien_im_Umlauf_splitbereinigt!A$3:AM$103,12,FALSE)&lt;&gt;"",IF(VLOOKUP(A65,Aktien_im_Umlauf_splitbereinigt!A$3:AM$103,11,FALSE)&lt;&gt;"",IF(VLOOKUP(A65,Schlußkurse!A$5:AU$105,44,FALSE)&gt;0,((VLOOKUP(A65,Aktien_im_Umlauf_splitbereinigt!A$3:AM$103,12,FALSE)-VLOOKUP(A65,Aktien_im_Umlauf_splitbereinigt!A$3:AM$103,11,FALSE))*VLOOKUP(A65,Schlußkurse!A$5:AU$105,44,FALSE))/VLOOKUP(A65,Aktien_im_Umlauf_splitbereinigt!A$3:AM$103,11,FALSE),0),0),0)</f>
        <v>0.93085589941972335</v>
      </c>
      <c r="L65" s="97">
        <f>IF(VLOOKUP(A65,Aktien_im_Umlauf_splitbereinigt!A$3:AM$103,13,FALSE)&lt;&gt;"",IF(VLOOKUP(A65,Aktien_im_Umlauf_splitbereinigt!A$3:AM$103,12,FALSE)&lt;&gt;"",IF(VLOOKUP(A65,Schlußkurse!A$5:AU$105,45,FALSE)&gt;0,((VLOOKUP(A65,Aktien_im_Umlauf_splitbereinigt!A$3:AM$103,13,FALSE)-VLOOKUP(A65,Aktien_im_Umlauf_splitbereinigt!A$3:AM$103,12,FALSE))*VLOOKUP(A65,Schlußkurse!A$5:AU$105,45,FALSE))/VLOOKUP(A65,Aktien_im_Umlauf_splitbereinigt!A$3:AM$103,12,FALSE),0),0),0)</f>
        <v>5.7165550011879382</v>
      </c>
      <c r="M65" s="97">
        <f>IF(VLOOKUP(A65,Aktien_im_Umlauf_splitbereinigt!A$3:AM$103,14,FALSE)&lt;&gt;"",IF(VLOOKUP(A65,Aktien_im_Umlauf_splitbereinigt!A$3:AM$103,13,FALSE)&lt;&gt;"",IF(VLOOKUP(A65,Schlußkurse!A$5:AU$105,46,FALSE)&gt;0,((VLOOKUP(A65,Aktien_im_Umlauf_splitbereinigt!A$3:AM$103,14,FALSE)-VLOOKUP(A65,Aktien_im_Umlauf_splitbereinigt!A$3:AM$103,13,FALSE))*VLOOKUP(A65,Schlußkurse!A$5:AU$105,46,FALSE))/VLOOKUP(A65,Aktien_im_Umlauf_splitbereinigt!A$3:AM$103,13,FALSE),0),0),0)</f>
        <v>0.87994951712027758</v>
      </c>
      <c r="N65" s="13">
        <f>IF(C65&gt;0,IF(VLOOKUP(A65,Dividende_je_Aktie!A$3:AM$103,8,FALSE)&lt;&gt;"",C65+VLOOKUP(A65,Dividende_je_Aktie!A$3:AM$103,8,FALSE),C65),IF(VLOOKUP(A65,Dividende_je_Aktie!A$3:AM$103,8,FALSE)&lt;&gt;"",VLOOKUP(A65,Dividende_je_Aktie!A$3:AM$103,8,FALSE),""))</f>
        <v>3.65</v>
      </c>
      <c r="O65" s="13">
        <f>IF(D65&gt;0,IF(VLOOKUP(A65,Dividende_je_Aktie!A$3:AM$103,9,FALSE)&lt;&gt;"",D65+VLOOKUP(A65,Dividende_je_Aktie!A$3:AM$103,9,FALSE),D65),IF(VLOOKUP(A65,Dividende_je_Aktie!A$3:AM$103,9,FALSE)&lt;&gt;"",VLOOKUP(A65,Dividende_je_Aktie!A$3:AM$103,9,FALSE),""))</f>
        <v>5.0720088667220953</v>
      </c>
      <c r="P65" s="13">
        <f>IF(E65&gt;0,IF(VLOOKUP(A65,Dividende_je_Aktie!A$3:AM$103,10,FALSE)&lt;&gt;"",E65+VLOOKUP(A65,Dividende_je_Aktie!A$3:AM$103,10,FALSE),E65),IF(VLOOKUP(A65,Dividende_je_Aktie!A$3:AM$103,10,FALSE)&lt;&gt;"",VLOOKUP(A65,Dividende_je_Aktie!A$3:AM$103,10,FALSE),""))</f>
        <v>8.262463728442377</v>
      </c>
      <c r="Q65" s="13">
        <f>IF(F65&gt;0,IF(VLOOKUP(A65,Dividende_je_Aktie!A$3:AM$103,11,FALSE)&lt;&gt;"",F65+VLOOKUP(A65,Dividende_je_Aktie!A$3:AM$103,11,FALSE),F65),IF(VLOOKUP(A65,Dividende_je_Aktie!A$3:AM$103,11,FALSE)&lt;&gt;"",VLOOKUP(A65,Dividende_je_Aktie!A$3:AM$103,11,FALSE),""))</f>
        <v>5.5716964285714283</v>
      </c>
      <c r="R65" s="13">
        <f>IF(G65&gt;0,IF(VLOOKUP(A65,Dividende_je_Aktie!A$3:AM$103,12,FALSE)&lt;&gt;"",G65+VLOOKUP(A65,Dividende_je_Aktie!A$3:AM$103,12,FALSE),G65),IF(VLOOKUP(A65,Dividende_je_Aktie!A$3:AM$103,12,FALSE)&lt;&gt;"",VLOOKUP(A65,Dividende_je_Aktie!A$3:AM$103,12,FALSE),""))</f>
        <v>4.348009247367064</v>
      </c>
      <c r="S65" s="13">
        <f>IF(H65&gt;0,IF(VLOOKUP(A65,Dividende_je_Aktie!A$3:AM$103,13,FALSE)&lt;&gt;"",H65+VLOOKUP(A65,Dividende_je_Aktie!A$3:AM$103,13,FALSE),H65),IF(VLOOKUP(A65,Dividende_je_Aktie!A$3:AM$103,13,FALSE)&lt;&gt;"",VLOOKUP(A65,Dividende_je_Aktie!A$3:AM$103,13,FALSE),""))</f>
        <v>4.8820621683093233</v>
      </c>
      <c r="T65" s="13">
        <f>IF(I65&gt;0,IF(VLOOKUP(A65,Dividende_je_Aktie!A$3:AM$103,14,FALSE)&lt;&gt;"",I65+VLOOKUP(A65,Dividende_je_Aktie!A$3:AM$103,14,FALSE),I65),IF(VLOOKUP(A65,Dividende_je_Aktie!A$3:AM$103,14,FALSE)&lt;&gt;"",VLOOKUP(A65,Dividende_je_Aktie!A$3:AM$103,14,FALSE),""))</f>
        <v>4.0963185057753808</v>
      </c>
      <c r="U65" s="13">
        <f>IF(J65&gt;0,IF(VLOOKUP(A65,Dividende_je_Aktie!A$3:AM$103,15,FALSE)&lt;&gt;"",J65+VLOOKUP(A65,Dividende_je_Aktie!A$3:AM$103,15,FALSE),J65),IF(VLOOKUP(A65,Dividende_je_Aktie!A$3:AM$103,15,FALSE)&lt;&gt;"",VLOOKUP(A65,Dividende_je_Aktie!A$3:AM$103,15,FALSE),""))</f>
        <v>2.4</v>
      </c>
      <c r="V65" s="13">
        <f>IF(K65&gt;0,IF(VLOOKUP(A65,Dividende_je_Aktie!A$3:AM$103,16,FALSE)&lt;&gt;"",K65+VLOOKUP(A65,Dividende_je_Aktie!A$3:AM$103,16,FALSE),K65),IF(VLOOKUP(A65,Dividende_je_Aktie!A$3:AM$103,16,FALSE)&lt;&gt;"",VLOOKUP(A65,Dividende_je_Aktie!A$3:AM$103,16,FALSE),""))</f>
        <v>3.2508558994197232</v>
      </c>
      <c r="W65" s="13">
        <f>IF(L65&gt;0,IF(VLOOKUP(A65,Dividende_je_Aktie!A$3:AM$103,17,FALSE)&lt;&gt;"",L65+VLOOKUP(A65,Dividende_je_Aktie!A$3:AM$103,17,FALSE),L65),IF(VLOOKUP(A65,Dividende_je_Aktie!A$3:AM$103,17,FALSE)&lt;&gt;"",VLOOKUP(A65,Dividende_je_Aktie!A$3:AM$103,17,FALSE),""))</f>
        <v>7.8365550011879384</v>
      </c>
      <c r="X65" s="13">
        <f>IF(M65&gt;0,IF(VLOOKUP(A65,Dividende_je_Aktie!A$3:AM$103,18,FALSE)&lt;&gt;"",M65+VLOOKUP(A65,Dividende_je_Aktie!A$3:AM$103,18,FALSE),M65),IF(VLOOKUP(A65,Dividende_je_Aktie!A$3:AM$103,18,FALSE)&lt;&gt;"",VLOOKUP(A65,Dividende_je_Aktie!A$3:AM$103,18,FALSE),""))</f>
        <v>2.8399495171202775</v>
      </c>
    </row>
    <row r="66" spans="1:24">
      <c r="A66" s="52" t="s">
        <v>256</v>
      </c>
      <c r="B66" s="52" t="s">
        <v>257</v>
      </c>
      <c r="C66" s="13">
        <f>IF(VLOOKUP(A66,Aktien_im_Umlauf_splitbereinigt!A$3:AM$103,4,FALSE)&lt;&gt;"",IF(VLOOKUP(A66,Aktien_im_Umlauf_splitbereinigt!A$3:AM$103,3,FALSE)&lt;&gt;"",IF(VLOOKUP(A66,Schlußkurse!A$5:AU$105,36,FALSE)&gt;0,((VLOOKUP(A66,Aktien_im_Umlauf_splitbereinigt!A$3:AM$103,4,FALSE)-VLOOKUP(A66,Aktien_im_Umlauf_splitbereinigt!A$3:AM$103,3,FALSE))*VLOOKUP(A66,Schlußkurse!A$5:AU$105,36,FALSE))/VLOOKUP(A66,Aktien_im_Umlauf_splitbereinigt!A$3:AM$103,3,FALSE),0),0),0)</f>
        <v>0</v>
      </c>
      <c r="D66" s="97">
        <f>IF(VLOOKUP(A66,Aktien_im_Umlauf_splitbereinigt!A$3:AM$103,5,FALSE)&lt;&gt;"",IF(VLOOKUP(A66,Aktien_im_Umlauf_splitbereinigt!A$3:AM$103,4,FALSE)&lt;&gt;"",IF(VLOOKUP(A66,Schlußkurse!A$5:AU$105,37,FALSE)&gt;0,((VLOOKUP(A66,Aktien_im_Umlauf_splitbereinigt!A$3:AM$103,5,FALSE)-VLOOKUP(A66,Aktien_im_Umlauf_splitbereinigt!A$3:AM$103,4,FALSE))*VLOOKUP(A66,Schlußkurse!A$5:AU$105,37,FALSE))/VLOOKUP(A66,Aktien_im_Umlauf_splitbereinigt!A$3:AM$103,4,FALSE),0),0),0)</f>
        <v>3.2278853046594982</v>
      </c>
      <c r="E66" s="97">
        <f>IF(VLOOKUP(A66,Aktien_im_Umlauf_splitbereinigt!A$3:AM$103,6,FALSE)&lt;&gt;"",IF(VLOOKUP(A66,Aktien_im_Umlauf_splitbereinigt!A$3:AM$103,5,FALSE)&lt;&gt;"",IF(VLOOKUP(A66,Schlußkurse!A$5:AU$105,38,FALSE)&gt;0,((VLOOKUP(A66,Aktien_im_Umlauf_splitbereinigt!A$3:AM$103,6,FALSE)-VLOOKUP(A66,Aktien_im_Umlauf_splitbereinigt!A$3:AM$103,5,FALSE))*VLOOKUP(A66,Schlußkurse!A$5:AU$105,38,FALSE))/VLOOKUP(A66,Aktien_im_Umlauf_splitbereinigt!A$3:AM$103,5,FALSE),0),0),0)</f>
        <v>3.0637987857762359</v>
      </c>
      <c r="F66" s="97">
        <f>IF(VLOOKUP(A66,Aktien_im_Umlauf_splitbereinigt!A$3:AM$103,7,FALSE)&lt;&gt;"",IF(VLOOKUP(A66,Aktien_im_Umlauf_splitbereinigt!A$3:AM$103,6,FALSE)&lt;&gt;"",IF(VLOOKUP(A66,Schlußkurse!A$5:AU$105,39,FALSE)&gt;0,((VLOOKUP(A66,Aktien_im_Umlauf_splitbereinigt!A$3:AM$103,7,FALSE)-VLOOKUP(A66,Aktien_im_Umlauf_splitbereinigt!A$3:AM$103,6,FALSE))*VLOOKUP(A66,Schlußkurse!A$5:AU$105,39,FALSE))/VLOOKUP(A66,Aktien_im_Umlauf_splitbereinigt!A$3:AM$103,6,FALSE),0),0),0)</f>
        <v>2.6589179229480737</v>
      </c>
      <c r="G66" s="97">
        <f>IF(VLOOKUP(A66,Aktien_im_Umlauf_splitbereinigt!A$3:AM$103,8,FALSE)&lt;&gt;"",IF(VLOOKUP(A66,Aktien_im_Umlauf_splitbereinigt!A$3:AM$103,7,FALSE)&lt;&gt;"",IF(VLOOKUP(A66,Schlußkurse!A$5:AU$105,40,FALSE)&gt;0,((VLOOKUP(A66,Aktien_im_Umlauf_splitbereinigt!A$3:AM$103,8,FALSE)-VLOOKUP(A66,Aktien_im_Umlauf_splitbereinigt!A$3:AM$103,7,FALSE))*VLOOKUP(A66,Schlußkurse!A$5:AU$105,40,FALSE))/VLOOKUP(A66,Aktien_im_Umlauf_splitbereinigt!A$3:AM$103,7,FALSE),0),0),0)</f>
        <v>1.4754350649350649</v>
      </c>
      <c r="H66" s="97">
        <f>IF(VLOOKUP(A66,Aktien_im_Umlauf_splitbereinigt!A$3:AM$103,9,FALSE)&lt;&gt;"",IF(VLOOKUP(A66,Aktien_im_Umlauf_splitbereinigt!A$3:AM$103,8,FALSE)&lt;&gt;"",IF(VLOOKUP(A66,Schlußkurse!A$5:AU$105,41,FALSE)&gt;0,((VLOOKUP(A66,Aktien_im_Umlauf_splitbereinigt!A$3:AM$103,9,FALSE)-VLOOKUP(A66,Aktien_im_Umlauf_splitbereinigt!A$3:AM$103,8,FALSE))*VLOOKUP(A66,Schlußkurse!A$5:AU$105,41,FALSE))/VLOOKUP(A66,Aktien_im_Umlauf_splitbereinigt!A$3:AM$103,8,FALSE),0),0),0)</f>
        <v>1.1751615445232464</v>
      </c>
      <c r="I66" s="97">
        <f>IF(VLOOKUP(A66,Aktien_im_Umlauf_splitbereinigt!A$3:AM$103,10,FALSE)&lt;&gt;"",IF(VLOOKUP(A66,Aktien_im_Umlauf_splitbereinigt!A$3:AM$103,9,FALSE)&lt;&gt;"",IF(VLOOKUP(A66,Schlußkurse!A$5:AU$105,42,FALSE)&gt;0,((VLOOKUP(A66,Aktien_im_Umlauf_splitbereinigt!A$3:AM$103,10,FALSE)-VLOOKUP(A66,Aktien_im_Umlauf_splitbereinigt!A$3:AM$103,9,FALSE))*VLOOKUP(A66,Schlußkurse!A$5:AU$105,42,FALSE))/VLOOKUP(A66,Aktien_im_Umlauf_splitbereinigt!A$3:AM$103,9,FALSE),0),0),0)</f>
        <v>-0.18832773109243697</v>
      </c>
      <c r="J66" s="97">
        <f>IF(VLOOKUP(A66,Aktien_im_Umlauf_splitbereinigt!A$3:AM$103,11,FALSE)&lt;&gt;"",IF(VLOOKUP(A66,Aktien_im_Umlauf_splitbereinigt!A$3:AM$103,10,FALSE)&lt;&gt;"",IF(VLOOKUP(A66,Schlußkurse!A$5:AU$105,43,FALSE)&gt;0,((VLOOKUP(A66,Aktien_im_Umlauf_splitbereinigt!A$3:AM$103,11,FALSE)-VLOOKUP(A66,Aktien_im_Umlauf_splitbereinigt!A$3:AM$103,10,FALSE))*VLOOKUP(A66,Schlußkurse!A$5:AU$105,43,FALSE))/VLOOKUP(A66,Aktien_im_Umlauf_splitbereinigt!A$3:AM$103,10,FALSE),0),0),0)</f>
        <v>0</v>
      </c>
      <c r="K66" s="97">
        <f>IF(VLOOKUP(A66,Aktien_im_Umlauf_splitbereinigt!A$3:AM$103,12,FALSE)&lt;&gt;"",IF(VLOOKUP(A66,Aktien_im_Umlauf_splitbereinigt!A$3:AM$103,11,FALSE)&lt;&gt;"",IF(VLOOKUP(A66,Schlußkurse!A$5:AU$105,44,FALSE)&gt;0,((VLOOKUP(A66,Aktien_im_Umlauf_splitbereinigt!A$3:AM$103,12,FALSE)-VLOOKUP(A66,Aktien_im_Umlauf_splitbereinigt!A$3:AM$103,11,FALSE))*VLOOKUP(A66,Schlußkurse!A$5:AU$105,44,FALSE))/VLOOKUP(A66,Aktien_im_Umlauf_splitbereinigt!A$3:AM$103,11,FALSE),0),0),0)</f>
        <v>0</v>
      </c>
      <c r="L66" s="97">
        <f>IF(VLOOKUP(A66,Aktien_im_Umlauf_splitbereinigt!A$3:AM$103,13,FALSE)&lt;&gt;"",IF(VLOOKUP(A66,Aktien_im_Umlauf_splitbereinigt!A$3:AM$103,12,FALSE)&lt;&gt;"",IF(VLOOKUP(A66,Schlußkurse!A$5:AU$105,45,FALSE)&gt;0,((VLOOKUP(A66,Aktien_im_Umlauf_splitbereinigt!A$3:AM$103,13,FALSE)-VLOOKUP(A66,Aktien_im_Umlauf_splitbereinigt!A$3:AM$103,12,FALSE))*VLOOKUP(A66,Schlußkurse!A$5:AU$105,45,FALSE))/VLOOKUP(A66,Aktien_im_Umlauf_splitbereinigt!A$3:AM$103,12,FALSE),0),0),0)</f>
        <v>0</v>
      </c>
      <c r="M66" s="97">
        <f>IF(VLOOKUP(A66,Aktien_im_Umlauf_splitbereinigt!A$3:AM$103,14,FALSE)&lt;&gt;"",IF(VLOOKUP(A66,Aktien_im_Umlauf_splitbereinigt!A$3:AM$103,13,FALSE)&lt;&gt;"",IF(VLOOKUP(A66,Schlußkurse!A$5:AU$105,46,FALSE)&gt;0,((VLOOKUP(A66,Aktien_im_Umlauf_splitbereinigt!A$3:AM$103,14,FALSE)-VLOOKUP(A66,Aktien_im_Umlauf_splitbereinigt!A$3:AM$103,13,FALSE))*VLOOKUP(A66,Schlußkurse!A$5:AU$105,46,FALSE))/VLOOKUP(A66,Aktien_im_Umlauf_splitbereinigt!A$3:AM$103,13,FALSE),0),0),0)</f>
        <v>0</v>
      </c>
      <c r="N66" s="13">
        <f>IF(C66&gt;0,IF(VLOOKUP(A66,Dividende_je_Aktie!A$3:AM$103,8,FALSE)&lt;&gt;"",C66+VLOOKUP(A66,Dividende_je_Aktie!A$3:AM$103,8,FALSE),C66),IF(VLOOKUP(A66,Dividende_je_Aktie!A$3:AM$103,8,FALSE)&lt;&gt;"",VLOOKUP(A66,Dividende_je_Aktie!A$3:AM$103,8,FALSE),""))</f>
        <v>0.71</v>
      </c>
      <c r="O66" s="13">
        <f>IF(D66&gt;0,IF(VLOOKUP(A66,Dividende_je_Aktie!A$3:AM$103,9,FALSE)&lt;&gt;"",D66+VLOOKUP(A66,Dividende_je_Aktie!A$3:AM$103,9,FALSE),D66),IF(VLOOKUP(A66,Dividende_je_Aktie!A$3:AM$103,9,FALSE)&lt;&gt;"",VLOOKUP(A66,Dividende_je_Aktie!A$3:AM$103,9,FALSE),""))</f>
        <v>3.8678853046594983</v>
      </c>
      <c r="P66" s="13">
        <f>IF(E66&gt;0,IF(VLOOKUP(A66,Dividende_je_Aktie!A$3:AM$103,10,FALSE)&lt;&gt;"",E66+VLOOKUP(A66,Dividende_je_Aktie!A$3:AM$103,10,FALSE),E66),IF(VLOOKUP(A66,Dividende_je_Aktie!A$3:AM$103,10,FALSE)&lt;&gt;"",VLOOKUP(A66,Dividende_je_Aktie!A$3:AM$103,10,FALSE),""))</f>
        <v>3.5037987857762358</v>
      </c>
      <c r="Q66" s="13">
        <f>IF(F66&gt;0,IF(VLOOKUP(A66,Dividende_je_Aktie!A$3:AM$103,11,FALSE)&lt;&gt;"",F66+VLOOKUP(A66,Dividende_je_Aktie!A$3:AM$103,11,FALSE),F66),IF(VLOOKUP(A66,Dividende_je_Aktie!A$3:AM$103,11,FALSE)&lt;&gt;"",VLOOKUP(A66,Dividende_je_Aktie!A$3:AM$103,11,FALSE),""))</f>
        <v>2.8689179229480737</v>
      </c>
      <c r="R66" s="13">
        <f>IF(G66&gt;0,IF(VLOOKUP(A66,Dividende_je_Aktie!A$3:AM$103,12,FALSE)&lt;&gt;"",G66+VLOOKUP(A66,Dividende_je_Aktie!A$3:AM$103,12,FALSE),G66),IF(VLOOKUP(A66,Dividende_je_Aktie!A$3:AM$103,12,FALSE)&lt;&gt;"",VLOOKUP(A66,Dividende_je_Aktie!A$3:AM$103,12,FALSE),""))</f>
        <v>1.595435064935065</v>
      </c>
      <c r="S66" s="13">
        <f>IF(H66&gt;0,IF(VLOOKUP(A66,Dividende_je_Aktie!A$3:AM$103,13,FALSE)&lt;&gt;"",H66+VLOOKUP(A66,Dividende_je_Aktie!A$3:AM$103,13,FALSE),H66),IF(VLOOKUP(A66,Dividende_je_Aktie!A$3:AM$103,13,FALSE)&lt;&gt;"",VLOOKUP(A66,Dividende_je_Aktie!A$3:AM$103,13,FALSE),""))</f>
        <v>1.2351615445232464</v>
      </c>
      <c r="T66" s="13">
        <f>IF(I66&gt;0,IF(VLOOKUP(A66,Dividende_je_Aktie!A$3:AM$103,14,FALSE)&lt;&gt;"",I66+VLOOKUP(A66,Dividende_je_Aktie!A$3:AM$103,14,FALSE),I66),IF(VLOOKUP(A66,Dividende_je_Aktie!A$3:AM$103,14,FALSE)&lt;&gt;"",VLOOKUP(A66,Dividende_je_Aktie!A$3:AM$103,14,FALSE),""))</f>
        <v>0.06</v>
      </c>
      <c r="U66" s="13">
        <f>IF(J66&gt;0,IF(VLOOKUP(A66,Dividende_je_Aktie!A$3:AM$103,15,FALSE)&lt;&gt;"",J66+VLOOKUP(A66,Dividende_je_Aktie!A$3:AM$103,15,FALSE),J66),IF(VLOOKUP(A66,Dividende_je_Aktie!A$3:AM$103,15,FALSE)&lt;&gt;"",VLOOKUP(A66,Dividende_je_Aktie!A$3:AM$103,15,FALSE),""))</f>
        <v>0.06</v>
      </c>
      <c r="V66" s="13">
        <f>IF(K66&gt;0,IF(VLOOKUP(A66,Dividende_je_Aktie!A$3:AM$103,16,FALSE)&lt;&gt;"",K66+VLOOKUP(A66,Dividende_je_Aktie!A$3:AM$103,16,FALSE),K66),IF(VLOOKUP(A66,Dividende_je_Aktie!A$3:AM$103,16,FALSE)&lt;&gt;"",VLOOKUP(A66,Dividende_je_Aktie!A$3:AM$103,16,FALSE),""))</f>
        <v>0.06</v>
      </c>
      <c r="W66" s="13" t="str">
        <f>IF(L66&gt;0,IF(VLOOKUP(A66,Dividende_je_Aktie!A$3:AM$103,17,FALSE)&lt;&gt;"",L66+VLOOKUP(A66,Dividende_je_Aktie!A$3:AM$103,17,FALSE),L66),IF(VLOOKUP(A66,Dividende_je_Aktie!A$3:AM$103,17,FALSE)&lt;&gt;"",VLOOKUP(A66,Dividende_je_Aktie!A$3:AM$103,17,FALSE),""))</f>
        <v/>
      </c>
      <c r="X66" s="13" t="str">
        <f>IF(M66&gt;0,IF(VLOOKUP(A66,Dividende_je_Aktie!A$3:AM$103,18,FALSE)&lt;&gt;"",M66+VLOOKUP(A66,Dividende_je_Aktie!A$3:AM$103,18,FALSE),M66),IF(VLOOKUP(A66,Dividende_je_Aktie!A$3:AM$103,18,FALSE)&lt;&gt;"",VLOOKUP(A66,Dividende_je_Aktie!A$3:AM$103,18,FALSE),""))</f>
        <v/>
      </c>
    </row>
    <row r="67" spans="1:24">
      <c r="A67" s="52" t="s">
        <v>258</v>
      </c>
      <c r="B67" s="52" t="s">
        <v>259</v>
      </c>
      <c r="C67" s="13">
        <f>IF(VLOOKUP(A67,Aktien_im_Umlauf_splitbereinigt!A$3:AM$103,4,FALSE)&lt;&gt;"",IF(VLOOKUP(A67,Aktien_im_Umlauf_splitbereinigt!A$3:AM$103,3,FALSE)&lt;&gt;"",IF(VLOOKUP(A67,Schlußkurse!A$5:AU$105,36,FALSE)&gt;0,((VLOOKUP(A67,Aktien_im_Umlauf_splitbereinigt!A$3:AM$103,4,FALSE)-VLOOKUP(A67,Aktien_im_Umlauf_splitbereinigt!A$3:AM$103,3,FALSE))*VLOOKUP(A67,Schlußkurse!A$5:AU$105,36,FALSE))/VLOOKUP(A67,Aktien_im_Umlauf_splitbereinigt!A$3:AM$103,3,FALSE),0),0),0)</f>
        <v>0</v>
      </c>
      <c r="D67" s="97">
        <f>IF(VLOOKUP(A67,Aktien_im_Umlauf_splitbereinigt!A$3:AM$103,5,FALSE)&lt;&gt;"",IF(VLOOKUP(A67,Aktien_im_Umlauf_splitbereinigt!A$3:AM$103,4,FALSE)&lt;&gt;"",IF(VLOOKUP(A67,Schlußkurse!A$5:AU$105,37,FALSE)&gt;0,((VLOOKUP(A67,Aktien_im_Umlauf_splitbereinigt!A$3:AM$103,5,FALSE)-VLOOKUP(A67,Aktien_im_Umlauf_splitbereinigt!A$3:AM$103,4,FALSE))*VLOOKUP(A67,Schlußkurse!A$5:AU$105,37,FALSE))/VLOOKUP(A67,Aktien_im_Umlauf_splitbereinigt!A$3:AM$103,4,FALSE),0),0),0)</f>
        <v>4.2371236230110165</v>
      </c>
      <c r="E67" s="97">
        <f>IF(VLOOKUP(A67,Aktien_im_Umlauf_splitbereinigt!A$3:AM$103,6,FALSE)&lt;&gt;"",IF(VLOOKUP(A67,Aktien_im_Umlauf_splitbereinigt!A$3:AM$103,5,FALSE)&lt;&gt;"",IF(VLOOKUP(A67,Schlußkurse!A$5:AU$105,38,FALSE)&gt;0,((VLOOKUP(A67,Aktien_im_Umlauf_splitbereinigt!A$3:AM$103,6,FALSE)-VLOOKUP(A67,Aktien_im_Umlauf_splitbereinigt!A$3:AM$103,5,FALSE))*VLOOKUP(A67,Schlußkurse!A$5:AU$105,38,FALSE))/VLOOKUP(A67,Aktien_im_Umlauf_splitbereinigt!A$3:AM$103,5,FALSE),0),0),0)</f>
        <v>4.5007633587786229</v>
      </c>
      <c r="F67" s="97">
        <f>IF(VLOOKUP(A67,Aktien_im_Umlauf_splitbereinigt!A$3:AM$103,7,FALSE)&lt;&gt;"",IF(VLOOKUP(A67,Aktien_im_Umlauf_splitbereinigt!A$3:AM$103,6,FALSE)&lt;&gt;"",IF(VLOOKUP(A67,Schlußkurse!A$5:AU$105,39,FALSE)&gt;0,((VLOOKUP(A67,Aktien_im_Umlauf_splitbereinigt!A$3:AM$103,7,FALSE)-VLOOKUP(A67,Aktien_im_Umlauf_splitbereinigt!A$3:AM$103,6,FALSE))*VLOOKUP(A67,Schlußkurse!A$5:AU$105,39,FALSE))/VLOOKUP(A67,Aktien_im_Umlauf_splitbereinigt!A$3:AM$103,6,FALSE),0),0),0)</f>
        <v>3.4071148812862186</v>
      </c>
      <c r="G67" s="97">
        <f>IF(VLOOKUP(A67,Aktien_im_Umlauf_splitbereinigt!A$3:AM$103,8,FALSE)&lt;&gt;"",IF(VLOOKUP(A67,Aktien_im_Umlauf_splitbereinigt!A$3:AM$103,7,FALSE)&lt;&gt;"",IF(VLOOKUP(A67,Schlußkurse!A$5:AU$105,40,FALSE)&gt;0,((VLOOKUP(A67,Aktien_im_Umlauf_splitbereinigt!A$3:AM$103,8,FALSE)-VLOOKUP(A67,Aktien_im_Umlauf_splitbereinigt!A$3:AM$103,7,FALSE))*VLOOKUP(A67,Schlußkurse!A$5:AU$105,40,FALSE))/VLOOKUP(A67,Aktien_im_Umlauf_splitbereinigt!A$3:AM$103,7,FALSE),0),0),0)</f>
        <v>-0.18257200447928382</v>
      </c>
      <c r="H67" s="97">
        <f>IF(VLOOKUP(A67,Aktien_im_Umlauf_splitbereinigt!A$3:AM$103,9,FALSE)&lt;&gt;"",IF(VLOOKUP(A67,Aktien_im_Umlauf_splitbereinigt!A$3:AM$103,8,FALSE)&lt;&gt;"",IF(VLOOKUP(A67,Schlußkurse!A$5:AU$105,41,FALSE)&gt;0,((VLOOKUP(A67,Aktien_im_Umlauf_splitbereinigt!A$3:AM$103,9,FALSE)-VLOOKUP(A67,Aktien_im_Umlauf_splitbereinigt!A$3:AM$103,8,FALSE))*VLOOKUP(A67,Schlußkurse!A$5:AU$105,41,FALSE))/VLOOKUP(A67,Aktien_im_Umlauf_splitbereinigt!A$3:AM$103,8,FALSE),0),0),0)</f>
        <v>1.2658011149073927</v>
      </c>
      <c r="I67" s="97">
        <f>IF(VLOOKUP(A67,Aktien_im_Umlauf_splitbereinigt!A$3:AM$103,10,FALSE)&lt;&gt;"",IF(VLOOKUP(A67,Aktien_im_Umlauf_splitbereinigt!A$3:AM$103,9,FALSE)&lt;&gt;"",IF(VLOOKUP(A67,Schlußkurse!A$5:AU$105,42,FALSE)&gt;0,((VLOOKUP(A67,Aktien_im_Umlauf_splitbereinigt!A$3:AM$103,10,FALSE)-VLOOKUP(A67,Aktien_im_Umlauf_splitbereinigt!A$3:AM$103,9,FALSE))*VLOOKUP(A67,Schlußkurse!A$5:AU$105,42,FALSE))/VLOOKUP(A67,Aktien_im_Umlauf_splitbereinigt!A$3:AM$103,9,FALSE),0),0),0)</f>
        <v>0.70144714038128175</v>
      </c>
      <c r="J67" s="97">
        <f>IF(VLOOKUP(A67,Aktien_im_Umlauf_splitbereinigt!A$3:AM$103,11,FALSE)&lt;&gt;"",IF(VLOOKUP(A67,Aktien_im_Umlauf_splitbereinigt!A$3:AM$103,10,FALSE)&lt;&gt;"",IF(VLOOKUP(A67,Schlußkurse!A$5:AU$105,43,FALSE)&gt;0,((VLOOKUP(A67,Aktien_im_Umlauf_splitbereinigt!A$3:AM$103,11,FALSE)-VLOOKUP(A67,Aktien_im_Umlauf_splitbereinigt!A$3:AM$103,10,FALSE))*VLOOKUP(A67,Schlußkurse!A$5:AU$105,43,FALSE))/VLOOKUP(A67,Aktien_im_Umlauf_splitbereinigt!A$3:AM$103,10,FALSE),0),0),0)</f>
        <v>-0.2036302237230912</v>
      </c>
      <c r="K67" s="97">
        <f>IF(VLOOKUP(A67,Aktien_im_Umlauf_splitbereinigt!A$3:AM$103,12,FALSE)&lt;&gt;"",IF(VLOOKUP(A67,Aktien_im_Umlauf_splitbereinigt!A$3:AM$103,11,FALSE)&lt;&gt;"",IF(VLOOKUP(A67,Schlußkurse!A$5:AU$105,44,FALSE)&gt;0,((VLOOKUP(A67,Aktien_im_Umlauf_splitbereinigt!A$3:AM$103,12,FALSE)-VLOOKUP(A67,Aktien_im_Umlauf_splitbereinigt!A$3:AM$103,11,FALSE))*VLOOKUP(A67,Schlußkurse!A$5:AU$105,44,FALSE))/VLOOKUP(A67,Aktien_im_Umlauf_splitbereinigt!A$3:AM$103,11,FALSE),0),0),0)</f>
        <v>1.3928838792003413</v>
      </c>
      <c r="L67" s="97">
        <f>IF(VLOOKUP(A67,Aktien_im_Umlauf_splitbereinigt!A$3:AM$103,13,FALSE)&lt;&gt;"",IF(VLOOKUP(A67,Aktien_im_Umlauf_splitbereinigt!A$3:AM$103,12,FALSE)&lt;&gt;"",IF(VLOOKUP(A67,Schlußkurse!A$5:AU$105,45,FALSE)&gt;0,((VLOOKUP(A67,Aktien_im_Umlauf_splitbereinigt!A$3:AM$103,13,FALSE)-VLOOKUP(A67,Aktien_im_Umlauf_splitbereinigt!A$3:AM$103,12,FALSE))*VLOOKUP(A67,Schlußkurse!A$5:AU$105,45,FALSE))/VLOOKUP(A67,Aktien_im_Umlauf_splitbereinigt!A$3:AM$103,12,FALSE),0),0),0)</f>
        <v>3.8625298329355635</v>
      </c>
      <c r="M67" s="97">
        <f>IF(VLOOKUP(A67,Aktien_im_Umlauf_splitbereinigt!A$3:AM$103,14,FALSE)&lt;&gt;"",IF(VLOOKUP(A67,Aktien_im_Umlauf_splitbereinigt!A$3:AM$103,13,FALSE)&lt;&gt;"",IF(VLOOKUP(A67,Schlußkurse!A$5:AU$105,46,FALSE)&gt;0,((VLOOKUP(A67,Aktien_im_Umlauf_splitbereinigt!A$3:AM$103,14,FALSE)-VLOOKUP(A67,Aktien_im_Umlauf_splitbereinigt!A$3:AM$103,13,FALSE))*VLOOKUP(A67,Schlußkurse!A$5:AU$105,46,FALSE))/VLOOKUP(A67,Aktien_im_Umlauf_splitbereinigt!A$3:AM$103,13,FALSE),0),0),0)</f>
        <v>2.9002225412778149</v>
      </c>
      <c r="N67" s="13">
        <f>IF(C67&gt;0,IF(VLOOKUP(A67,Dividende_je_Aktie!A$3:AM$103,8,FALSE)&lt;&gt;"",C67+VLOOKUP(A67,Dividende_je_Aktie!A$3:AM$103,8,FALSE),C67),IF(VLOOKUP(A67,Dividende_je_Aktie!A$3:AM$103,8,FALSE)&lt;&gt;"",VLOOKUP(A67,Dividende_je_Aktie!A$3:AM$103,8,FALSE),""))</f>
        <v>1.48</v>
      </c>
      <c r="O67" s="13">
        <f>IF(D67&gt;0,IF(VLOOKUP(A67,Dividende_je_Aktie!A$3:AM$103,9,FALSE)&lt;&gt;"",D67+VLOOKUP(A67,Dividende_je_Aktie!A$3:AM$103,9,FALSE),D67),IF(VLOOKUP(A67,Dividende_je_Aktie!A$3:AM$103,9,FALSE)&lt;&gt;"",VLOOKUP(A67,Dividende_je_Aktie!A$3:AM$103,9,FALSE),""))</f>
        <v>5.5971236230110168</v>
      </c>
      <c r="P67" s="13">
        <f>IF(E67&gt;0,IF(VLOOKUP(A67,Dividende_je_Aktie!A$3:AM$103,10,FALSE)&lt;&gt;"",E67+VLOOKUP(A67,Dividende_je_Aktie!A$3:AM$103,10,FALSE),E67),IF(VLOOKUP(A67,Dividende_je_Aktie!A$3:AM$103,10,FALSE)&lt;&gt;"",VLOOKUP(A67,Dividende_je_Aktie!A$3:AM$103,10,FALSE),""))</f>
        <v>5.6807633587786226</v>
      </c>
      <c r="Q67" s="13">
        <f>IF(F67&gt;0,IF(VLOOKUP(A67,Dividende_je_Aktie!A$3:AM$103,11,FALSE)&lt;&gt;"",F67+VLOOKUP(A67,Dividende_je_Aktie!A$3:AM$103,11,FALSE),F67),IF(VLOOKUP(A67,Dividende_je_Aktie!A$3:AM$103,11,FALSE)&lt;&gt;"",VLOOKUP(A67,Dividende_je_Aktie!A$3:AM$103,11,FALSE),""))</f>
        <v>4.3871148812862186</v>
      </c>
      <c r="R67" s="13">
        <f>IF(G67&gt;0,IF(VLOOKUP(A67,Dividende_je_Aktie!A$3:AM$103,12,FALSE)&lt;&gt;"",G67+VLOOKUP(A67,Dividende_je_Aktie!A$3:AM$103,12,FALSE),G67),IF(VLOOKUP(A67,Dividende_je_Aktie!A$3:AM$103,12,FALSE)&lt;&gt;"",VLOOKUP(A67,Dividende_je_Aktie!A$3:AM$103,12,FALSE),""))</f>
        <v>0.64</v>
      </c>
      <c r="S67" s="13">
        <f>IF(H67&gt;0,IF(VLOOKUP(A67,Dividende_je_Aktie!A$3:AM$103,13,FALSE)&lt;&gt;"",H67+VLOOKUP(A67,Dividende_je_Aktie!A$3:AM$103,13,FALSE),H67),IF(VLOOKUP(A67,Dividende_je_Aktie!A$3:AM$103,13,FALSE)&lt;&gt;"",VLOOKUP(A67,Dividende_je_Aktie!A$3:AM$103,13,FALSE),""))</f>
        <v>1.8058011149073927</v>
      </c>
      <c r="T67" s="13">
        <f>IF(I67&gt;0,IF(VLOOKUP(A67,Dividende_je_Aktie!A$3:AM$103,14,FALSE)&lt;&gt;"",I67+VLOOKUP(A67,Dividende_je_Aktie!A$3:AM$103,14,FALSE),I67),IF(VLOOKUP(A67,Dividende_je_Aktie!A$3:AM$103,14,FALSE)&lt;&gt;"",VLOOKUP(A67,Dividende_je_Aktie!A$3:AM$103,14,FALSE),""))</f>
        <v>1.1214471403812818</v>
      </c>
      <c r="U67" s="13">
        <f>IF(J67&gt;0,IF(VLOOKUP(A67,Dividende_je_Aktie!A$3:AM$103,15,FALSE)&lt;&gt;"",J67+VLOOKUP(A67,Dividende_je_Aktie!A$3:AM$103,15,FALSE),J67),IF(VLOOKUP(A67,Dividende_je_Aktie!A$3:AM$103,15,FALSE)&lt;&gt;"",VLOOKUP(A67,Dividende_je_Aktie!A$3:AM$103,15,FALSE),""))</f>
        <v>0.4</v>
      </c>
      <c r="V67" s="13">
        <f>IF(K67&gt;0,IF(VLOOKUP(A67,Dividende_je_Aktie!A$3:AM$103,16,FALSE)&lt;&gt;"",K67+VLOOKUP(A67,Dividende_je_Aktie!A$3:AM$103,16,FALSE),K67),IF(VLOOKUP(A67,Dividende_je_Aktie!A$3:AM$103,16,FALSE)&lt;&gt;"",VLOOKUP(A67,Dividende_je_Aktie!A$3:AM$103,16,FALSE),""))</f>
        <v>1.7928838792003412</v>
      </c>
      <c r="W67" s="13">
        <f>IF(L67&gt;0,IF(VLOOKUP(A67,Dividende_je_Aktie!A$3:AM$103,17,FALSE)&lt;&gt;"",L67+VLOOKUP(A67,Dividende_je_Aktie!A$3:AM$103,17,FALSE),L67),IF(VLOOKUP(A67,Dividende_je_Aktie!A$3:AM$103,17,FALSE)&lt;&gt;"",VLOOKUP(A67,Dividende_je_Aktie!A$3:AM$103,17,FALSE),""))</f>
        <v>4.2025298329355634</v>
      </c>
      <c r="X67" s="13">
        <f>IF(M67&gt;0,IF(VLOOKUP(A67,Dividende_je_Aktie!A$3:AM$103,18,FALSE)&lt;&gt;"",M67+VLOOKUP(A67,Dividende_je_Aktie!A$3:AM$103,18,FALSE),M67),IF(VLOOKUP(A67,Dividende_je_Aktie!A$3:AM$103,18,FALSE)&lt;&gt;"",VLOOKUP(A67,Dividende_je_Aktie!A$3:AM$103,18,FALSE),""))</f>
        <v>3.1902225412778149</v>
      </c>
    </row>
    <row r="68" spans="1:24">
      <c r="A68" s="52" t="s">
        <v>269</v>
      </c>
      <c r="B68" s="52" t="s">
        <v>271</v>
      </c>
      <c r="C68" s="13">
        <f>IF(VLOOKUP(A68,Aktien_im_Umlauf_splitbereinigt!A$3:AM$103,4,FALSE)&lt;&gt;"",IF(VLOOKUP(A68,Aktien_im_Umlauf_splitbereinigt!A$3:AM$103,3,FALSE)&lt;&gt;"",IF(VLOOKUP(A68,Schlußkurse!A$5:AU$105,36,FALSE)&gt;0,((VLOOKUP(A68,Aktien_im_Umlauf_splitbereinigt!A$3:AM$103,4,FALSE)-VLOOKUP(A68,Aktien_im_Umlauf_splitbereinigt!A$3:AM$103,3,FALSE))*VLOOKUP(A68,Schlußkurse!A$5:AU$105,36,FALSE))/VLOOKUP(A68,Aktien_im_Umlauf_splitbereinigt!A$3:AM$103,3,FALSE),0),0),0)</f>
        <v>0</v>
      </c>
      <c r="D68" s="97">
        <f>IF(VLOOKUP(A68,Aktien_im_Umlauf_splitbereinigt!A$3:AM$103,5,FALSE)&lt;&gt;"",IF(VLOOKUP(A68,Aktien_im_Umlauf_splitbereinigt!A$3:AM$103,4,FALSE)&lt;&gt;"",IF(VLOOKUP(A68,Schlußkurse!A$5:AU$105,37,FALSE)&gt;0,((VLOOKUP(A68,Aktien_im_Umlauf_splitbereinigt!A$3:AM$103,5,FALSE)-VLOOKUP(A68,Aktien_im_Umlauf_splitbereinigt!A$3:AM$103,4,FALSE))*VLOOKUP(A68,Schlußkurse!A$5:AU$105,37,FALSE))/VLOOKUP(A68,Aktien_im_Umlauf_splitbereinigt!A$3:AM$103,4,FALSE),0),0),0)</f>
        <v>0.12344176285414481</v>
      </c>
      <c r="E68" s="97">
        <f>IF(VLOOKUP(A68,Aktien_im_Umlauf_splitbereinigt!A$3:AM$103,6,FALSE)&lt;&gt;"",IF(VLOOKUP(A68,Aktien_im_Umlauf_splitbereinigt!A$3:AM$103,5,FALSE)&lt;&gt;"",IF(VLOOKUP(A68,Schlußkurse!A$5:AU$105,38,FALSE)&gt;0,((VLOOKUP(A68,Aktien_im_Umlauf_splitbereinigt!A$3:AM$103,6,FALSE)-VLOOKUP(A68,Aktien_im_Umlauf_splitbereinigt!A$3:AM$103,5,FALSE))*VLOOKUP(A68,Schlußkurse!A$5:AU$105,38,FALSE))/VLOOKUP(A68,Aktien_im_Umlauf_splitbereinigt!A$3:AM$103,5,FALSE),0),0),0)</f>
        <v>3.6027882599580714</v>
      </c>
      <c r="F68" s="97">
        <f>IF(VLOOKUP(A68,Aktien_im_Umlauf_splitbereinigt!A$3:AM$103,7,FALSE)&lt;&gt;"",IF(VLOOKUP(A68,Aktien_im_Umlauf_splitbereinigt!A$3:AM$103,6,FALSE)&lt;&gt;"",IF(VLOOKUP(A68,Schlußkurse!A$5:AU$105,39,FALSE)&gt;0,((VLOOKUP(A68,Aktien_im_Umlauf_splitbereinigt!A$3:AM$103,7,FALSE)-VLOOKUP(A68,Aktien_im_Umlauf_splitbereinigt!A$3:AM$103,6,FALSE))*VLOOKUP(A68,Schlußkurse!A$5:AU$105,39,FALSE))/VLOOKUP(A68,Aktien_im_Umlauf_splitbereinigt!A$3:AM$103,6,FALSE),0),0),0)</f>
        <v>2.362651821862348</v>
      </c>
      <c r="G68" s="97">
        <f>IF(VLOOKUP(A68,Aktien_im_Umlauf_splitbereinigt!A$3:AM$103,8,FALSE)&lt;&gt;"",IF(VLOOKUP(A68,Aktien_im_Umlauf_splitbereinigt!A$3:AM$103,7,FALSE)&lt;&gt;"",IF(VLOOKUP(A68,Schlußkurse!A$5:AU$105,40,FALSE)&gt;0,((VLOOKUP(A68,Aktien_im_Umlauf_splitbereinigt!A$3:AM$103,8,FALSE)-VLOOKUP(A68,Aktien_im_Umlauf_splitbereinigt!A$3:AM$103,7,FALSE))*VLOOKUP(A68,Schlußkurse!A$5:AU$105,40,FALSE))/VLOOKUP(A68,Aktien_im_Umlauf_splitbereinigt!A$3:AM$103,7,FALSE),0),0),0)</f>
        <v>1.0645731108930323</v>
      </c>
      <c r="H68" s="97">
        <f>IF(VLOOKUP(A68,Aktien_im_Umlauf_splitbereinigt!A$3:AM$103,9,FALSE)&lt;&gt;"",IF(VLOOKUP(A68,Aktien_im_Umlauf_splitbereinigt!A$3:AM$103,8,FALSE)&lt;&gt;"",IF(VLOOKUP(A68,Schlußkurse!A$5:AU$105,41,FALSE)&gt;0,((VLOOKUP(A68,Aktien_im_Umlauf_splitbereinigt!A$3:AM$103,9,FALSE)-VLOOKUP(A68,Aktien_im_Umlauf_splitbereinigt!A$3:AM$103,8,FALSE))*VLOOKUP(A68,Schlußkurse!A$5:AU$105,41,FALSE))/VLOOKUP(A68,Aktien_im_Umlauf_splitbereinigt!A$3:AM$103,8,FALSE),0),0),0)</f>
        <v>2.2925505293551494</v>
      </c>
      <c r="I68" s="97">
        <f>IF(VLOOKUP(A68,Aktien_im_Umlauf_splitbereinigt!A$3:AM$103,10,FALSE)&lt;&gt;"",IF(VLOOKUP(A68,Aktien_im_Umlauf_splitbereinigt!A$3:AM$103,9,FALSE)&lt;&gt;"",IF(VLOOKUP(A68,Schlußkurse!A$5:AU$105,42,FALSE)&gt;0,((VLOOKUP(A68,Aktien_im_Umlauf_splitbereinigt!A$3:AM$103,10,FALSE)-VLOOKUP(A68,Aktien_im_Umlauf_splitbereinigt!A$3:AM$103,9,FALSE))*VLOOKUP(A68,Schlußkurse!A$5:AU$105,42,FALSE))/VLOOKUP(A68,Aktien_im_Umlauf_splitbereinigt!A$3:AM$103,9,FALSE),0),0),0)</f>
        <v>2.028278084714549</v>
      </c>
      <c r="J68" s="97">
        <f>IF(VLOOKUP(A68,Aktien_im_Umlauf_splitbereinigt!A$3:AM$103,11,FALSE)&lt;&gt;"",IF(VLOOKUP(A68,Aktien_im_Umlauf_splitbereinigt!A$3:AM$103,10,FALSE)&lt;&gt;"",IF(VLOOKUP(A68,Schlußkurse!A$5:AU$105,43,FALSE)&gt;0,((VLOOKUP(A68,Aktien_im_Umlauf_splitbereinigt!A$3:AM$103,11,FALSE)-VLOOKUP(A68,Aktien_im_Umlauf_splitbereinigt!A$3:AM$103,10,FALSE))*VLOOKUP(A68,Schlußkurse!A$5:AU$105,43,FALSE))/VLOOKUP(A68,Aktien_im_Umlauf_splitbereinigt!A$3:AM$103,10,FALSE),0),0),0)</f>
        <v>1.4349782040104622</v>
      </c>
      <c r="K68" s="97">
        <f>IF(VLOOKUP(A68,Aktien_im_Umlauf_splitbereinigt!A$3:AM$103,12,FALSE)&lt;&gt;"",IF(VLOOKUP(A68,Aktien_im_Umlauf_splitbereinigt!A$3:AM$103,11,FALSE)&lt;&gt;"",IF(VLOOKUP(A68,Schlußkurse!A$5:AU$105,44,FALSE)&gt;0,((VLOOKUP(A68,Aktien_im_Umlauf_splitbereinigt!A$3:AM$103,12,FALSE)-VLOOKUP(A68,Aktien_im_Umlauf_splitbereinigt!A$3:AM$103,11,FALSE))*VLOOKUP(A68,Schlußkurse!A$5:AU$105,44,FALSE))/VLOOKUP(A68,Aktien_im_Umlauf_splitbereinigt!A$3:AM$103,11,FALSE),0),0),0)</f>
        <v>1.151706910907577</v>
      </c>
      <c r="L68" s="97">
        <f>IF(VLOOKUP(A68,Aktien_im_Umlauf_splitbereinigt!A$3:AM$103,13,FALSE)&lt;&gt;"",IF(VLOOKUP(A68,Aktien_im_Umlauf_splitbereinigt!A$3:AM$103,12,FALSE)&lt;&gt;"",IF(VLOOKUP(A68,Schlußkurse!A$5:AU$105,45,FALSE)&gt;0,((VLOOKUP(A68,Aktien_im_Umlauf_splitbereinigt!A$3:AM$103,13,FALSE)-VLOOKUP(A68,Aktien_im_Umlauf_splitbereinigt!A$3:AM$103,12,FALSE))*VLOOKUP(A68,Schlußkurse!A$5:AU$105,45,FALSE))/VLOOKUP(A68,Aktien_im_Umlauf_splitbereinigt!A$3:AM$103,12,FALSE),0),0),0)</f>
        <v>4.2732641660015966</v>
      </c>
      <c r="M68" s="97">
        <f>IF(VLOOKUP(A68,Aktien_im_Umlauf_splitbereinigt!A$3:AM$103,14,FALSE)&lt;&gt;"",IF(VLOOKUP(A68,Aktien_im_Umlauf_splitbereinigt!A$3:AM$103,13,FALSE)&lt;&gt;"",IF(VLOOKUP(A68,Schlußkurse!A$5:AU$105,46,FALSE)&gt;0,((VLOOKUP(A68,Aktien_im_Umlauf_splitbereinigt!A$3:AM$103,14,FALSE)-VLOOKUP(A68,Aktien_im_Umlauf_splitbereinigt!A$3:AM$103,13,FALSE))*VLOOKUP(A68,Schlußkurse!A$5:AU$105,46,FALSE))/VLOOKUP(A68,Aktien_im_Umlauf_splitbereinigt!A$3:AM$103,13,FALSE),0),0),0)</f>
        <v>0.52</v>
      </c>
      <c r="N68" s="13">
        <f>IF(C68&gt;0,IF(VLOOKUP(A68,Dividende_je_Aktie!A$3:AM$103,8,FALSE)&lt;&gt;"",C68+VLOOKUP(A68,Dividende_je_Aktie!A$3:AM$103,8,FALSE),C68),IF(VLOOKUP(A68,Dividende_je_Aktie!A$3:AM$103,8,FALSE)&lt;&gt;"",VLOOKUP(A68,Dividende_je_Aktie!A$3:AM$103,8,FALSE),""))</f>
        <v>1.55</v>
      </c>
      <c r="O68" s="13">
        <f>IF(D68&gt;0,IF(VLOOKUP(A68,Dividende_je_Aktie!A$3:AM$103,9,FALSE)&lt;&gt;"",D68+VLOOKUP(A68,Dividende_je_Aktie!A$3:AM$103,9,FALSE),D68),IF(VLOOKUP(A68,Dividende_je_Aktie!A$3:AM$103,9,FALSE)&lt;&gt;"",VLOOKUP(A68,Dividende_je_Aktie!A$3:AM$103,9,FALSE),""))</f>
        <v>2.0034417628541448</v>
      </c>
      <c r="P68" s="13">
        <f>IF(E68&gt;0,IF(VLOOKUP(A68,Dividende_je_Aktie!A$3:AM$103,10,FALSE)&lt;&gt;"",E68+VLOOKUP(A68,Dividende_je_Aktie!A$3:AM$103,10,FALSE),E68),IF(VLOOKUP(A68,Dividende_je_Aktie!A$3:AM$103,10,FALSE)&lt;&gt;"",VLOOKUP(A68,Dividende_je_Aktie!A$3:AM$103,10,FALSE),""))</f>
        <v>5.0127882599580715</v>
      </c>
      <c r="Q68" s="13">
        <f>IF(F68&gt;0,IF(VLOOKUP(A68,Dividende_je_Aktie!A$3:AM$103,11,FALSE)&lt;&gt;"",F68+VLOOKUP(A68,Dividende_je_Aktie!A$3:AM$103,11,FALSE),F68),IF(VLOOKUP(A68,Dividende_je_Aktie!A$3:AM$103,11,FALSE)&lt;&gt;"",VLOOKUP(A68,Dividende_je_Aktie!A$3:AM$103,11,FALSE),""))</f>
        <v>3.4126518218623483</v>
      </c>
      <c r="R68" s="13">
        <f>IF(G68&gt;0,IF(VLOOKUP(A68,Dividende_je_Aktie!A$3:AM$103,12,FALSE)&lt;&gt;"",G68+VLOOKUP(A68,Dividende_je_Aktie!A$3:AM$103,12,FALSE),G68),IF(VLOOKUP(A68,Dividende_je_Aktie!A$3:AM$103,12,FALSE)&lt;&gt;"",VLOOKUP(A68,Dividende_je_Aktie!A$3:AM$103,12,FALSE),""))</f>
        <v>1.8645731108930323</v>
      </c>
      <c r="S68" s="13">
        <f>IF(H68&gt;0,IF(VLOOKUP(A68,Dividende_je_Aktie!A$3:AM$103,13,FALSE)&lt;&gt;"",H68+VLOOKUP(A68,Dividende_je_Aktie!A$3:AM$103,13,FALSE),H68),IF(VLOOKUP(A68,Dividende_je_Aktie!A$3:AM$103,13,FALSE)&lt;&gt;"",VLOOKUP(A68,Dividende_je_Aktie!A$3:AM$103,13,FALSE),""))</f>
        <v>2.9025505293551492</v>
      </c>
      <c r="T68" s="13">
        <f>IF(I68&gt;0,IF(VLOOKUP(A68,Dividende_je_Aktie!A$3:AM$103,14,FALSE)&lt;&gt;"",I68+VLOOKUP(A68,Dividende_je_Aktie!A$3:AM$103,14,FALSE),I68),IF(VLOOKUP(A68,Dividende_je_Aktie!A$3:AM$103,14,FALSE)&lt;&gt;"",VLOOKUP(A68,Dividende_je_Aktie!A$3:AM$103,14,FALSE),""))</f>
        <v>2.4332780847145488</v>
      </c>
      <c r="U68" s="13">
        <f>IF(J68&gt;0,IF(VLOOKUP(A68,Dividende_je_Aktie!A$3:AM$103,15,FALSE)&lt;&gt;"",J68+VLOOKUP(A68,Dividende_je_Aktie!A$3:AM$103,15,FALSE),J68),IF(VLOOKUP(A68,Dividende_je_Aktie!A$3:AM$103,15,FALSE)&lt;&gt;"",VLOOKUP(A68,Dividende_je_Aktie!A$3:AM$103,15,FALSE),""))</f>
        <v>1.4649782040104622</v>
      </c>
      <c r="V68" s="13">
        <f>IF(K68&gt;0,IF(VLOOKUP(A68,Dividende_je_Aktie!A$3:AM$103,16,FALSE)&lt;&gt;"",K68+VLOOKUP(A68,Dividende_je_Aktie!A$3:AM$103,16,FALSE),K68),IF(VLOOKUP(A68,Dividende_je_Aktie!A$3:AM$103,16,FALSE)&lt;&gt;"",VLOOKUP(A68,Dividende_je_Aktie!A$3:AM$103,16,FALSE),""))</f>
        <v>1.1817069109075771</v>
      </c>
      <c r="W68" s="13">
        <f>IF(L68&gt;0,IF(VLOOKUP(A68,Dividende_je_Aktie!A$3:AM$103,17,FALSE)&lt;&gt;"",L68+VLOOKUP(A68,Dividende_je_Aktie!A$3:AM$103,17,FALSE),L68),IF(VLOOKUP(A68,Dividende_je_Aktie!A$3:AM$103,17,FALSE)&lt;&gt;"",VLOOKUP(A68,Dividende_je_Aktie!A$3:AM$103,17,FALSE),""))</f>
        <v>4.3032641660015969</v>
      </c>
      <c r="X68" s="13">
        <f>IF(M68&gt;0,IF(VLOOKUP(A68,Dividende_je_Aktie!A$3:AM$103,18,FALSE)&lt;&gt;"",M68+VLOOKUP(A68,Dividende_je_Aktie!A$3:AM$103,18,FALSE),M68),IF(VLOOKUP(A68,Dividende_je_Aktie!A$3:AM$103,18,FALSE)&lt;&gt;"",VLOOKUP(A68,Dividende_je_Aktie!A$3:AM$103,18,FALSE),""))</f>
        <v>0.55000000000000004</v>
      </c>
    </row>
    <row r="69" spans="1:24">
      <c r="A69" s="52"/>
      <c r="B69" s="52"/>
      <c r="C69" s="13" t="e">
        <f>IF(VLOOKUP(A69,Aktien_im_Umlauf_splitbereinigt!A$3:AM$103,4,FALSE)&lt;&gt;"",IF(VLOOKUP(A69,Aktien_im_Umlauf_splitbereinigt!A$3:AM$103,3,FALSE)&lt;&gt;"",IF(VLOOKUP(A69,Schlußkurse!A$5:AU$105,36,FALSE)&gt;0,((VLOOKUP(A69,Aktien_im_Umlauf_splitbereinigt!A$3:AM$103,4,FALSE)-VLOOKUP(A69,Aktien_im_Umlauf_splitbereinigt!A$3:AM$103,3,FALSE))*VLOOKUP(A69,Schlußkurse!A$5:AU$105,36,FALSE))/VLOOKUP(A69,Aktien_im_Umlauf_splitbereinigt!A$3:AM$103,3,FALSE),0),0),0)</f>
        <v>#N/A</v>
      </c>
      <c r="D69" s="97" t="e">
        <f>IF(VLOOKUP(A69,Aktien_im_Umlauf_splitbereinigt!A$3:AM$103,5,FALSE)&lt;&gt;"",IF(VLOOKUP(A69,Aktien_im_Umlauf_splitbereinigt!A$3:AM$103,4,FALSE)&lt;&gt;"",IF(VLOOKUP(A69,Schlußkurse!A$5:AU$105,37,FALSE)&gt;0,((VLOOKUP(A69,Aktien_im_Umlauf_splitbereinigt!A$3:AM$103,5,FALSE)-VLOOKUP(A69,Aktien_im_Umlauf_splitbereinigt!A$3:AM$103,4,FALSE))*VLOOKUP(A69,Schlußkurse!A$5:AU$105,37,FALSE))/VLOOKUP(A69,Aktien_im_Umlauf_splitbereinigt!A$3:AM$103,4,FALSE),0),0),0)</f>
        <v>#N/A</v>
      </c>
      <c r="E69" s="97" t="e">
        <f>IF(VLOOKUP(A69,Aktien_im_Umlauf_splitbereinigt!A$3:AM$103,6,FALSE)&lt;&gt;"",IF(VLOOKUP(A69,Aktien_im_Umlauf_splitbereinigt!A$3:AM$103,5,FALSE)&lt;&gt;"",IF(VLOOKUP(A69,Schlußkurse!A$5:AU$105,38,FALSE)&gt;0,((VLOOKUP(A69,Aktien_im_Umlauf_splitbereinigt!A$3:AM$103,6,FALSE)-VLOOKUP(A69,Aktien_im_Umlauf_splitbereinigt!A$3:AM$103,5,FALSE))*VLOOKUP(A69,Schlußkurse!A$5:AU$105,38,FALSE))/VLOOKUP(A69,Aktien_im_Umlauf_splitbereinigt!A$3:AM$103,5,FALSE),0),0),0)</f>
        <v>#N/A</v>
      </c>
      <c r="F69" s="97" t="e">
        <f>IF(VLOOKUP(A69,Aktien_im_Umlauf_splitbereinigt!A$3:AM$103,7,FALSE)&lt;&gt;"",IF(VLOOKUP(A69,Aktien_im_Umlauf_splitbereinigt!A$3:AM$103,6,FALSE)&lt;&gt;"",IF(VLOOKUP(A69,Schlußkurse!A$5:AU$105,39,FALSE)&gt;0,((VLOOKUP(A69,Aktien_im_Umlauf_splitbereinigt!A$3:AM$103,7,FALSE)-VLOOKUP(A69,Aktien_im_Umlauf_splitbereinigt!A$3:AM$103,6,FALSE))*VLOOKUP(A69,Schlußkurse!A$5:AU$105,39,FALSE))/VLOOKUP(A69,Aktien_im_Umlauf_splitbereinigt!A$3:AM$103,6,FALSE),0),0),0)</f>
        <v>#N/A</v>
      </c>
      <c r="G69" s="97" t="e">
        <f>IF(VLOOKUP(A69,Aktien_im_Umlauf_splitbereinigt!A$3:AM$103,8,FALSE)&lt;&gt;"",IF(VLOOKUP(A69,Aktien_im_Umlauf_splitbereinigt!A$3:AM$103,7,FALSE)&lt;&gt;"",IF(VLOOKUP(A69,Schlußkurse!A$5:AU$105,40,FALSE)&gt;0,((VLOOKUP(A69,Aktien_im_Umlauf_splitbereinigt!A$3:AM$103,8,FALSE)-VLOOKUP(A69,Aktien_im_Umlauf_splitbereinigt!A$3:AM$103,7,FALSE))*VLOOKUP(A69,Schlußkurse!A$5:AU$105,40,FALSE))/VLOOKUP(A69,Aktien_im_Umlauf_splitbereinigt!A$3:AM$103,7,FALSE),0),0),0)</f>
        <v>#N/A</v>
      </c>
      <c r="H69" s="97" t="e">
        <f>IF(VLOOKUP(A69,Aktien_im_Umlauf_splitbereinigt!A$3:AM$103,9,FALSE)&lt;&gt;"",IF(VLOOKUP(A69,Aktien_im_Umlauf_splitbereinigt!A$3:AM$103,8,FALSE)&lt;&gt;"",IF(VLOOKUP(A69,Schlußkurse!A$5:AU$105,41,FALSE)&gt;0,((VLOOKUP(A69,Aktien_im_Umlauf_splitbereinigt!A$3:AM$103,9,FALSE)-VLOOKUP(A69,Aktien_im_Umlauf_splitbereinigt!A$3:AM$103,8,FALSE))*VLOOKUP(A69,Schlußkurse!A$5:AU$105,41,FALSE))/VLOOKUP(A69,Aktien_im_Umlauf_splitbereinigt!A$3:AM$103,8,FALSE),0),0),0)</f>
        <v>#N/A</v>
      </c>
      <c r="I69" s="97" t="e">
        <f>IF(VLOOKUP(A69,Aktien_im_Umlauf_splitbereinigt!A$3:AM$103,10,FALSE)&lt;&gt;"",IF(VLOOKUP(A69,Aktien_im_Umlauf_splitbereinigt!A$3:AM$103,9,FALSE)&lt;&gt;"",IF(VLOOKUP(A69,Schlußkurse!A$5:AU$105,42,FALSE)&gt;0,((VLOOKUP(A69,Aktien_im_Umlauf_splitbereinigt!A$3:AM$103,10,FALSE)-VLOOKUP(A69,Aktien_im_Umlauf_splitbereinigt!A$3:AM$103,9,FALSE))*VLOOKUP(A69,Schlußkurse!A$5:AU$105,42,FALSE))/VLOOKUP(A69,Aktien_im_Umlauf_splitbereinigt!A$3:AM$103,9,FALSE),0),0),0)</f>
        <v>#N/A</v>
      </c>
      <c r="J69" s="97" t="e">
        <f>IF(VLOOKUP(A69,Aktien_im_Umlauf_splitbereinigt!A$3:AM$103,11,FALSE)&lt;&gt;"",IF(VLOOKUP(A69,Aktien_im_Umlauf_splitbereinigt!A$3:AM$103,10,FALSE)&lt;&gt;"",IF(VLOOKUP(A69,Schlußkurse!A$5:AU$105,43,FALSE)&gt;0,((VLOOKUP(A69,Aktien_im_Umlauf_splitbereinigt!A$3:AM$103,11,FALSE)-VLOOKUP(A69,Aktien_im_Umlauf_splitbereinigt!A$3:AM$103,10,FALSE))*VLOOKUP(A69,Schlußkurse!A$5:AU$105,43,FALSE))/VLOOKUP(A69,Aktien_im_Umlauf_splitbereinigt!A$3:AM$103,10,FALSE),0),0),0)</f>
        <v>#N/A</v>
      </c>
      <c r="K69" s="97" t="e">
        <f>IF(VLOOKUP(A69,Aktien_im_Umlauf_splitbereinigt!A$3:AM$103,12,FALSE)&lt;&gt;"",IF(VLOOKUP(A69,Aktien_im_Umlauf_splitbereinigt!A$3:AM$103,11,FALSE)&lt;&gt;"",IF(VLOOKUP(A69,Schlußkurse!A$5:AU$105,44,FALSE)&gt;0,((VLOOKUP(A69,Aktien_im_Umlauf_splitbereinigt!A$3:AM$103,12,FALSE)-VLOOKUP(A69,Aktien_im_Umlauf_splitbereinigt!A$3:AM$103,11,FALSE))*VLOOKUP(A69,Schlußkurse!A$5:AU$105,44,FALSE))/VLOOKUP(A69,Aktien_im_Umlauf_splitbereinigt!A$3:AM$103,11,FALSE),0),0),0)</f>
        <v>#N/A</v>
      </c>
      <c r="L69" s="97" t="e">
        <f>IF(VLOOKUP(A69,Aktien_im_Umlauf_splitbereinigt!A$3:AM$103,13,FALSE)&lt;&gt;"",IF(VLOOKUP(A69,Aktien_im_Umlauf_splitbereinigt!A$3:AM$103,12,FALSE)&lt;&gt;"",IF(VLOOKUP(A69,Schlußkurse!A$5:AU$105,45,FALSE)&gt;0,((VLOOKUP(A69,Aktien_im_Umlauf_splitbereinigt!A$3:AM$103,13,FALSE)-VLOOKUP(A69,Aktien_im_Umlauf_splitbereinigt!A$3:AM$103,12,FALSE))*VLOOKUP(A69,Schlußkurse!A$5:AU$105,45,FALSE))/VLOOKUP(A69,Aktien_im_Umlauf_splitbereinigt!A$3:AM$103,12,FALSE),0),0),0)</f>
        <v>#N/A</v>
      </c>
      <c r="M69" s="97" t="e">
        <f>IF(VLOOKUP(A69,Aktien_im_Umlauf_splitbereinigt!A$3:AM$103,14,FALSE)&lt;&gt;"",IF(VLOOKUP(A69,Aktien_im_Umlauf_splitbereinigt!A$3:AM$103,13,FALSE)&lt;&gt;"",IF(VLOOKUP(A69,Schlußkurse!A$5:AU$105,46,FALSE)&gt;0,((VLOOKUP(A69,Aktien_im_Umlauf_splitbereinigt!A$3:AM$103,14,FALSE)-VLOOKUP(A69,Aktien_im_Umlauf_splitbereinigt!A$3:AM$103,13,FALSE))*VLOOKUP(A69,Schlußkurse!A$5:AU$105,46,FALSE))/VLOOKUP(A69,Aktien_im_Umlauf_splitbereinigt!A$3:AM$103,13,FALSE),0),0),0)</f>
        <v>#N/A</v>
      </c>
      <c r="N69" s="13" t="e">
        <f>IF(C69&gt;0,IF(VLOOKUP(A69,Dividende_je_Aktie!A$3:AM$103,8,FALSE)&lt;&gt;"",C69+VLOOKUP(A69,Dividende_je_Aktie!A$3:AM$103,8,FALSE),C69),IF(VLOOKUP(A69,Dividende_je_Aktie!A$3:AM$103,8,FALSE)&lt;&gt;"",VLOOKUP(A69,Dividende_je_Aktie!A$3:AM$103,8,FALSE),""))</f>
        <v>#N/A</v>
      </c>
      <c r="O69" s="13" t="e">
        <f>IF(D69&gt;0,IF(VLOOKUP(A69,Dividende_je_Aktie!A$3:AM$103,9,FALSE)&lt;&gt;"",D69+VLOOKUP(A69,Dividende_je_Aktie!A$3:AM$103,9,FALSE),D69),IF(VLOOKUP(A69,Dividende_je_Aktie!A$3:AM$103,9,FALSE)&lt;&gt;"",VLOOKUP(A69,Dividende_je_Aktie!A$3:AM$103,9,FALSE),""))</f>
        <v>#N/A</v>
      </c>
      <c r="P69" s="13" t="e">
        <f>IF(E69&gt;0,IF(VLOOKUP(A69,Dividende_je_Aktie!A$3:AM$103,10,FALSE)&lt;&gt;"",E69+VLOOKUP(A69,Dividende_je_Aktie!A$3:AM$103,10,FALSE),E69),IF(VLOOKUP(A69,Dividende_je_Aktie!A$3:AM$103,10,FALSE)&lt;&gt;"",VLOOKUP(A69,Dividende_je_Aktie!A$3:AM$103,10,FALSE),""))</f>
        <v>#N/A</v>
      </c>
      <c r="Q69" s="13" t="e">
        <f>IF(F69&gt;0,IF(VLOOKUP(A69,Dividende_je_Aktie!A$3:AM$103,11,FALSE)&lt;&gt;"",F69+VLOOKUP(A69,Dividende_je_Aktie!A$3:AM$103,11,FALSE),F69),IF(VLOOKUP(A69,Dividende_je_Aktie!A$3:AM$103,11,FALSE)&lt;&gt;"",VLOOKUP(A69,Dividende_je_Aktie!A$3:AM$103,11,FALSE),""))</f>
        <v>#N/A</v>
      </c>
      <c r="R69" s="13" t="e">
        <f>IF(G69&gt;0,IF(VLOOKUP(A69,Dividende_je_Aktie!A$3:AM$103,12,FALSE)&lt;&gt;"",G69+VLOOKUP(A69,Dividende_je_Aktie!A$3:AM$103,12,FALSE),G69),IF(VLOOKUP(A69,Dividende_je_Aktie!A$3:AM$103,12,FALSE)&lt;&gt;"",VLOOKUP(A69,Dividende_je_Aktie!A$3:AM$103,12,FALSE),""))</f>
        <v>#N/A</v>
      </c>
      <c r="S69" s="13" t="e">
        <f>IF(H69&gt;0,IF(VLOOKUP(A69,Dividende_je_Aktie!A$3:AM$103,13,FALSE)&lt;&gt;"",H69+VLOOKUP(A69,Dividende_je_Aktie!A$3:AM$103,13,FALSE),H69),IF(VLOOKUP(A69,Dividende_je_Aktie!A$3:AM$103,13,FALSE)&lt;&gt;"",VLOOKUP(A69,Dividende_je_Aktie!A$3:AM$103,13,FALSE),""))</f>
        <v>#N/A</v>
      </c>
      <c r="T69" s="13" t="e">
        <f>IF(I69&gt;0,IF(VLOOKUP(A69,Dividende_je_Aktie!A$3:AM$103,14,FALSE)&lt;&gt;"",I69+VLOOKUP(A69,Dividende_je_Aktie!A$3:AM$103,14,FALSE),I69),IF(VLOOKUP(A69,Dividende_je_Aktie!A$3:AM$103,14,FALSE)&lt;&gt;"",VLOOKUP(A69,Dividende_je_Aktie!A$3:AM$103,14,FALSE),""))</f>
        <v>#N/A</v>
      </c>
      <c r="U69" s="13" t="e">
        <f>IF(J69&gt;0,IF(VLOOKUP(A69,Dividende_je_Aktie!A$3:AM$103,15,FALSE)&lt;&gt;"",J69+VLOOKUP(A69,Dividende_je_Aktie!A$3:AM$103,15,FALSE),J69),IF(VLOOKUP(A69,Dividende_je_Aktie!A$3:AM$103,15,FALSE)&lt;&gt;"",VLOOKUP(A69,Dividende_je_Aktie!A$3:AM$103,15,FALSE),""))</f>
        <v>#N/A</v>
      </c>
      <c r="V69" s="13" t="e">
        <f>IF(K69&gt;0,IF(VLOOKUP(A69,Dividende_je_Aktie!A$3:AM$103,16,FALSE)&lt;&gt;"",K69+VLOOKUP(A69,Dividende_je_Aktie!A$3:AM$103,16,FALSE),K69),IF(VLOOKUP(A69,Dividende_je_Aktie!A$3:AM$103,16,FALSE)&lt;&gt;"",VLOOKUP(A69,Dividende_je_Aktie!A$3:AM$103,16,FALSE),""))</f>
        <v>#N/A</v>
      </c>
      <c r="W69" s="13" t="e">
        <f>IF(L69&gt;0,IF(VLOOKUP(A69,Dividende_je_Aktie!A$3:AM$103,17,FALSE)&lt;&gt;"",L69+VLOOKUP(A69,Dividende_je_Aktie!A$3:AM$103,17,FALSE),L69),IF(VLOOKUP(A69,Dividende_je_Aktie!A$3:AM$103,17,FALSE)&lt;&gt;"",VLOOKUP(A69,Dividende_je_Aktie!A$3:AM$103,17,FALSE),""))</f>
        <v>#N/A</v>
      </c>
      <c r="X69" s="13" t="e">
        <f>IF(M69&gt;0,IF(VLOOKUP(A69,Dividende_je_Aktie!A$3:AM$103,18,FALSE)&lt;&gt;"",M69+VLOOKUP(A69,Dividende_je_Aktie!A$3:AM$103,18,FALSE),M69),IF(VLOOKUP(A69,Dividende_je_Aktie!A$3:AM$103,18,FALSE)&lt;&gt;"",VLOOKUP(A69,Dividende_je_Aktie!A$3:AM$103,18,FALSE),""))</f>
        <v>#N/A</v>
      </c>
    </row>
    <row r="70" spans="1:24">
      <c r="A70" s="52"/>
      <c r="B70" s="52"/>
      <c r="C70" s="13" t="e">
        <f>IF(VLOOKUP(A70,Aktien_im_Umlauf_splitbereinigt!A$3:AM$103,4,FALSE)&lt;&gt;"",IF(VLOOKUP(A70,Aktien_im_Umlauf_splitbereinigt!A$3:AM$103,3,FALSE)&lt;&gt;"",IF(VLOOKUP(A70,Schlußkurse!A$5:AU$105,36,FALSE)&gt;0,((VLOOKUP(A70,Aktien_im_Umlauf_splitbereinigt!A$3:AM$103,4,FALSE)-VLOOKUP(A70,Aktien_im_Umlauf_splitbereinigt!A$3:AM$103,3,FALSE))*VLOOKUP(A70,Schlußkurse!A$5:AU$105,36,FALSE))/VLOOKUP(A70,Aktien_im_Umlauf_splitbereinigt!A$3:AM$103,3,FALSE),0),0),0)</f>
        <v>#N/A</v>
      </c>
      <c r="D70" s="97" t="e">
        <f>IF(VLOOKUP(A70,Aktien_im_Umlauf_splitbereinigt!A$3:AM$103,5,FALSE)&lt;&gt;"",IF(VLOOKUP(A70,Aktien_im_Umlauf_splitbereinigt!A$3:AM$103,4,FALSE)&lt;&gt;"",IF(VLOOKUP(A70,Schlußkurse!A$5:AU$105,37,FALSE)&gt;0,((VLOOKUP(A70,Aktien_im_Umlauf_splitbereinigt!A$3:AM$103,5,FALSE)-VLOOKUP(A70,Aktien_im_Umlauf_splitbereinigt!A$3:AM$103,4,FALSE))*VLOOKUP(A70,Schlußkurse!A$5:AU$105,37,FALSE))/VLOOKUP(A70,Aktien_im_Umlauf_splitbereinigt!A$3:AM$103,4,FALSE),0),0),0)</f>
        <v>#N/A</v>
      </c>
      <c r="E70" s="97" t="e">
        <f>IF(VLOOKUP(A70,Aktien_im_Umlauf_splitbereinigt!A$3:AM$103,6,FALSE)&lt;&gt;"",IF(VLOOKUP(A70,Aktien_im_Umlauf_splitbereinigt!A$3:AM$103,5,FALSE)&lt;&gt;"",IF(VLOOKUP(A70,Schlußkurse!A$5:AU$105,38,FALSE)&gt;0,((VLOOKUP(A70,Aktien_im_Umlauf_splitbereinigt!A$3:AM$103,6,FALSE)-VLOOKUP(A70,Aktien_im_Umlauf_splitbereinigt!A$3:AM$103,5,FALSE))*VLOOKUP(A70,Schlußkurse!A$5:AU$105,38,FALSE))/VLOOKUP(A70,Aktien_im_Umlauf_splitbereinigt!A$3:AM$103,5,FALSE),0),0),0)</f>
        <v>#N/A</v>
      </c>
      <c r="F70" s="97" t="e">
        <f>IF(VLOOKUP(A70,Aktien_im_Umlauf_splitbereinigt!A$3:AM$103,7,FALSE)&lt;&gt;"",IF(VLOOKUP(A70,Aktien_im_Umlauf_splitbereinigt!A$3:AM$103,6,FALSE)&lt;&gt;"",IF(VLOOKUP(A70,Schlußkurse!A$5:AU$105,39,FALSE)&gt;0,((VLOOKUP(A70,Aktien_im_Umlauf_splitbereinigt!A$3:AM$103,7,FALSE)-VLOOKUP(A70,Aktien_im_Umlauf_splitbereinigt!A$3:AM$103,6,FALSE))*VLOOKUP(A70,Schlußkurse!A$5:AU$105,39,FALSE))/VLOOKUP(A70,Aktien_im_Umlauf_splitbereinigt!A$3:AM$103,6,FALSE),0),0),0)</f>
        <v>#N/A</v>
      </c>
      <c r="G70" s="97" t="e">
        <f>IF(VLOOKUP(A70,Aktien_im_Umlauf_splitbereinigt!A$3:AM$103,8,FALSE)&lt;&gt;"",IF(VLOOKUP(A70,Aktien_im_Umlauf_splitbereinigt!A$3:AM$103,7,FALSE)&lt;&gt;"",IF(VLOOKUP(A70,Schlußkurse!A$5:AU$105,40,FALSE)&gt;0,((VLOOKUP(A70,Aktien_im_Umlauf_splitbereinigt!A$3:AM$103,8,FALSE)-VLOOKUP(A70,Aktien_im_Umlauf_splitbereinigt!A$3:AM$103,7,FALSE))*VLOOKUP(A70,Schlußkurse!A$5:AU$105,40,FALSE))/VLOOKUP(A70,Aktien_im_Umlauf_splitbereinigt!A$3:AM$103,7,FALSE),0),0),0)</f>
        <v>#N/A</v>
      </c>
      <c r="H70" s="97" t="e">
        <f>IF(VLOOKUP(A70,Aktien_im_Umlauf_splitbereinigt!A$3:AM$103,9,FALSE)&lt;&gt;"",IF(VLOOKUP(A70,Aktien_im_Umlauf_splitbereinigt!A$3:AM$103,8,FALSE)&lt;&gt;"",IF(VLOOKUP(A70,Schlußkurse!A$5:AU$105,41,FALSE)&gt;0,((VLOOKUP(A70,Aktien_im_Umlauf_splitbereinigt!A$3:AM$103,9,FALSE)-VLOOKUP(A70,Aktien_im_Umlauf_splitbereinigt!A$3:AM$103,8,FALSE))*VLOOKUP(A70,Schlußkurse!A$5:AU$105,41,FALSE))/VLOOKUP(A70,Aktien_im_Umlauf_splitbereinigt!A$3:AM$103,8,FALSE),0),0),0)</f>
        <v>#N/A</v>
      </c>
      <c r="I70" s="97" t="e">
        <f>IF(VLOOKUP(A70,Aktien_im_Umlauf_splitbereinigt!A$3:AM$103,10,FALSE)&lt;&gt;"",IF(VLOOKUP(A70,Aktien_im_Umlauf_splitbereinigt!A$3:AM$103,9,FALSE)&lt;&gt;"",IF(VLOOKUP(A70,Schlußkurse!A$5:AU$105,42,FALSE)&gt;0,((VLOOKUP(A70,Aktien_im_Umlauf_splitbereinigt!A$3:AM$103,10,FALSE)-VLOOKUP(A70,Aktien_im_Umlauf_splitbereinigt!A$3:AM$103,9,FALSE))*VLOOKUP(A70,Schlußkurse!A$5:AU$105,42,FALSE))/VLOOKUP(A70,Aktien_im_Umlauf_splitbereinigt!A$3:AM$103,9,FALSE),0),0),0)</f>
        <v>#N/A</v>
      </c>
      <c r="J70" s="97" t="e">
        <f>IF(VLOOKUP(A70,Aktien_im_Umlauf_splitbereinigt!A$3:AM$103,11,FALSE)&lt;&gt;"",IF(VLOOKUP(A70,Aktien_im_Umlauf_splitbereinigt!A$3:AM$103,10,FALSE)&lt;&gt;"",IF(VLOOKUP(A70,Schlußkurse!A$5:AU$105,43,FALSE)&gt;0,((VLOOKUP(A70,Aktien_im_Umlauf_splitbereinigt!A$3:AM$103,11,FALSE)-VLOOKUP(A70,Aktien_im_Umlauf_splitbereinigt!A$3:AM$103,10,FALSE))*VLOOKUP(A70,Schlußkurse!A$5:AU$105,43,FALSE))/VLOOKUP(A70,Aktien_im_Umlauf_splitbereinigt!A$3:AM$103,10,FALSE),0),0),0)</f>
        <v>#N/A</v>
      </c>
      <c r="K70" s="97" t="e">
        <f>IF(VLOOKUP(A70,Aktien_im_Umlauf_splitbereinigt!A$3:AM$103,12,FALSE)&lt;&gt;"",IF(VLOOKUP(A70,Aktien_im_Umlauf_splitbereinigt!A$3:AM$103,11,FALSE)&lt;&gt;"",IF(VLOOKUP(A70,Schlußkurse!A$5:AU$105,44,FALSE)&gt;0,((VLOOKUP(A70,Aktien_im_Umlauf_splitbereinigt!A$3:AM$103,12,FALSE)-VLOOKUP(A70,Aktien_im_Umlauf_splitbereinigt!A$3:AM$103,11,FALSE))*VLOOKUP(A70,Schlußkurse!A$5:AU$105,44,FALSE))/VLOOKUP(A70,Aktien_im_Umlauf_splitbereinigt!A$3:AM$103,11,FALSE),0),0),0)</f>
        <v>#N/A</v>
      </c>
      <c r="L70" s="97" t="e">
        <f>IF(VLOOKUP(A70,Aktien_im_Umlauf_splitbereinigt!A$3:AM$103,13,FALSE)&lt;&gt;"",IF(VLOOKUP(A70,Aktien_im_Umlauf_splitbereinigt!A$3:AM$103,12,FALSE)&lt;&gt;"",IF(VLOOKUP(A70,Schlußkurse!A$5:AU$105,45,FALSE)&gt;0,((VLOOKUP(A70,Aktien_im_Umlauf_splitbereinigt!A$3:AM$103,13,FALSE)-VLOOKUP(A70,Aktien_im_Umlauf_splitbereinigt!A$3:AM$103,12,FALSE))*VLOOKUP(A70,Schlußkurse!A$5:AU$105,45,FALSE))/VLOOKUP(A70,Aktien_im_Umlauf_splitbereinigt!A$3:AM$103,12,FALSE),0),0),0)</f>
        <v>#N/A</v>
      </c>
      <c r="M70" s="97" t="e">
        <f>IF(VLOOKUP(A70,Aktien_im_Umlauf_splitbereinigt!A$3:AM$103,14,FALSE)&lt;&gt;"",IF(VLOOKUP(A70,Aktien_im_Umlauf_splitbereinigt!A$3:AM$103,13,FALSE)&lt;&gt;"",IF(VLOOKUP(A70,Schlußkurse!A$5:AU$105,46,FALSE)&gt;0,((VLOOKUP(A70,Aktien_im_Umlauf_splitbereinigt!A$3:AM$103,14,FALSE)-VLOOKUP(A70,Aktien_im_Umlauf_splitbereinigt!A$3:AM$103,13,FALSE))*VLOOKUP(A70,Schlußkurse!A$5:AU$105,46,FALSE))/VLOOKUP(A70,Aktien_im_Umlauf_splitbereinigt!A$3:AM$103,13,FALSE),0),0),0)</f>
        <v>#N/A</v>
      </c>
      <c r="N70" s="13" t="e">
        <f>IF(C70&gt;0,IF(VLOOKUP(A70,Dividende_je_Aktie!A$3:AM$103,8,FALSE)&lt;&gt;"",C70+VLOOKUP(A70,Dividende_je_Aktie!A$3:AM$103,8,FALSE),C70),IF(VLOOKUP(A70,Dividende_je_Aktie!A$3:AM$103,8,FALSE)&lt;&gt;"",VLOOKUP(A70,Dividende_je_Aktie!A$3:AM$103,8,FALSE),""))</f>
        <v>#N/A</v>
      </c>
      <c r="O70" s="13" t="e">
        <f>IF(D70&gt;0,IF(VLOOKUP(A70,Dividende_je_Aktie!A$3:AM$103,9,FALSE)&lt;&gt;"",D70+VLOOKUP(A70,Dividende_je_Aktie!A$3:AM$103,9,FALSE),D70),IF(VLOOKUP(A70,Dividende_je_Aktie!A$3:AM$103,9,FALSE)&lt;&gt;"",VLOOKUP(A70,Dividende_je_Aktie!A$3:AM$103,9,FALSE),""))</f>
        <v>#N/A</v>
      </c>
      <c r="P70" s="13" t="e">
        <f>IF(E70&gt;0,IF(VLOOKUP(A70,Dividende_je_Aktie!A$3:AM$103,10,FALSE)&lt;&gt;"",E70+VLOOKUP(A70,Dividende_je_Aktie!A$3:AM$103,10,FALSE),E70),IF(VLOOKUP(A70,Dividende_je_Aktie!A$3:AM$103,10,FALSE)&lt;&gt;"",VLOOKUP(A70,Dividende_je_Aktie!A$3:AM$103,10,FALSE),""))</f>
        <v>#N/A</v>
      </c>
      <c r="Q70" s="13" t="e">
        <f>IF(F70&gt;0,IF(VLOOKUP(A70,Dividende_je_Aktie!A$3:AM$103,11,FALSE)&lt;&gt;"",F70+VLOOKUP(A70,Dividende_je_Aktie!A$3:AM$103,11,FALSE),F70),IF(VLOOKUP(A70,Dividende_je_Aktie!A$3:AM$103,11,FALSE)&lt;&gt;"",VLOOKUP(A70,Dividende_je_Aktie!A$3:AM$103,11,FALSE),""))</f>
        <v>#N/A</v>
      </c>
      <c r="R70" s="13" t="e">
        <f>IF(G70&gt;0,IF(VLOOKUP(A70,Dividende_je_Aktie!A$3:AM$103,12,FALSE)&lt;&gt;"",G70+VLOOKUP(A70,Dividende_je_Aktie!A$3:AM$103,12,FALSE),G70),IF(VLOOKUP(A70,Dividende_je_Aktie!A$3:AM$103,12,FALSE)&lt;&gt;"",VLOOKUP(A70,Dividende_je_Aktie!A$3:AM$103,12,FALSE),""))</f>
        <v>#N/A</v>
      </c>
      <c r="S70" s="13" t="e">
        <f>IF(H70&gt;0,IF(VLOOKUP(A70,Dividende_je_Aktie!A$3:AM$103,13,FALSE)&lt;&gt;"",H70+VLOOKUP(A70,Dividende_je_Aktie!A$3:AM$103,13,FALSE),H70),IF(VLOOKUP(A70,Dividende_je_Aktie!A$3:AM$103,13,FALSE)&lt;&gt;"",VLOOKUP(A70,Dividende_je_Aktie!A$3:AM$103,13,FALSE),""))</f>
        <v>#N/A</v>
      </c>
      <c r="T70" s="13" t="e">
        <f>IF(I70&gt;0,IF(VLOOKUP(A70,Dividende_je_Aktie!A$3:AM$103,14,FALSE)&lt;&gt;"",I70+VLOOKUP(A70,Dividende_je_Aktie!A$3:AM$103,14,FALSE),I70),IF(VLOOKUP(A70,Dividende_je_Aktie!A$3:AM$103,14,FALSE)&lt;&gt;"",VLOOKUP(A70,Dividende_je_Aktie!A$3:AM$103,14,FALSE),""))</f>
        <v>#N/A</v>
      </c>
      <c r="U70" s="13" t="e">
        <f>IF(J70&gt;0,IF(VLOOKUP(A70,Dividende_je_Aktie!A$3:AM$103,15,FALSE)&lt;&gt;"",J70+VLOOKUP(A70,Dividende_je_Aktie!A$3:AM$103,15,FALSE),J70),IF(VLOOKUP(A70,Dividende_je_Aktie!A$3:AM$103,15,FALSE)&lt;&gt;"",VLOOKUP(A70,Dividende_je_Aktie!A$3:AM$103,15,FALSE),""))</f>
        <v>#N/A</v>
      </c>
      <c r="V70" s="13" t="e">
        <f>IF(K70&gt;0,IF(VLOOKUP(A70,Dividende_je_Aktie!A$3:AM$103,16,FALSE)&lt;&gt;"",K70+VLOOKUP(A70,Dividende_je_Aktie!A$3:AM$103,16,FALSE),K70),IF(VLOOKUP(A70,Dividende_je_Aktie!A$3:AM$103,16,FALSE)&lt;&gt;"",VLOOKUP(A70,Dividende_je_Aktie!A$3:AM$103,16,FALSE),""))</f>
        <v>#N/A</v>
      </c>
      <c r="W70" s="13" t="e">
        <f>IF(L70&gt;0,IF(VLOOKUP(A70,Dividende_je_Aktie!A$3:AM$103,17,FALSE)&lt;&gt;"",L70+VLOOKUP(A70,Dividende_je_Aktie!A$3:AM$103,17,FALSE),L70),IF(VLOOKUP(A70,Dividende_je_Aktie!A$3:AM$103,17,FALSE)&lt;&gt;"",VLOOKUP(A70,Dividende_je_Aktie!A$3:AM$103,17,FALSE),""))</f>
        <v>#N/A</v>
      </c>
      <c r="X70" s="13" t="e">
        <f>IF(M70&gt;0,IF(VLOOKUP(A70,Dividende_je_Aktie!A$3:AM$103,18,FALSE)&lt;&gt;"",M70+VLOOKUP(A70,Dividende_je_Aktie!A$3:AM$103,18,FALSE),M70),IF(VLOOKUP(A70,Dividende_je_Aktie!A$3:AM$103,18,FALSE)&lt;&gt;"",VLOOKUP(A70,Dividende_je_Aktie!A$3:AM$103,18,FALSE),""))</f>
        <v>#N/A</v>
      </c>
    </row>
    <row r="71" spans="1:24">
      <c r="A71" s="52"/>
      <c r="B71" s="52"/>
      <c r="C71" s="13" t="e">
        <f>IF(VLOOKUP(A71,Aktien_im_Umlauf_splitbereinigt!A$3:AM$103,4,FALSE)&lt;&gt;"",IF(VLOOKUP(A71,Aktien_im_Umlauf_splitbereinigt!A$3:AM$103,3,FALSE)&lt;&gt;"",IF(VLOOKUP(A71,Schlußkurse!A$5:AU$105,36,FALSE)&gt;0,((VLOOKUP(A71,Aktien_im_Umlauf_splitbereinigt!A$3:AM$103,4,FALSE)-VLOOKUP(A71,Aktien_im_Umlauf_splitbereinigt!A$3:AM$103,3,FALSE))*VLOOKUP(A71,Schlußkurse!A$5:AU$105,36,FALSE))/VLOOKUP(A71,Aktien_im_Umlauf_splitbereinigt!A$3:AM$103,3,FALSE),0),0),0)</f>
        <v>#N/A</v>
      </c>
      <c r="D71" s="97" t="e">
        <f>IF(VLOOKUP(A71,Aktien_im_Umlauf_splitbereinigt!A$3:AM$103,5,FALSE)&lt;&gt;"",IF(VLOOKUP(A71,Aktien_im_Umlauf_splitbereinigt!A$3:AM$103,4,FALSE)&lt;&gt;"",IF(VLOOKUP(A71,Schlußkurse!A$5:AU$105,37,FALSE)&gt;0,((VLOOKUP(A71,Aktien_im_Umlauf_splitbereinigt!A$3:AM$103,5,FALSE)-VLOOKUP(A71,Aktien_im_Umlauf_splitbereinigt!A$3:AM$103,4,FALSE))*VLOOKUP(A71,Schlußkurse!A$5:AU$105,37,FALSE))/VLOOKUP(A71,Aktien_im_Umlauf_splitbereinigt!A$3:AM$103,4,FALSE),0),0),0)</f>
        <v>#N/A</v>
      </c>
      <c r="E71" s="97" t="e">
        <f>IF(VLOOKUP(A71,Aktien_im_Umlauf_splitbereinigt!A$3:AM$103,6,FALSE)&lt;&gt;"",IF(VLOOKUP(A71,Aktien_im_Umlauf_splitbereinigt!A$3:AM$103,5,FALSE)&lt;&gt;"",IF(VLOOKUP(A71,Schlußkurse!A$5:AU$105,38,FALSE)&gt;0,((VLOOKUP(A71,Aktien_im_Umlauf_splitbereinigt!A$3:AM$103,6,FALSE)-VLOOKUP(A71,Aktien_im_Umlauf_splitbereinigt!A$3:AM$103,5,FALSE))*VLOOKUP(A71,Schlußkurse!A$5:AU$105,38,FALSE))/VLOOKUP(A71,Aktien_im_Umlauf_splitbereinigt!A$3:AM$103,5,FALSE),0),0),0)</f>
        <v>#N/A</v>
      </c>
      <c r="F71" s="97" t="e">
        <f>IF(VLOOKUP(A71,Aktien_im_Umlauf_splitbereinigt!A$3:AM$103,7,FALSE)&lt;&gt;"",IF(VLOOKUP(A71,Aktien_im_Umlauf_splitbereinigt!A$3:AM$103,6,FALSE)&lt;&gt;"",IF(VLOOKUP(A71,Schlußkurse!A$5:AU$105,39,FALSE)&gt;0,((VLOOKUP(A71,Aktien_im_Umlauf_splitbereinigt!A$3:AM$103,7,FALSE)-VLOOKUP(A71,Aktien_im_Umlauf_splitbereinigt!A$3:AM$103,6,FALSE))*VLOOKUP(A71,Schlußkurse!A$5:AU$105,39,FALSE))/VLOOKUP(A71,Aktien_im_Umlauf_splitbereinigt!A$3:AM$103,6,FALSE),0),0),0)</f>
        <v>#N/A</v>
      </c>
      <c r="G71" s="97" t="e">
        <f>IF(VLOOKUP(A71,Aktien_im_Umlauf_splitbereinigt!A$3:AM$103,8,FALSE)&lt;&gt;"",IF(VLOOKUP(A71,Aktien_im_Umlauf_splitbereinigt!A$3:AM$103,7,FALSE)&lt;&gt;"",IF(VLOOKUP(A71,Schlußkurse!A$5:AU$105,40,FALSE)&gt;0,((VLOOKUP(A71,Aktien_im_Umlauf_splitbereinigt!A$3:AM$103,8,FALSE)-VLOOKUP(A71,Aktien_im_Umlauf_splitbereinigt!A$3:AM$103,7,FALSE))*VLOOKUP(A71,Schlußkurse!A$5:AU$105,40,FALSE))/VLOOKUP(A71,Aktien_im_Umlauf_splitbereinigt!A$3:AM$103,7,FALSE),0),0),0)</f>
        <v>#N/A</v>
      </c>
      <c r="H71" s="97" t="e">
        <f>IF(VLOOKUP(A71,Aktien_im_Umlauf_splitbereinigt!A$3:AM$103,9,FALSE)&lt;&gt;"",IF(VLOOKUP(A71,Aktien_im_Umlauf_splitbereinigt!A$3:AM$103,8,FALSE)&lt;&gt;"",IF(VLOOKUP(A71,Schlußkurse!A$5:AU$105,41,FALSE)&gt;0,((VLOOKUP(A71,Aktien_im_Umlauf_splitbereinigt!A$3:AM$103,9,FALSE)-VLOOKUP(A71,Aktien_im_Umlauf_splitbereinigt!A$3:AM$103,8,FALSE))*VLOOKUP(A71,Schlußkurse!A$5:AU$105,41,FALSE))/VLOOKUP(A71,Aktien_im_Umlauf_splitbereinigt!A$3:AM$103,8,FALSE),0),0),0)</f>
        <v>#N/A</v>
      </c>
      <c r="I71" s="97" t="e">
        <f>IF(VLOOKUP(A71,Aktien_im_Umlauf_splitbereinigt!A$3:AM$103,10,FALSE)&lt;&gt;"",IF(VLOOKUP(A71,Aktien_im_Umlauf_splitbereinigt!A$3:AM$103,9,FALSE)&lt;&gt;"",IF(VLOOKUP(A71,Schlußkurse!A$5:AU$105,42,FALSE)&gt;0,((VLOOKUP(A71,Aktien_im_Umlauf_splitbereinigt!A$3:AM$103,10,FALSE)-VLOOKUP(A71,Aktien_im_Umlauf_splitbereinigt!A$3:AM$103,9,FALSE))*VLOOKUP(A71,Schlußkurse!A$5:AU$105,42,FALSE))/VLOOKUP(A71,Aktien_im_Umlauf_splitbereinigt!A$3:AM$103,9,FALSE),0),0),0)</f>
        <v>#N/A</v>
      </c>
      <c r="J71" s="97" t="e">
        <f>IF(VLOOKUP(A71,Aktien_im_Umlauf_splitbereinigt!A$3:AM$103,11,FALSE)&lt;&gt;"",IF(VLOOKUP(A71,Aktien_im_Umlauf_splitbereinigt!A$3:AM$103,10,FALSE)&lt;&gt;"",IF(VLOOKUP(A71,Schlußkurse!A$5:AU$105,43,FALSE)&gt;0,((VLOOKUP(A71,Aktien_im_Umlauf_splitbereinigt!A$3:AM$103,11,FALSE)-VLOOKUP(A71,Aktien_im_Umlauf_splitbereinigt!A$3:AM$103,10,FALSE))*VLOOKUP(A71,Schlußkurse!A$5:AU$105,43,FALSE))/VLOOKUP(A71,Aktien_im_Umlauf_splitbereinigt!A$3:AM$103,10,FALSE),0),0),0)</f>
        <v>#N/A</v>
      </c>
      <c r="K71" s="97" t="e">
        <f>IF(VLOOKUP(A71,Aktien_im_Umlauf_splitbereinigt!A$3:AM$103,12,FALSE)&lt;&gt;"",IF(VLOOKUP(A71,Aktien_im_Umlauf_splitbereinigt!A$3:AM$103,11,FALSE)&lt;&gt;"",IF(VLOOKUP(A71,Schlußkurse!A$5:AU$105,44,FALSE)&gt;0,((VLOOKUP(A71,Aktien_im_Umlauf_splitbereinigt!A$3:AM$103,12,FALSE)-VLOOKUP(A71,Aktien_im_Umlauf_splitbereinigt!A$3:AM$103,11,FALSE))*VLOOKUP(A71,Schlußkurse!A$5:AU$105,44,FALSE))/VLOOKUP(A71,Aktien_im_Umlauf_splitbereinigt!A$3:AM$103,11,FALSE),0),0),0)</f>
        <v>#N/A</v>
      </c>
      <c r="L71" s="97" t="e">
        <f>IF(VLOOKUP(A71,Aktien_im_Umlauf_splitbereinigt!A$3:AM$103,13,FALSE)&lt;&gt;"",IF(VLOOKUP(A71,Aktien_im_Umlauf_splitbereinigt!A$3:AM$103,12,FALSE)&lt;&gt;"",IF(VLOOKUP(A71,Schlußkurse!A$5:AU$105,45,FALSE)&gt;0,((VLOOKUP(A71,Aktien_im_Umlauf_splitbereinigt!A$3:AM$103,13,FALSE)-VLOOKUP(A71,Aktien_im_Umlauf_splitbereinigt!A$3:AM$103,12,FALSE))*VLOOKUP(A71,Schlußkurse!A$5:AU$105,45,FALSE))/VLOOKUP(A71,Aktien_im_Umlauf_splitbereinigt!A$3:AM$103,12,FALSE),0),0),0)</f>
        <v>#N/A</v>
      </c>
      <c r="M71" s="97" t="e">
        <f>IF(VLOOKUP(A71,Aktien_im_Umlauf_splitbereinigt!A$3:AM$103,14,FALSE)&lt;&gt;"",IF(VLOOKUP(A71,Aktien_im_Umlauf_splitbereinigt!A$3:AM$103,13,FALSE)&lt;&gt;"",IF(VLOOKUP(A71,Schlußkurse!A$5:AU$105,46,FALSE)&gt;0,((VLOOKUP(A71,Aktien_im_Umlauf_splitbereinigt!A$3:AM$103,14,FALSE)-VLOOKUP(A71,Aktien_im_Umlauf_splitbereinigt!A$3:AM$103,13,FALSE))*VLOOKUP(A71,Schlußkurse!A$5:AU$105,46,FALSE))/VLOOKUP(A71,Aktien_im_Umlauf_splitbereinigt!A$3:AM$103,13,FALSE),0),0),0)</f>
        <v>#N/A</v>
      </c>
      <c r="N71" s="13" t="e">
        <f>IF(C71&gt;0,IF(VLOOKUP(A71,Dividende_je_Aktie!A$3:AM$103,8,FALSE)&lt;&gt;"",C71+VLOOKUP(A71,Dividende_je_Aktie!A$3:AM$103,8,FALSE),C71),IF(VLOOKUP(A71,Dividende_je_Aktie!A$3:AM$103,8,FALSE)&lt;&gt;"",VLOOKUP(A71,Dividende_je_Aktie!A$3:AM$103,8,FALSE),""))</f>
        <v>#N/A</v>
      </c>
      <c r="O71" s="13" t="e">
        <f>IF(D71&gt;0,IF(VLOOKUP(A71,Dividende_je_Aktie!A$3:AM$103,9,FALSE)&lt;&gt;"",D71+VLOOKUP(A71,Dividende_je_Aktie!A$3:AM$103,9,FALSE),D71),IF(VLOOKUP(A71,Dividende_je_Aktie!A$3:AM$103,9,FALSE)&lt;&gt;"",VLOOKUP(A71,Dividende_je_Aktie!A$3:AM$103,9,FALSE),""))</f>
        <v>#N/A</v>
      </c>
      <c r="P71" s="13" t="e">
        <f>IF(E71&gt;0,IF(VLOOKUP(A71,Dividende_je_Aktie!A$3:AM$103,10,FALSE)&lt;&gt;"",E71+VLOOKUP(A71,Dividende_je_Aktie!A$3:AM$103,10,FALSE),E71),IF(VLOOKUP(A71,Dividende_je_Aktie!A$3:AM$103,10,FALSE)&lt;&gt;"",VLOOKUP(A71,Dividende_je_Aktie!A$3:AM$103,10,FALSE),""))</f>
        <v>#N/A</v>
      </c>
      <c r="Q71" s="13" t="e">
        <f>IF(F71&gt;0,IF(VLOOKUP(A71,Dividende_je_Aktie!A$3:AM$103,11,FALSE)&lt;&gt;"",F71+VLOOKUP(A71,Dividende_je_Aktie!A$3:AM$103,11,FALSE),F71),IF(VLOOKUP(A71,Dividende_je_Aktie!A$3:AM$103,11,FALSE)&lt;&gt;"",VLOOKUP(A71,Dividende_je_Aktie!A$3:AM$103,11,FALSE),""))</f>
        <v>#N/A</v>
      </c>
      <c r="R71" s="13" t="e">
        <f>IF(G71&gt;0,IF(VLOOKUP(A71,Dividende_je_Aktie!A$3:AM$103,12,FALSE)&lt;&gt;"",G71+VLOOKUP(A71,Dividende_je_Aktie!A$3:AM$103,12,FALSE),G71),IF(VLOOKUP(A71,Dividende_je_Aktie!A$3:AM$103,12,FALSE)&lt;&gt;"",VLOOKUP(A71,Dividende_je_Aktie!A$3:AM$103,12,FALSE),""))</f>
        <v>#N/A</v>
      </c>
      <c r="S71" s="13" t="e">
        <f>IF(H71&gt;0,IF(VLOOKUP(A71,Dividende_je_Aktie!A$3:AM$103,13,FALSE)&lt;&gt;"",H71+VLOOKUP(A71,Dividende_je_Aktie!A$3:AM$103,13,FALSE),H71),IF(VLOOKUP(A71,Dividende_je_Aktie!A$3:AM$103,13,FALSE)&lt;&gt;"",VLOOKUP(A71,Dividende_je_Aktie!A$3:AM$103,13,FALSE),""))</f>
        <v>#N/A</v>
      </c>
      <c r="T71" s="13" t="e">
        <f>IF(I71&gt;0,IF(VLOOKUP(A71,Dividende_je_Aktie!A$3:AM$103,14,FALSE)&lt;&gt;"",I71+VLOOKUP(A71,Dividende_je_Aktie!A$3:AM$103,14,FALSE),I71),IF(VLOOKUP(A71,Dividende_je_Aktie!A$3:AM$103,14,FALSE)&lt;&gt;"",VLOOKUP(A71,Dividende_je_Aktie!A$3:AM$103,14,FALSE),""))</f>
        <v>#N/A</v>
      </c>
      <c r="U71" s="13" t="e">
        <f>IF(J71&gt;0,IF(VLOOKUP(A71,Dividende_je_Aktie!A$3:AM$103,15,FALSE)&lt;&gt;"",J71+VLOOKUP(A71,Dividende_je_Aktie!A$3:AM$103,15,FALSE),J71),IF(VLOOKUP(A71,Dividende_je_Aktie!A$3:AM$103,15,FALSE)&lt;&gt;"",VLOOKUP(A71,Dividende_je_Aktie!A$3:AM$103,15,FALSE),""))</f>
        <v>#N/A</v>
      </c>
      <c r="V71" s="13" t="e">
        <f>IF(K71&gt;0,IF(VLOOKUP(A71,Dividende_je_Aktie!A$3:AM$103,16,FALSE)&lt;&gt;"",K71+VLOOKUP(A71,Dividende_je_Aktie!A$3:AM$103,16,FALSE),K71),IF(VLOOKUP(A71,Dividende_je_Aktie!A$3:AM$103,16,FALSE)&lt;&gt;"",VLOOKUP(A71,Dividende_je_Aktie!A$3:AM$103,16,FALSE),""))</f>
        <v>#N/A</v>
      </c>
      <c r="W71" s="13" t="e">
        <f>IF(L71&gt;0,IF(VLOOKUP(A71,Dividende_je_Aktie!A$3:AM$103,17,FALSE)&lt;&gt;"",L71+VLOOKUP(A71,Dividende_je_Aktie!A$3:AM$103,17,FALSE),L71),IF(VLOOKUP(A71,Dividende_je_Aktie!A$3:AM$103,17,FALSE)&lt;&gt;"",VLOOKUP(A71,Dividende_je_Aktie!A$3:AM$103,17,FALSE),""))</f>
        <v>#N/A</v>
      </c>
      <c r="X71" s="13" t="e">
        <f>IF(M71&gt;0,IF(VLOOKUP(A71,Dividende_je_Aktie!A$3:AM$103,18,FALSE)&lt;&gt;"",M71+VLOOKUP(A71,Dividende_je_Aktie!A$3:AM$103,18,FALSE),M71),IF(VLOOKUP(A71,Dividende_je_Aktie!A$3:AM$103,18,FALSE)&lt;&gt;"",VLOOKUP(A71,Dividende_je_Aktie!A$3:AM$103,18,FALSE),""))</f>
        <v>#N/A</v>
      </c>
    </row>
    <row r="72" spans="1:24">
      <c r="A72" s="52"/>
      <c r="B72" s="52"/>
      <c r="C72" s="13" t="e">
        <f>IF(VLOOKUP(A72,Aktien_im_Umlauf_splitbereinigt!A$3:AM$103,4,FALSE)&lt;&gt;"",IF(VLOOKUP(A72,Aktien_im_Umlauf_splitbereinigt!A$3:AM$103,3,FALSE)&lt;&gt;"",IF(VLOOKUP(A72,Schlußkurse!A$5:AU$105,36,FALSE)&gt;0,((VLOOKUP(A72,Aktien_im_Umlauf_splitbereinigt!A$3:AM$103,4,FALSE)-VLOOKUP(A72,Aktien_im_Umlauf_splitbereinigt!A$3:AM$103,3,FALSE))*VLOOKUP(A72,Schlußkurse!A$5:AU$105,36,FALSE))/VLOOKUP(A72,Aktien_im_Umlauf_splitbereinigt!A$3:AM$103,3,FALSE),0),0),0)</f>
        <v>#N/A</v>
      </c>
      <c r="D72" s="97" t="e">
        <f>IF(VLOOKUP(A72,Aktien_im_Umlauf_splitbereinigt!A$3:AM$103,5,FALSE)&lt;&gt;"",IF(VLOOKUP(A72,Aktien_im_Umlauf_splitbereinigt!A$3:AM$103,4,FALSE)&lt;&gt;"",IF(VLOOKUP(A72,Schlußkurse!A$5:AU$105,37,FALSE)&gt;0,((VLOOKUP(A72,Aktien_im_Umlauf_splitbereinigt!A$3:AM$103,5,FALSE)-VLOOKUP(A72,Aktien_im_Umlauf_splitbereinigt!A$3:AM$103,4,FALSE))*VLOOKUP(A72,Schlußkurse!A$5:AU$105,37,FALSE))/VLOOKUP(A72,Aktien_im_Umlauf_splitbereinigt!A$3:AM$103,4,FALSE),0),0),0)</f>
        <v>#N/A</v>
      </c>
      <c r="E72" s="97" t="e">
        <f>IF(VLOOKUP(A72,Aktien_im_Umlauf_splitbereinigt!A$3:AM$103,6,FALSE)&lt;&gt;"",IF(VLOOKUP(A72,Aktien_im_Umlauf_splitbereinigt!A$3:AM$103,5,FALSE)&lt;&gt;"",IF(VLOOKUP(A72,Schlußkurse!A$5:AU$105,38,FALSE)&gt;0,((VLOOKUP(A72,Aktien_im_Umlauf_splitbereinigt!A$3:AM$103,6,FALSE)-VLOOKUP(A72,Aktien_im_Umlauf_splitbereinigt!A$3:AM$103,5,FALSE))*VLOOKUP(A72,Schlußkurse!A$5:AU$105,38,FALSE))/VLOOKUP(A72,Aktien_im_Umlauf_splitbereinigt!A$3:AM$103,5,FALSE),0),0),0)</f>
        <v>#N/A</v>
      </c>
      <c r="F72" s="97" t="e">
        <f>IF(VLOOKUP(A72,Aktien_im_Umlauf_splitbereinigt!A$3:AM$103,7,FALSE)&lt;&gt;"",IF(VLOOKUP(A72,Aktien_im_Umlauf_splitbereinigt!A$3:AM$103,6,FALSE)&lt;&gt;"",IF(VLOOKUP(A72,Schlußkurse!A$5:AU$105,39,FALSE)&gt;0,((VLOOKUP(A72,Aktien_im_Umlauf_splitbereinigt!A$3:AM$103,7,FALSE)-VLOOKUP(A72,Aktien_im_Umlauf_splitbereinigt!A$3:AM$103,6,FALSE))*VLOOKUP(A72,Schlußkurse!A$5:AU$105,39,FALSE))/VLOOKUP(A72,Aktien_im_Umlauf_splitbereinigt!A$3:AM$103,6,FALSE),0),0),0)</f>
        <v>#N/A</v>
      </c>
      <c r="G72" s="97" t="e">
        <f>IF(VLOOKUP(A72,Aktien_im_Umlauf_splitbereinigt!A$3:AM$103,8,FALSE)&lt;&gt;"",IF(VLOOKUP(A72,Aktien_im_Umlauf_splitbereinigt!A$3:AM$103,7,FALSE)&lt;&gt;"",IF(VLOOKUP(A72,Schlußkurse!A$5:AU$105,40,FALSE)&gt;0,((VLOOKUP(A72,Aktien_im_Umlauf_splitbereinigt!A$3:AM$103,8,FALSE)-VLOOKUP(A72,Aktien_im_Umlauf_splitbereinigt!A$3:AM$103,7,FALSE))*VLOOKUP(A72,Schlußkurse!A$5:AU$105,40,FALSE))/VLOOKUP(A72,Aktien_im_Umlauf_splitbereinigt!A$3:AM$103,7,FALSE),0),0),0)</f>
        <v>#N/A</v>
      </c>
      <c r="H72" s="97" t="e">
        <f>IF(VLOOKUP(A72,Aktien_im_Umlauf_splitbereinigt!A$3:AM$103,9,FALSE)&lt;&gt;"",IF(VLOOKUP(A72,Aktien_im_Umlauf_splitbereinigt!A$3:AM$103,8,FALSE)&lt;&gt;"",IF(VLOOKUP(A72,Schlußkurse!A$5:AU$105,41,FALSE)&gt;0,((VLOOKUP(A72,Aktien_im_Umlauf_splitbereinigt!A$3:AM$103,9,FALSE)-VLOOKUP(A72,Aktien_im_Umlauf_splitbereinigt!A$3:AM$103,8,FALSE))*VLOOKUP(A72,Schlußkurse!A$5:AU$105,41,FALSE))/VLOOKUP(A72,Aktien_im_Umlauf_splitbereinigt!A$3:AM$103,8,FALSE),0),0),0)</f>
        <v>#N/A</v>
      </c>
      <c r="I72" s="97" t="e">
        <f>IF(VLOOKUP(A72,Aktien_im_Umlauf_splitbereinigt!A$3:AM$103,10,FALSE)&lt;&gt;"",IF(VLOOKUP(A72,Aktien_im_Umlauf_splitbereinigt!A$3:AM$103,9,FALSE)&lt;&gt;"",IF(VLOOKUP(A72,Schlußkurse!A$5:AU$105,42,FALSE)&gt;0,((VLOOKUP(A72,Aktien_im_Umlauf_splitbereinigt!A$3:AM$103,10,FALSE)-VLOOKUP(A72,Aktien_im_Umlauf_splitbereinigt!A$3:AM$103,9,FALSE))*VLOOKUP(A72,Schlußkurse!A$5:AU$105,42,FALSE))/VLOOKUP(A72,Aktien_im_Umlauf_splitbereinigt!A$3:AM$103,9,FALSE),0),0),0)</f>
        <v>#N/A</v>
      </c>
      <c r="J72" s="97" t="e">
        <f>IF(VLOOKUP(A72,Aktien_im_Umlauf_splitbereinigt!A$3:AM$103,11,FALSE)&lt;&gt;"",IF(VLOOKUP(A72,Aktien_im_Umlauf_splitbereinigt!A$3:AM$103,10,FALSE)&lt;&gt;"",IF(VLOOKUP(A72,Schlußkurse!A$5:AU$105,43,FALSE)&gt;0,((VLOOKUP(A72,Aktien_im_Umlauf_splitbereinigt!A$3:AM$103,11,FALSE)-VLOOKUP(A72,Aktien_im_Umlauf_splitbereinigt!A$3:AM$103,10,FALSE))*VLOOKUP(A72,Schlußkurse!A$5:AU$105,43,FALSE))/VLOOKUP(A72,Aktien_im_Umlauf_splitbereinigt!A$3:AM$103,10,FALSE),0),0),0)</f>
        <v>#N/A</v>
      </c>
      <c r="K72" s="97" t="e">
        <f>IF(VLOOKUP(A72,Aktien_im_Umlauf_splitbereinigt!A$3:AM$103,12,FALSE)&lt;&gt;"",IF(VLOOKUP(A72,Aktien_im_Umlauf_splitbereinigt!A$3:AM$103,11,FALSE)&lt;&gt;"",IF(VLOOKUP(A72,Schlußkurse!A$5:AU$105,44,FALSE)&gt;0,((VLOOKUP(A72,Aktien_im_Umlauf_splitbereinigt!A$3:AM$103,12,FALSE)-VLOOKUP(A72,Aktien_im_Umlauf_splitbereinigt!A$3:AM$103,11,FALSE))*VLOOKUP(A72,Schlußkurse!A$5:AU$105,44,FALSE))/VLOOKUP(A72,Aktien_im_Umlauf_splitbereinigt!A$3:AM$103,11,FALSE),0),0),0)</f>
        <v>#N/A</v>
      </c>
      <c r="L72" s="97" t="e">
        <f>IF(VLOOKUP(A72,Aktien_im_Umlauf_splitbereinigt!A$3:AM$103,13,FALSE)&lt;&gt;"",IF(VLOOKUP(A72,Aktien_im_Umlauf_splitbereinigt!A$3:AM$103,12,FALSE)&lt;&gt;"",IF(VLOOKUP(A72,Schlußkurse!A$5:AU$105,45,FALSE)&gt;0,((VLOOKUP(A72,Aktien_im_Umlauf_splitbereinigt!A$3:AM$103,13,FALSE)-VLOOKUP(A72,Aktien_im_Umlauf_splitbereinigt!A$3:AM$103,12,FALSE))*VLOOKUP(A72,Schlußkurse!A$5:AU$105,45,FALSE))/VLOOKUP(A72,Aktien_im_Umlauf_splitbereinigt!A$3:AM$103,12,FALSE),0),0),0)</f>
        <v>#N/A</v>
      </c>
      <c r="M72" s="97" t="e">
        <f>IF(VLOOKUP(A72,Aktien_im_Umlauf_splitbereinigt!A$3:AM$103,14,FALSE)&lt;&gt;"",IF(VLOOKUP(A72,Aktien_im_Umlauf_splitbereinigt!A$3:AM$103,13,FALSE)&lt;&gt;"",IF(VLOOKUP(A72,Schlußkurse!A$5:AU$105,46,FALSE)&gt;0,((VLOOKUP(A72,Aktien_im_Umlauf_splitbereinigt!A$3:AM$103,14,FALSE)-VLOOKUP(A72,Aktien_im_Umlauf_splitbereinigt!A$3:AM$103,13,FALSE))*VLOOKUP(A72,Schlußkurse!A$5:AU$105,46,FALSE))/VLOOKUP(A72,Aktien_im_Umlauf_splitbereinigt!A$3:AM$103,13,FALSE),0),0),0)</f>
        <v>#N/A</v>
      </c>
      <c r="N72" s="13" t="e">
        <f>IF(C72&gt;0,IF(VLOOKUP(A72,Dividende_je_Aktie!A$3:AM$103,8,FALSE)&lt;&gt;"",C72+VLOOKUP(A72,Dividende_je_Aktie!A$3:AM$103,8,FALSE),C72),IF(VLOOKUP(A72,Dividende_je_Aktie!A$3:AM$103,8,FALSE)&lt;&gt;"",VLOOKUP(A72,Dividende_je_Aktie!A$3:AM$103,8,FALSE),""))</f>
        <v>#N/A</v>
      </c>
      <c r="O72" s="13" t="e">
        <f>IF(D72&gt;0,IF(VLOOKUP(A72,Dividende_je_Aktie!A$3:AM$103,9,FALSE)&lt;&gt;"",D72+VLOOKUP(A72,Dividende_je_Aktie!A$3:AM$103,9,FALSE),D72),IF(VLOOKUP(A72,Dividende_je_Aktie!A$3:AM$103,9,FALSE)&lt;&gt;"",VLOOKUP(A72,Dividende_je_Aktie!A$3:AM$103,9,FALSE),""))</f>
        <v>#N/A</v>
      </c>
      <c r="P72" s="13" t="e">
        <f>IF(E72&gt;0,IF(VLOOKUP(A72,Dividende_je_Aktie!A$3:AM$103,10,FALSE)&lt;&gt;"",E72+VLOOKUP(A72,Dividende_je_Aktie!A$3:AM$103,10,FALSE),E72),IF(VLOOKUP(A72,Dividende_je_Aktie!A$3:AM$103,10,FALSE)&lt;&gt;"",VLOOKUP(A72,Dividende_je_Aktie!A$3:AM$103,10,FALSE),""))</f>
        <v>#N/A</v>
      </c>
      <c r="Q72" s="13" t="e">
        <f>IF(F72&gt;0,IF(VLOOKUP(A72,Dividende_je_Aktie!A$3:AM$103,11,FALSE)&lt;&gt;"",F72+VLOOKUP(A72,Dividende_je_Aktie!A$3:AM$103,11,FALSE),F72),IF(VLOOKUP(A72,Dividende_je_Aktie!A$3:AM$103,11,FALSE)&lt;&gt;"",VLOOKUP(A72,Dividende_je_Aktie!A$3:AM$103,11,FALSE),""))</f>
        <v>#N/A</v>
      </c>
      <c r="R72" s="13" t="e">
        <f>IF(G72&gt;0,IF(VLOOKUP(A72,Dividende_je_Aktie!A$3:AM$103,12,FALSE)&lt;&gt;"",G72+VLOOKUP(A72,Dividende_je_Aktie!A$3:AM$103,12,FALSE),G72),IF(VLOOKUP(A72,Dividende_je_Aktie!A$3:AM$103,12,FALSE)&lt;&gt;"",VLOOKUP(A72,Dividende_je_Aktie!A$3:AM$103,12,FALSE),""))</f>
        <v>#N/A</v>
      </c>
      <c r="S72" s="13" t="e">
        <f>IF(H72&gt;0,IF(VLOOKUP(A72,Dividende_je_Aktie!A$3:AM$103,13,FALSE)&lt;&gt;"",H72+VLOOKUP(A72,Dividende_je_Aktie!A$3:AM$103,13,FALSE),H72),IF(VLOOKUP(A72,Dividende_je_Aktie!A$3:AM$103,13,FALSE)&lt;&gt;"",VLOOKUP(A72,Dividende_je_Aktie!A$3:AM$103,13,FALSE),""))</f>
        <v>#N/A</v>
      </c>
      <c r="T72" s="13" t="e">
        <f>IF(I72&gt;0,IF(VLOOKUP(A72,Dividende_je_Aktie!A$3:AM$103,14,FALSE)&lt;&gt;"",I72+VLOOKUP(A72,Dividende_je_Aktie!A$3:AM$103,14,FALSE),I72),IF(VLOOKUP(A72,Dividende_je_Aktie!A$3:AM$103,14,FALSE)&lt;&gt;"",VLOOKUP(A72,Dividende_je_Aktie!A$3:AM$103,14,FALSE),""))</f>
        <v>#N/A</v>
      </c>
      <c r="U72" s="13" t="e">
        <f>IF(J72&gt;0,IF(VLOOKUP(A72,Dividende_je_Aktie!A$3:AM$103,15,FALSE)&lt;&gt;"",J72+VLOOKUP(A72,Dividende_je_Aktie!A$3:AM$103,15,FALSE),J72),IF(VLOOKUP(A72,Dividende_je_Aktie!A$3:AM$103,15,FALSE)&lt;&gt;"",VLOOKUP(A72,Dividende_je_Aktie!A$3:AM$103,15,FALSE),""))</f>
        <v>#N/A</v>
      </c>
      <c r="V72" s="13" t="e">
        <f>IF(K72&gt;0,IF(VLOOKUP(A72,Dividende_je_Aktie!A$3:AM$103,16,FALSE)&lt;&gt;"",K72+VLOOKUP(A72,Dividende_je_Aktie!A$3:AM$103,16,FALSE),K72),IF(VLOOKUP(A72,Dividende_je_Aktie!A$3:AM$103,16,FALSE)&lt;&gt;"",VLOOKUP(A72,Dividende_je_Aktie!A$3:AM$103,16,FALSE),""))</f>
        <v>#N/A</v>
      </c>
      <c r="W72" s="13" t="e">
        <f>IF(L72&gt;0,IF(VLOOKUP(A72,Dividende_je_Aktie!A$3:AM$103,17,FALSE)&lt;&gt;"",L72+VLOOKUP(A72,Dividende_je_Aktie!A$3:AM$103,17,FALSE),L72),IF(VLOOKUP(A72,Dividende_je_Aktie!A$3:AM$103,17,FALSE)&lt;&gt;"",VLOOKUP(A72,Dividende_je_Aktie!A$3:AM$103,17,FALSE),""))</f>
        <v>#N/A</v>
      </c>
      <c r="X72" s="13" t="e">
        <f>IF(M72&gt;0,IF(VLOOKUP(A72,Dividende_je_Aktie!A$3:AM$103,18,FALSE)&lt;&gt;"",M72+VLOOKUP(A72,Dividende_je_Aktie!A$3:AM$103,18,FALSE),M72),IF(VLOOKUP(A72,Dividende_je_Aktie!A$3:AM$103,18,FALSE)&lt;&gt;"",VLOOKUP(A72,Dividende_je_Aktie!A$3:AM$103,18,FALSE),""))</f>
        <v>#N/A</v>
      </c>
    </row>
    <row r="73" spans="1:24">
      <c r="A73" s="52"/>
      <c r="B73" s="52"/>
      <c r="C73" s="13" t="e">
        <f>IF(VLOOKUP(A73,Aktien_im_Umlauf_splitbereinigt!A$3:AM$103,4,FALSE)&lt;&gt;"",IF(VLOOKUP(A73,Aktien_im_Umlauf_splitbereinigt!A$3:AM$103,3,FALSE)&lt;&gt;"",IF(VLOOKUP(A73,Schlußkurse!A$5:AU$105,36,FALSE)&gt;0,((VLOOKUP(A73,Aktien_im_Umlauf_splitbereinigt!A$3:AM$103,4,FALSE)-VLOOKUP(A73,Aktien_im_Umlauf_splitbereinigt!A$3:AM$103,3,FALSE))*VLOOKUP(A73,Schlußkurse!A$5:AU$105,36,FALSE))/VLOOKUP(A73,Aktien_im_Umlauf_splitbereinigt!A$3:AM$103,3,FALSE),0),0),0)</f>
        <v>#N/A</v>
      </c>
      <c r="D73" s="97" t="e">
        <f>IF(VLOOKUP(A73,Aktien_im_Umlauf_splitbereinigt!A$3:AM$103,5,FALSE)&lt;&gt;"",IF(VLOOKUP(A73,Aktien_im_Umlauf_splitbereinigt!A$3:AM$103,4,FALSE)&lt;&gt;"",IF(VLOOKUP(A73,Schlußkurse!A$5:AU$105,37,FALSE)&gt;0,((VLOOKUP(A73,Aktien_im_Umlauf_splitbereinigt!A$3:AM$103,5,FALSE)-VLOOKUP(A73,Aktien_im_Umlauf_splitbereinigt!A$3:AM$103,4,FALSE))*VLOOKUP(A73,Schlußkurse!A$5:AU$105,37,FALSE))/VLOOKUP(A73,Aktien_im_Umlauf_splitbereinigt!A$3:AM$103,4,FALSE),0),0),0)</f>
        <v>#N/A</v>
      </c>
      <c r="E73" s="97" t="e">
        <f>IF(VLOOKUP(A73,Aktien_im_Umlauf_splitbereinigt!A$3:AM$103,6,FALSE)&lt;&gt;"",IF(VLOOKUP(A73,Aktien_im_Umlauf_splitbereinigt!A$3:AM$103,5,FALSE)&lt;&gt;"",IF(VLOOKUP(A73,Schlußkurse!A$5:AU$105,38,FALSE)&gt;0,((VLOOKUP(A73,Aktien_im_Umlauf_splitbereinigt!A$3:AM$103,6,FALSE)-VLOOKUP(A73,Aktien_im_Umlauf_splitbereinigt!A$3:AM$103,5,FALSE))*VLOOKUP(A73,Schlußkurse!A$5:AU$105,38,FALSE))/VLOOKUP(A73,Aktien_im_Umlauf_splitbereinigt!A$3:AM$103,5,FALSE),0),0),0)</f>
        <v>#N/A</v>
      </c>
      <c r="F73" s="97" t="e">
        <f>IF(VLOOKUP(A73,Aktien_im_Umlauf_splitbereinigt!A$3:AM$103,7,FALSE)&lt;&gt;"",IF(VLOOKUP(A73,Aktien_im_Umlauf_splitbereinigt!A$3:AM$103,6,FALSE)&lt;&gt;"",IF(VLOOKUP(A73,Schlußkurse!A$5:AU$105,39,FALSE)&gt;0,((VLOOKUP(A73,Aktien_im_Umlauf_splitbereinigt!A$3:AM$103,7,FALSE)-VLOOKUP(A73,Aktien_im_Umlauf_splitbereinigt!A$3:AM$103,6,FALSE))*VLOOKUP(A73,Schlußkurse!A$5:AU$105,39,FALSE))/VLOOKUP(A73,Aktien_im_Umlauf_splitbereinigt!A$3:AM$103,6,FALSE),0),0),0)</f>
        <v>#N/A</v>
      </c>
      <c r="G73" s="97" t="e">
        <f>IF(VLOOKUP(A73,Aktien_im_Umlauf_splitbereinigt!A$3:AM$103,8,FALSE)&lt;&gt;"",IF(VLOOKUP(A73,Aktien_im_Umlauf_splitbereinigt!A$3:AM$103,7,FALSE)&lt;&gt;"",IF(VLOOKUP(A73,Schlußkurse!A$5:AU$105,40,FALSE)&gt;0,((VLOOKUP(A73,Aktien_im_Umlauf_splitbereinigt!A$3:AM$103,8,FALSE)-VLOOKUP(A73,Aktien_im_Umlauf_splitbereinigt!A$3:AM$103,7,FALSE))*VLOOKUP(A73,Schlußkurse!A$5:AU$105,40,FALSE))/VLOOKUP(A73,Aktien_im_Umlauf_splitbereinigt!A$3:AM$103,7,FALSE),0),0),0)</f>
        <v>#N/A</v>
      </c>
      <c r="H73" s="97" t="e">
        <f>IF(VLOOKUP(A73,Aktien_im_Umlauf_splitbereinigt!A$3:AM$103,9,FALSE)&lt;&gt;"",IF(VLOOKUP(A73,Aktien_im_Umlauf_splitbereinigt!A$3:AM$103,8,FALSE)&lt;&gt;"",IF(VLOOKUP(A73,Schlußkurse!A$5:AU$105,41,FALSE)&gt;0,((VLOOKUP(A73,Aktien_im_Umlauf_splitbereinigt!A$3:AM$103,9,FALSE)-VLOOKUP(A73,Aktien_im_Umlauf_splitbereinigt!A$3:AM$103,8,FALSE))*VLOOKUP(A73,Schlußkurse!A$5:AU$105,41,FALSE))/VLOOKUP(A73,Aktien_im_Umlauf_splitbereinigt!A$3:AM$103,8,FALSE),0),0),0)</f>
        <v>#N/A</v>
      </c>
      <c r="I73" s="97" t="e">
        <f>IF(VLOOKUP(A73,Aktien_im_Umlauf_splitbereinigt!A$3:AM$103,10,FALSE)&lt;&gt;"",IF(VLOOKUP(A73,Aktien_im_Umlauf_splitbereinigt!A$3:AM$103,9,FALSE)&lt;&gt;"",IF(VLOOKUP(A73,Schlußkurse!A$5:AU$105,42,FALSE)&gt;0,((VLOOKUP(A73,Aktien_im_Umlauf_splitbereinigt!A$3:AM$103,10,FALSE)-VLOOKUP(A73,Aktien_im_Umlauf_splitbereinigt!A$3:AM$103,9,FALSE))*VLOOKUP(A73,Schlußkurse!A$5:AU$105,42,FALSE))/VLOOKUP(A73,Aktien_im_Umlauf_splitbereinigt!A$3:AM$103,9,FALSE),0),0),0)</f>
        <v>#N/A</v>
      </c>
      <c r="J73" s="97" t="e">
        <f>IF(VLOOKUP(A73,Aktien_im_Umlauf_splitbereinigt!A$3:AM$103,11,FALSE)&lt;&gt;"",IF(VLOOKUP(A73,Aktien_im_Umlauf_splitbereinigt!A$3:AM$103,10,FALSE)&lt;&gt;"",IF(VLOOKUP(A73,Schlußkurse!A$5:AU$105,43,FALSE)&gt;0,((VLOOKUP(A73,Aktien_im_Umlauf_splitbereinigt!A$3:AM$103,11,FALSE)-VLOOKUP(A73,Aktien_im_Umlauf_splitbereinigt!A$3:AM$103,10,FALSE))*VLOOKUP(A73,Schlußkurse!A$5:AU$105,43,FALSE))/VLOOKUP(A73,Aktien_im_Umlauf_splitbereinigt!A$3:AM$103,10,FALSE),0),0),0)</f>
        <v>#N/A</v>
      </c>
      <c r="K73" s="97" t="e">
        <f>IF(VLOOKUP(A73,Aktien_im_Umlauf_splitbereinigt!A$3:AM$103,12,FALSE)&lt;&gt;"",IF(VLOOKUP(A73,Aktien_im_Umlauf_splitbereinigt!A$3:AM$103,11,FALSE)&lt;&gt;"",IF(VLOOKUP(A73,Schlußkurse!A$5:AU$105,44,FALSE)&gt;0,((VLOOKUP(A73,Aktien_im_Umlauf_splitbereinigt!A$3:AM$103,12,FALSE)-VLOOKUP(A73,Aktien_im_Umlauf_splitbereinigt!A$3:AM$103,11,FALSE))*VLOOKUP(A73,Schlußkurse!A$5:AU$105,44,FALSE))/VLOOKUP(A73,Aktien_im_Umlauf_splitbereinigt!A$3:AM$103,11,FALSE),0),0),0)</f>
        <v>#N/A</v>
      </c>
      <c r="L73" s="97" t="e">
        <f>IF(VLOOKUP(A73,Aktien_im_Umlauf_splitbereinigt!A$3:AM$103,13,FALSE)&lt;&gt;"",IF(VLOOKUP(A73,Aktien_im_Umlauf_splitbereinigt!A$3:AM$103,12,FALSE)&lt;&gt;"",IF(VLOOKUP(A73,Schlußkurse!A$5:AU$105,45,FALSE)&gt;0,((VLOOKUP(A73,Aktien_im_Umlauf_splitbereinigt!A$3:AM$103,13,FALSE)-VLOOKUP(A73,Aktien_im_Umlauf_splitbereinigt!A$3:AM$103,12,FALSE))*VLOOKUP(A73,Schlußkurse!A$5:AU$105,45,FALSE))/VLOOKUP(A73,Aktien_im_Umlauf_splitbereinigt!A$3:AM$103,12,FALSE),0),0),0)</f>
        <v>#N/A</v>
      </c>
      <c r="M73" s="97" t="e">
        <f>IF(VLOOKUP(A73,Aktien_im_Umlauf_splitbereinigt!A$3:AM$103,14,FALSE)&lt;&gt;"",IF(VLOOKUP(A73,Aktien_im_Umlauf_splitbereinigt!A$3:AM$103,13,FALSE)&lt;&gt;"",IF(VLOOKUP(A73,Schlußkurse!A$5:AU$105,46,FALSE)&gt;0,((VLOOKUP(A73,Aktien_im_Umlauf_splitbereinigt!A$3:AM$103,14,FALSE)-VLOOKUP(A73,Aktien_im_Umlauf_splitbereinigt!A$3:AM$103,13,FALSE))*VLOOKUP(A73,Schlußkurse!A$5:AU$105,46,FALSE))/VLOOKUP(A73,Aktien_im_Umlauf_splitbereinigt!A$3:AM$103,13,FALSE),0),0),0)</f>
        <v>#N/A</v>
      </c>
      <c r="N73" s="13" t="e">
        <f>IF(C73&gt;0,IF(VLOOKUP(A73,Dividende_je_Aktie!A$3:AM$103,8,FALSE)&lt;&gt;"",C73+VLOOKUP(A73,Dividende_je_Aktie!A$3:AM$103,8,FALSE),C73),IF(VLOOKUP(A73,Dividende_je_Aktie!A$3:AM$103,8,FALSE)&lt;&gt;"",VLOOKUP(A73,Dividende_je_Aktie!A$3:AM$103,8,FALSE),""))</f>
        <v>#N/A</v>
      </c>
      <c r="O73" s="13" t="e">
        <f>IF(D73&gt;0,IF(VLOOKUP(A73,Dividende_je_Aktie!A$3:AM$103,9,FALSE)&lt;&gt;"",D73+VLOOKUP(A73,Dividende_je_Aktie!A$3:AM$103,9,FALSE),D73),IF(VLOOKUP(A73,Dividende_je_Aktie!A$3:AM$103,9,FALSE)&lt;&gt;"",VLOOKUP(A73,Dividende_je_Aktie!A$3:AM$103,9,FALSE),""))</f>
        <v>#N/A</v>
      </c>
      <c r="P73" s="13" t="e">
        <f>IF(E73&gt;0,IF(VLOOKUP(A73,Dividende_je_Aktie!A$3:AM$103,10,FALSE)&lt;&gt;"",E73+VLOOKUP(A73,Dividende_je_Aktie!A$3:AM$103,10,FALSE),E73),IF(VLOOKUP(A73,Dividende_je_Aktie!A$3:AM$103,10,FALSE)&lt;&gt;"",VLOOKUP(A73,Dividende_je_Aktie!A$3:AM$103,10,FALSE),""))</f>
        <v>#N/A</v>
      </c>
      <c r="Q73" s="13" t="e">
        <f>IF(F73&gt;0,IF(VLOOKUP(A73,Dividende_je_Aktie!A$3:AM$103,11,FALSE)&lt;&gt;"",F73+VLOOKUP(A73,Dividende_je_Aktie!A$3:AM$103,11,FALSE),F73),IF(VLOOKUP(A73,Dividende_je_Aktie!A$3:AM$103,11,FALSE)&lt;&gt;"",VLOOKUP(A73,Dividende_je_Aktie!A$3:AM$103,11,FALSE),""))</f>
        <v>#N/A</v>
      </c>
      <c r="R73" s="13" t="e">
        <f>IF(G73&gt;0,IF(VLOOKUP(A73,Dividende_je_Aktie!A$3:AM$103,12,FALSE)&lt;&gt;"",G73+VLOOKUP(A73,Dividende_je_Aktie!A$3:AM$103,12,FALSE),G73),IF(VLOOKUP(A73,Dividende_je_Aktie!A$3:AM$103,12,FALSE)&lt;&gt;"",VLOOKUP(A73,Dividende_je_Aktie!A$3:AM$103,12,FALSE),""))</f>
        <v>#N/A</v>
      </c>
      <c r="S73" s="13" t="e">
        <f>IF(H73&gt;0,IF(VLOOKUP(A73,Dividende_je_Aktie!A$3:AM$103,13,FALSE)&lt;&gt;"",H73+VLOOKUP(A73,Dividende_je_Aktie!A$3:AM$103,13,FALSE),H73),IF(VLOOKUP(A73,Dividende_je_Aktie!A$3:AM$103,13,FALSE)&lt;&gt;"",VLOOKUP(A73,Dividende_je_Aktie!A$3:AM$103,13,FALSE),""))</f>
        <v>#N/A</v>
      </c>
      <c r="T73" s="13" t="e">
        <f>IF(I73&gt;0,IF(VLOOKUP(A73,Dividende_je_Aktie!A$3:AM$103,14,FALSE)&lt;&gt;"",I73+VLOOKUP(A73,Dividende_je_Aktie!A$3:AM$103,14,FALSE),I73),IF(VLOOKUP(A73,Dividende_je_Aktie!A$3:AM$103,14,FALSE)&lt;&gt;"",VLOOKUP(A73,Dividende_je_Aktie!A$3:AM$103,14,FALSE),""))</f>
        <v>#N/A</v>
      </c>
      <c r="U73" s="13" t="e">
        <f>IF(J73&gt;0,IF(VLOOKUP(A73,Dividende_je_Aktie!A$3:AM$103,15,FALSE)&lt;&gt;"",J73+VLOOKUP(A73,Dividende_je_Aktie!A$3:AM$103,15,FALSE),J73),IF(VLOOKUP(A73,Dividende_je_Aktie!A$3:AM$103,15,FALSE)&lt;&gt;"",VLOOKUP(A73,Dividende_je_Aktie!A$3:AM$103,15,FALSE),""))</f>
        <v>#N/A</v>
      </c>
      <c r="V73" s="13" t="e">
        <f>IF(K73&gt;0,IF(VLOOKUP(A73,Dividende_je_Aktie!A$3:AM$103,16,FALSE)&lt;&gt;"",K73+VLOOKUP(A73,Dividende_je_Aktie!A$3:AM$103,16,FALSE),K73),IF(VLOOKUP(A73,Dividende_je_Aktie!A$3:AM$103,16,FALSE)&lt;&gt;"",VLOOKUP(A73,Dividende_je_Aktie!A$3:AM$103,16,FALSE),""))</f>
        <v>#N/A</v>
      </c>
      <c r="W73" s="13" t="e">
        <f>IF(L73&gt;0,IF(VLOOKUP(A73,Dividende_je_Aktie!A$3:AM$103,17,FALSE)&lt;&gt;"",L73+VLOOKUP(A73,Dividende_je_Aktie!A$3:AM$103,17,FALSE),L73),IF(VLOOKUP(A73,Dividende_je_Aktie!A$3:AM$103,17,FALSE)&lt;&gt;"",VLOOKUP(A73,Dividende_je_Aktie!A$3:AM$103,17,FALSE),""))</f>
        <v>#N/A</v>
      </c>
      <c r="X73" s="13" t="e">
        <f>IF(M73&gt;0,IF(VLOOKUP(A73,Dividende_je_Aktie!A$3:AM$103,18,FALSE)&lt;&gt;"",M73+VLOOKUP(A73,Dividende_je_Aktie!A$3:AM$103,18,FALSE),M73),IF(VLOOKUP(A73,Dividende_je_Aktie!A$3:AM$103,18,FALSE)&lt;&gt;"",VLOOKUP(A73,Dividende_je_Aktie!A$3:AM$103,18,FALSE),""))</f>
        <v>#N/A</v>
      </c>
    </row>
    <row r="74" spans="1:24">
      <c r="A74" s="52"/>
      <c r="B74" s="52"/>
      <c r="C74" s="13" t="e">
        <f>IF(VLOOKUP(A74,Aktien_im_Umlauf_splitbereinigt!A$3:AM$103,4,FALSE)&lt;&gt;"",IF(VLOOKUP(A74,Aktien_im_Umlauf_splitbereinigt!A$3:AM$103,3,FALSE)&lt;&gt;"",IF(VLOOKUP(A74,Schlußkurse!A$5:AU$105,36,FALSE)&gt;0,((VLOOKUP(A74,Aktien_im_Umlauf_splitbereinigt!A$3:AM$103,4,FALSE)-VLOOKUP(A74,Aktien_im_Umlauf_splitbereinigt!A$3:AM$103,3,FALSE))*VLOOKUP(A74,Schlußkurse!A$5:AU$105,36,FALSE))/VLOOKUP(A74,Aktien_im_Umlauf_splitbereinigt!A$3:AM$103,3,FALSE),0),0),0)</f>
        <v>#N/A</v>
      </c>
      <c r="D74" s="97" t="e">
        <f>IF(VLOOKUP(A74,Aktien_im_Umlauf_splitbereinigt!A$3:AM$103,5,FALSE)&lt;&gt;"",IF(VLOOKUP(A74,Aktien_im_Umlauf_splitbereinigt!A$3:AM$103,4,FALSE)&lt;&gt;"",IF(VLOOKUP(A74,Schlußkurse!A$5:AU$105,37,FALSE)&gt;0,((VLOOKUP(A74,Aktien_im_Umlauf_splitbereinigt!A$3:AM$103,5,FALSE)-VLOOKUP(A74,Aktien_im_Umlauf_splitbereinigt!A$3:AM$103,4,FALSE))*VLOOKUP(A74,Schlußkurse!A$5:AU$105,37,FALSE))/VLOOKUP(A74,Aktien_im_Umlauf_splitbereinigt!A$3:AM$103,4,FALSE),0),0),0)</f>
        <v>#N/A</v>
      </c>
      <c r="E74" s="97" t="e">
        <f>IF(VLOOKUP(A74,Aktien_im_Umlauf_splitbereinigt!A$3:AM$103,6,FALSE)&lt;&gt;"",IF(VLOOKUP(A74,Aktien_im_Umlauf_splitbereinigt!A$3:AM$103,5,FALSE)&lt;&gt;"",IF(VLOOKUP(A74,Schlußkurse!A$5:AU$105,38,FALSE)&gt;0,((VLOOKUP(A74,Aktien_im_Umlauf_splitbereinigt!A$3:AM$103,6,FALSE)-VLOOKUP(A74,Aktien_im_Umlauf_splitbereinigt!A$3:AM$103,5,FALSE))*VLOOKUP(A74,Schlußkurse!A$5:AU$105,38,FALSE))/VLOOKUP(A74,Aktien_im_Umlauf_splitbereinigt!A$3:AM$103,5,FALSE),0),0),0)</f>
        <v>#N/A</v>
      </c>
      <c r="F74" s="97" t="e">
        <f>IF(VLOOKUP(A74,Aktien_im_Umlauf_splitbereinigt!A$3:AM$103,7,FALSE)&lt;&gt;"",IF(VLOOKUP(A74,Aktien_im_Umlauf_splitbereinigt!A$3:AM$103,6,FALSE)&lt;&gt;"",IF(VLOOKUP(A74,Schlußkurse!A$5:AU$105,39,FALSE)&gt;0,((VLOOKUP(A74,Aktien_im_Umlauf_splitbereinigt!A$3:AM$103,7,FALSE)-VLOOKUP(A74,Aktien_im_Umlauf_splitbereinigt!A$3:AM$103,6,FALSE))*VLOOKUP(A74,Schlußkurse!A$5:AU$105,39,FALSE))/VLOOKUP(A74,Aktien_im_Umlauf_splitbereinigt!A$3:AM$103,6,FALSE),0),0),0)</f>
        <v>#N/A</v>
      </c>
      <c r="G74" s="97" t="e">
        <f>IF(VLOOKUP(A74,Aktien_im_Umlauf_splitbereinigt!A$3:AM$103,8,FALSE)&lt;&gt;"",IF(VLOOKUP(A74,Aktien_im_Umlauf_splitbereinigt!A$3:AM$103,7,FALSE)&lt;&gt;"",IF(VLOOKUP(A74,Schlußkurse!A$5:AU$105,40,FALSE)&gt;0,((VLOOKUP(A74,Aktien_im_Umlauf_splitbereinigt!A$3:AM$103,8,FALSE)-VLOOKUP(A74,Aktien_im_Umlauf_splitbereinigt!A$3:AM$103,7,FALSE))*VLOOKUP(A74,Schlußkurse!A$5:AU$105,40,FALSE))/VLOOKUP(A74,Aktien_im_Umlauf_splitbereinigt!A$3:AM$103,7,FALSE),0),0),0)</f>
        <v>#N/A</v>
      </c>
      <c r="H74" s="97" t="e">
        <f>IF(VLOOKUP(A74,Aktien_im_Umlauf_splitbereinigt!A$3:AM$103,9,FALSE)&lt;&gt;"",IF(VLOOKUP(A74,Aktien_im_Umlauf_splitbereinigt!A$3:AM$103,8,FALSE)&lt;&gt;"",IF(VLOOKUP(A74,Schlußkurse!A$5:AU$105,41,FALSE)&gt;0,((VLOOKUP(A74,Aktien_im_Umlauf_splitbereinigt!A$3:AM$103,9,FALSE)-VLOOKUP(A74,Aktien_im_Umlauf_splitbereinigt!A$3:AM$103,8,FALSE))*VLOOKUP(A74,Schlußkurse!A$5:AU$105,41,FALSE))/VLOOKUP(A74,Aktien_im_Umlauf_splitbereinigt!A$3:AM$103,8,FALSE),0),0),0)</f>
        <v>#N/A</v>
      </c>
      <c r="I74" s="97" t="e">
        <f>IF(VLOOKUP(A74,Aktien_im_Umlauf_splitbereinigt!A$3:AM$103,10,FALSE)&lt;&gt;"",IF(VLOOKUP(A74,Aktien_im_Umlauf_splitbereinigt!A$3:AM$103,9,FALSE)&lt;&gt;"",IF(VLOOKUP(A74,Schlußkurse!A$5:AU$105,42,FALSE)&gt;0,((VLOOKUP(A74,Aktien_im_Umlauf_splitbereinigt!A$3:AM$103,10,FALSE)-VLOOKUP(A74,Aktien_im_Umlauf_splitbereinigt!A$3:AM$103,9,FALSE))*VLOOKUP(A74,Schlußkurse!A$5:AU$105,42,FALSE))/VLOOKUP(A74,Aktien_im_Umlauf_splitbereinigt!A$3:AM$103,9,FALSE),0),0),0)</f>
        <v>#N/A</v>
      </c>
      <c r="J74" s="97" t="e">
        <f>IF(VLOOKUP(A74,Aktien_im_Umlauf_splitbereinigt!A$3:AM$103,11,FALSE)&lt;&gt;"",IF(VLOOKUP(A74,Aktien_im_Umlauf_splitbereinigt!A$3:AM$103,10,FALSE)&lt;&gt;"",IF(VLOOKUP(A74,Schlußkurse!A$5:AU$105,43,FALSE)&gt;0,((VLOOKUP(A74,Aktien_im_Umlauf_splitbereinigt!A$3:AM$103,11,FALSE)-VLOOKUP(A74,Aktien_im_Umlauf_splitbereinigt!A$3:AM$103,10,FALSE))*VLOOKUP(A74,Schlußkurse!A$5:AU$105,43,FALSE))/VLOOKUP(A74,Aktien_im_Umlauf_splitbereinigt!A$3:AM$103,10,FALSE),0),0),0)</f>
        <v>#N/A</v>
      </c>
      <c r="K74" s="97" t="e">
        <f>IF(VLOOKUP(A74,Aktien_im_Umlauf_splitbereinigt!A$3:AM$103,12,FALSE)&lt;&gt;"",IF(VLOOKUP(A74,Aktien_im_Umlauf_splitbereinigt!A$3:AM$103,11,FALSE)&lt;&gt;"",IF(VLOOKUP(A74,Schlußkurse!A$5:AU$105,44,FALSE)&gt;0,((VLOOKUP(A74,Aktien_im_Umlauf_splitbereinigt!A$3:AM$103,12,FALSE)-VLOOKUP(A74,Aktien_im_Umlauf_splitbereinigt!A$3:AM$103,11,FALSE))*VLOOKUP(A74,Schlußkurse!A$5:AU$105,44,FALSE))/VLOOKUP(A74,Aktien_im_Umlauf_splitbereinigt!A$3:AM$103,11,FALSE),0),0),0)</f>
        <v>#N/A</v>
      </c>
      <c r="L74" s="97" t="e">
        <f>IF(VLOOKUP(A74,Aktien_im_Umlauf_splitbereinigt!A$3:AM$103,13,FALSE)&lt;&gt;"",IF(VLOOKUP(A74,Aktien_im_Umlauf_splitbereinigt!A$3:AM$103,12,FALSE)&lt;&gt;"",IF(VLOOKUP(A74,Schlußkurse!A$5:AU$105,45,FALSE)&gt;0,((VLOOKUP(A74,Aktien_im_Umlauf_splitbereinigt!A$3:AM$103,13,FALSE)-VLOOKUP(A74,Aktien_im_Umlauf_splitbereinigt!A$3:AM$103,12,FALSE))*VLOOKUP(A74,Schlußkurse!A$5:AU$105,45,FALSE))/VLOOKUP(A74,Aktien_im_Umlauf_splitbereinigt!A$3:AM$103,12,FALSE),0),0),0)</f>
        <v>#N/A</v>
      </c>
      <c r="M74" s="97" t="e">
        <f>IF(VLOOKUP(A74,Aktien_im_Umlauf_splitbereinigt!A$3:AM$103,14,FALSE)&lt;&gt;"",IF(VLOOKUP(A74,Aktien_im_Umlauf_splitbereinigt!A$3:AM$103,13,FALSE)&lt;&gt;"",IF(VLOOKUP(A74,Schlußkurse!A$5:AU$105,46,FALSE)&gt;0,((VLOOKUP(A74,Aktien_im_Umlauf_splitbereinigt!A$3:AM$103,14,FALSE)-VLOOKUP(A74,Aktien_im_Umlauf_splitbereinigt!A$3:AM$103,13,FALSE))*VLOOKUP(A74,Schlußkurse!A$5:AU$105,46,FALSE))/VLOOKUP(A74,Aktien_im_Umlauf_splitbereinigt!A$3:AM$103,13,FALSE),0),0),0)</f>
        <v>#N/A</v>
      </c>
      <c r="N74" s="13" t="e">
        <f>IF(C74&gt;0,IF(VLOOKUP(A74,Dividende_je_Aktie!A$3:AM$103,8,FALSE)&lt;&gt;"",C74+VLOOKUP(A74,Dividende_je_Aktie!A$3:AM$103,8,FALSE),C74),IF(VLOOKUP(A74,Dividende_je_Aktie!A$3:AM$103,8,FALSE)&lt;&gt;"",VLOOKUP(A74,Dividende_je_Aktie!A$3:AM$103,8,FALSE),""))</f>
        <v>#N/A</v>
      </c>
      <c r="O74" s="13" t="e">
        <f>IF(D74&gt;0,IF(VLOOKUP(A74,Dividende_je_Aktie!A$3:AM$103,9,FALSE)&lt;&gt;"",D74+VLOOKUP(A74,Dividende_je_Aktie!A$3:AM$103,9,FALSE),D74),IF(VLOOKUP(A74,Dividende_je_Aktie!A$3:AM$103,9,FALSE)&lt;&gt;"",VLOOKUP(A74,Dividende_je_Aktie!A$3:AM$103,9,FALSE),""))</f>
        <v>#N/A</v>
      </c>
      <c r="P74" s="13" t="e">
        <f>IF(E74&gt;0,IF(VLOOKUP(A74,Dividende_je_Aktie!A$3:AM$103,10,FALSE)&lt;&gt;"",E74+VLOOKUP(A74,Dividende_je_Aktie!A$3:AM$103,10,FALSE),E74),IF(VLOOKUP(A74,Dividende_je_Aktie!A$3:AM$103,10,FALSE)&lt;&gt;"",VLOOKUP(A74,Dividende_je_Aktie!A$3:AM$103,10,FALSE),""))</f>
        <v>#N/A</v>
      </c>
      <c r="Q74" s="13" t="e">
        <f>IF(F74&gt;0,IF(VLOOKUP(A74,Dividende_je_Aktie!A$3:AM$103,11,FALSE)&lt;&gt;"",F74+VLOOKUP(A74,Dividende_je_Aktie!A$3:AM$103,11,FALSE),F74),IF(VLOOKUP(A74,Dividende_je_Aktie!A$3:AM$103,11,FALSE)&lt;&gt;"",VLOOKUP(A74,Dividende_je_Aktie!A$3:AM$103,11,FALSE),""))</f>
        <v>#N/A</v>
      </c>
      <c r="R74" s="13" t="e">
        <f>IF(G74&gt;0,IF(VLOOKUP(A74,Dividende_je_Aktie!A$3:AM$103,12,FALSE)&lt;&gt;"",G74+VLOOKUP(A74,Dividende_je_Aktie!A$3:AM$103,12,FALSE),G74),IF(VLOOKUP(A74,Dividende_je_Aktie!A$3:AM$103,12,FALSE)&lt;&gt;"",VLOOKUP(A74,Dividende_je_Aktie!A$3:AM$103,12,FALSE),""))</f>
        <v>#N/A</v>
      </c>
      <c r="S74" s="13" t="e">
        <f>IF(H74&gt;0,IF(VLOOKUP(A74,Dividende_je_Aktie!A$3:AM$103,13,FALSE)&lt;&gt;"",H74+VLOOKUP(A74,Dividende_je_Aktie!A$3:AM$103,13,FALSE),H74),IF(VLOOKUP(A74,Dividende_je_Aktie!A$3:AM$103,13,FALSE)&lt;&gt;"",VLOOKUP(A74,Dividende_je_Aktie!A$3:AM$103,13,FALSE),""))</f>
        <v>#N/A</v>
      </c>
      <c r="T74" s="13" t="e">
        <f>IF(I74&gt;0,IF(VLOOKUP(A74,Dividende_je_Aktie!A$3:AM$103,14,FALSE)&lt;&gt;"",I74+VLOOKUP(A74,Dividende_je_Aktie!A$3:AM$103,14,FALSE),I74),IF(VLOOKUP(A74,Dividende_je_Aktie!A$3:AM$103,14,FALSE)&lt;&gt;"",VLOOKUP(A74,Dividende_je_Aktie!A$3:AM$103,14,FALSE),""))</f>
        <v>#N/A</v>
      </c>
      <c r="U74" s="13" t="e">
        <f>IF(J74&gt;0,IF(VLOOKUP(A74,Dividende_je_Aktie!A$3:AM$103,15,FALSE)&lt;&gt;"",J74+VLOOKUP(A74,Dividende_je_Aktie!A$3:AM$103,15,FALSE),J74),IF(VLOOKUP(A74,Dividende_je_Aktie!A$3:AM$103,15,FALSE)&lt;&gt;"",VLOOKUP(A74,Dividende_je_Aktie!A$3:AM$103,15,FALSE),""))</f>
        <v>#N/A</v>
      </c>
      <c r="V74" s="13" t="e">
        <f>IF(K74&gt;0,IF(VLOOKUP(A74,Dividende_je_Aktie!A$3:AM$103,16,FALSE)&lt;&gt;"",K74+VLOOKUP(A74,Dividende_je_Aktie!A$3:AM$103,16,FALSE),K74),IF(VLOOKUP(A74,Dividende_je_Aktie!A$3:AM$103,16,FALSE)&lt;&gt;"",VLOOKUP(A74,Dividende_je_Aktie!A$3:AM$103,16,FALSE),""))</f>
        <v>#N/A</v>
      </c>
      <c r="W74" s="13" t="e">
        <f>IF(L74&gt;0,IF(VLOOKUP(A74,Dividende_je_Aktie!A$3:AM$103,17,FALSE)&lt;&gt;"",L74+VLOOKUP(A74,Dividende_je_Aktie!A$3:AM$103,17,FALSE),L74),IF(VLOOKUP(A74,Dividende_je_Aktie!A$3:AM$103,17,FALSE)&lt;&gt;"",VLOOKUP(A74,Dividende_je_Aktie!A$3:AM$103,17,FALSE),""))</f>
        <v>#N/A</v>
      </c>
      <c r="X74" s="13" t="e">
        <f>IF(M74&gt;0,IF(VLOOKUP(A74,Dividende_je_Aktie!A$3:AM$103,18,FALSE)&lt;&gt;"",M74+VLOOKUP(A74,Dividende_je_Aktie!A$3:AM$103,18,FALSE),M74),IF(VLOOKUP(A74,Dividende_je_Aktie!A$3:AM$103,18,FALSE)&lt;&gt;"",VLOOKUP(A74,Dividende_je_Aktie!A$3:AM$103,18,FALSE),""))</f>
        <v>#N/A</v>
      </c>
    </row>
    <row r="75" spans="1:24">
      <c r="A75" s="52"/>
      <c r="B75" s="52"/>
      <c r="C75" s="13" t="e">
        <f>IF(VLOOKUP(A75,Aktien_im_Umlauf_splitbereinigt!A$3:AM$103,4,FALSE)&lt;&gt;"",IF(VLOOKUP(A75,Aktien_im_Umlauf_splitbereinigt!A$3:AM$103,3,FALSE)&lt;&gt;"",IF(VLOOKUP(A75,Schlußkurse!A$5:AU$105,36,FALSE)&gt;0,((VLOOKUP(A75,Aktien_im_Umlauf_splitbereinigt!A$3:AM$103,4,FALSE)-VLOOKUP(A75,Aktien_im_Umlauf_splitbereinigt!A$3:AM$103,3,FALSE))*VLOOKUP(A75,Schlußkurse!A$5:AU$105,36,FALSE))/VLOOKUP(A75,Aktien_im_Umlauf_splitbereinigt!A$3:AM$103,3,FALSE),0),0),0)</f>
        <v>#N/A</v>
      </c>
      <c r="D75" s="97" t="e">
        <f>IF(VLOOKUP(A75,Aktien_im_Umlauf_splitbereinigt!A$3:AM$103,5,FALSE)&lt;&gt;"",IF(VLOOKUP(A75,Aktien_im_Umlauf_splitbereinigt!A$3:AM$103,4,FALSE)&lt;&gt;"",IF(VLOOKUP(A75,Schlußkurse!A$5:AU$105,37,FALSE)&gt;0,((VLOOKUP(A75,Aktien_im_Umlauf_splitbereinigt!A$3:AM$103,5,FALSE)-VLOOKUP(A75,Aktien_im_Umlauf_splitbereinigt!A$3:AM$103,4,FALSE))*VLOOKUP(A75,Schlußkurse!A$5:AU$105,37,FALSE))/VLOOKUP(A75,Aktien_im_Umlauf_splitbereinigt!A$3:AM$103,4,FALSE),0),0),0)</f>
        <v>#N/A</v>
      </c>
      <c r="E75" s="97" t="e">
        <f>IF(VLOOKUP(A75,Aktien_im_Umlauf_splitbereinigt!A$3:AM$103,6,FALSE)&lt;&gt;"",IF(VLOOKUP(A75,Aktien_im_Umlauf_splitbereinigt!A$3:AM$103,5,FALSE)&lt;&gt;"",IF(VLOOKUP(A75,Schlußkurse!A$5:AU$105,38,FALSE)&gt;0,((VLOOKUP(A75,Aktien_im_Umlauf_splitbereinigt!A$3:AM$103,6,FALSE)-VLOOKUP(A75,Aktien_im_Umlauf_splitbereinigt!A$3:AM$103,5,FALSE))*VLOOKUP(A75,Schlußkurse!A$5:AU$105,38,FALSE))/VLOOKUP(A75,Aktien_im_Umlauf_splitbereinigt!A$3:AM$103,5,FALSE),0),0),0)</f>
        <v>#N/A</v>
      </c>
      <c r="F75" s="97" t="e">
        <f>IF(VLOOKUP(A75,Aktien_im_Umlauf_splitbereinigt!A$3:AM$103,7,FALSE)&lt;&gt;"",IF(VLOOKUP(A75,Aktien_im_Umlauf_splitbereinigt!A$3:AM$103,6,FALSE)&lt;&gt;"",IF(VLOOKUP(A75,Schlußkurse!A$5:AU$105,39,FALSE)&gt;0,((VLOOKUP(A75,Aktien_im_Umlauf_splitbereinigt!A$3:AM$103,7,FALSE)-VLOOKUP(A75,Aktien_im_Umlauf_splitbereinigt!A$3:AM$103,6,FALSE))*VLOOKUP(A75,Schlußkurse!A$5:AU$105,39,FALSE))/VLOOKUP(A75,Aktien_im_Umlauf_splitbereinigt!A$3:AM$103,6,FALSE),0),0),0)</f>
        <v>#N/A</v>
      </c>
      <c r="G75" s="97" t="e">
        <f>IF(VLOOKUP(A75,Aktien_im_Umlauf_splitbereinigt!A$3:AM$103,8,FALSE)&lt;&gt;"",IF(VLOOKUP(A75,Aktien_im_Umlauf_splitbereinigt!A$3:AM$103,7,FALSE)&lt;&gt;"",IF(VLOOKUP(A75,Schlußkurse!A$5:AU$105,40,FALSE)&gt;0,((VLOOKUP(A75,Aktien_im_Umlauf_splitbereinigt!A$3:AM$103,8,FALSE)-VLOOKUP(A75,Aktien_im_Umlauf_splitbereinigt!A$3:AM$103,7,FALSE))*VLOOKUP(A75,Schlußkurse!A$5:AU$105,40,FALSE))/VLOOKUP(A75,Aktien_im_Umlauf_splitbereinigt!A$3:AM$103,7,FALSE),0),0),0)</f>
        <v>#N/A</v>
      </c>
      <c r="H75" s="97" t="e">
        <f>IF(VLOOKUP(A75,Aktien_im_Umlauf_splitbereinigt!A$3:AM$103,9,FALSE)&lt;&gt;"",IF(VLOOKUP(A75,Aktien_im_Umlauf_splitbereinigt!A$3:AM$103,8,FALSE)&lt;&gt;"",IF(VLOOKUP(A75,Schlußkurse!A$5:AU$105,41,FALSE)&gt;0,((VLOOKUP(A75,Aktien_im_Umlauf_splitbereinigt!A$3:AM$103,9,FALSE)-VLOOKUP(A75,Aktien_im_Umlauf_splitbereinigt!A$3:AM$103,8,FALSE))*VLOOKUP(A75,Schlußkurse!A$5:AU$105,41,FALSE))/VLOOKUP(A75,Aktien_im_Umlauf_splitbereinigt!A$3:AM$103,8,FALSE),0),0),0)</f>
        <v>#N/A</v>
      </c>
      <c r="I75" s="97" t="e">
        <f>IF(VLOOKUP(A75,Aktien_im_Umlauf_splitbereinigt!A$3:AM$103,10,FALSE)&lt;&gt;"",IF(VLOOKUP(A75,Aktien_im_Umlauf_splitbereinigt!A$3:AM$103,9,FALSE)&lt;&gt;"",IF(VLOOKUP(A75,Schlußkurse!A$5:AU$105,42,FALSE)&gt;0,((VLOOKUP(A75,Aktien_im_Umlauf_splitbereinigt!A$3:AM$103,10,FALSE)-VLOOKUP(A75,Aktien_im_Umlauf_splitbereinigt!A$3:AM$103,9,FALSE))*VLOOKUP(A75,Schlußkurse!A$5:AU$105,42,FALSE))/VLOOKUP(A75,Aktien_im_Umlauf_splitbereinigt!A$3:AM$103,9,FALSE),0),0),0)</f>
        <v>#N/A</v>
      </c>
      <c r="J75" s="97" t="e">
        <f>IF(VLOOKUP(A75,Aktien_im_Umlauf_splitbereinigt!A$3:AM$103,11,FALSE)&lt;&gt;"",IF(VLOOKUP(A75,Aktien_im_Umlauf_splitbereinigt!A$3:AM$103,10,FALSE)&lt;&gt;"",IF(VLOOKUP(A75,Schlußkurse!A$5:AU$105,43,FALSE)&gt;0,((VLOOKUP(A75,Aktien_im_Umlauf_splitbereinigt!A$3:AM$103,11,FALSE)-VLOOKUP(A75,Aktien_im_Umlauf_splitbereinigt!A$3:AM$103,10,FALSE))*VLOOKUP(A75,Schlußkurse!A$5:AU$105,43,FALSE))/VLOOKUP(A75,Aktien_im_Umlauf_splitbereinigt!A$3:AM$103,10,FALSE),0),0),0)</f>
        <v>#N/A</v>
      </c>
      <c r="K75" s="97" t="e">
        <f>IF(VLOOKUP(A75,Aktien_im_Umlauf_splitbereinigt!A$3:AM$103,12,FALSE)&lt;&gt;"",IF(VLOOKUP(A75,Aktien_im_Umlauf_splitbereinigt!A$3:AM$103,11,FALSE)&lt;&gt;"",IF(VLOOKUP(A75,Schlußkurse!A$5:AU$105,44,FALSE)&gt;0,((VLOOKUP(A75,Aktien_im_Umlauf_splitbereinigt!A$3:AM$103,12,FALSE)-VLOOKUP(A75,Aktien_im_Umlauf_splitbereinigt!A$3:AM$103,11,FALSE))*VLOOKUP(A75,Schlußkurse!A$5:AU$105,44,FALSE))/VLOOKUP(A75,Aktien_im_Umlauf_splitbereinigt!A$3:AM$103,11,FALSE),0),0),0)</f>
        <v>#N/A</v>
      </c>
      <c r="L75" s="97" t="e">
        <f>IF(VLOOKUP(A75,Aktien_im_Umlauf_splitbereinigt!A$3:AM$103,13,FALSE)&lt;&gt;"",IF(VLOOKUP(A75,Aktien_im_Umlauf_splitbereinigt!A$3:AM$103,12,FALSE)&lt;&gt;"",IF(VLOOKUP(A75,Schlußkurse!A$5:AU$105,45,FALSE)&gt;0,((VLOOKUP(A75,Aktien_im_Umlauf_splitbereinigt!A$3:AM$103,13,FALSE)-VLOOKUP(A75,Aktien_im_Umlauf_splitbereinigt!A$3:AM$103,12,FALSE))*VLOOKUP(A75,Schlußkurse!A$5:AU$105,45,FALSE))/VLOOKUP(A75,Aktien_im_Umlauf_splitbereinigt!A$3:AM$103,12,FALSE),0),0),0)</f>
        <v>#N/A</v>
      </c>
      <c r="M75" s="97" t="e">
        <f>IF(VLOOKUP(A75,Aktien_im_Umlauf_splitbereinigt!A$3:AM$103,14,FALSE)&lt;&gt;"",IF(VLOOKUP(A75,Aktien_im_Umlauf_splitbereinigt!A$3:AM$103,13,FALSE)&lt;&gt;"",IF(VLOOKUP(A75,Schlußkurse!A$5:AU$105,46,FALSE)&gt;0,((VLOOKUP(A75,Aktien_im_Umlauf_splitbereinigt!A$3:AM$103,14,FALSE)-VLOOKUP(A75,Aktien_im_Umlauf_splitbereinigt!A$3:AM$103,13,FALSE))*VLOOKUP(A75,Schlußkurse!A$5:AU$105,46,FALSE))/VLOOKUP(A75,Aktien_im_Umlauf_splitbereinigt!A$3:AM$103,13,FALSE),0),0),0)</f>
        <v>#N/A</v>
      </c>
      <c r="N75" s="13" t="e">
        <f>IF(C75&gt;0,IF(VLOOKUP(A75,Dividende_je_Aktie!A$3:AM$103,8,FALSE)&lt;&gt;"",C75+VLOOKUP(A75,Dividende_je_Aktie!A$3:AM$103,8,FALSE),C75),IF(VLOOKUP(A75,Dividende_je_Aktie!A$3:AM$103,8,FALSE)&lt;&gt;"",VLOOKUP(A75,Dividende_je_Aktie!A$3:AM$103,8,FALSE),""))</f>
        <v>#N/A</v>
      </c>
      <c r="O75" s="13" t="e">
        <f>IF(D75&gt;0,IF(VLOOKUP(A75,Dividende_je_Aktie!A$3:AM$103,9,FALSE)&lt;&gt;"",D75+VLOOKUP(A75,Dividende_je_Aktie!A$3:AM$103,9,FALSE),D75),IF(VLOOKUP(A75,Dividende_je_Aktie!A$3:AM$103,9,FALSE)&lt;&gt;"",VLOOKUP(A75,Dividende_je_Aktie!A$3:AM$103,9,FALSE),""))</f>
        <v>#N/A</v>
      </c>
      <c r="P75" s="13" t="e">
        <f>IF(E75&gt;0,IF(VLOOKUP(A75,Dividende_je_Aktie!A$3:AM$103,10,FALSE)&lt;&gt;"",E75+VLOOKUP(A75,Dividende_je_Aktie!A$3:AM$103,10,FALSE),E75),IF(VLOOKUP(A75,Dividende_je_Aktie!A$3:AM$103,10,FALSE)&lt;&gt;"",VLOOKUP(A75,Dividende_je_Aktie!A$3:AM$103,10,FALSE),""))</f>
        <v>#N/A</v>
      </c>
      <c r="Q75" s="13" t="e">
        <f>IF(F75&gt;0,IF(VLOOKUP(A75,Dividende_je_Aktie!A$3:AM$103,11,FALSE)&lt;&gt;"",F75+VLOOKUP(A75,Dividende_je_Aktie!A$3:AM$103,11,FALSE),F75),IF(VLOOKUP(A75,Dividende_je_Aktie!A$3:AM$103,11,FALSE)&lt;&gt;"",VLOOKUP(A75,Dividende_je_Aktie!A$3:AM$103,11,FALSE),""))</f>
        <v>#N/A</v>
      </c>
      <c r="R75" s="13" t="e">
        <f>IF(G75&gt;0,IF(VLOOKUP(A75,Dividende_je_Aktie!A$3:AM$103,12,FALSE)&lt;&gt;"",G75+VLOOKUP(A75,Dividende_je_Aktie!A$3:AM$103,12,FALSE),G75),IF(VLOOKUP(A75,Dividende_je_Aktie!A$3:AM$103,12,FALSE)&lt;&gt;"",VLOOKUP(A75,Dividende_je_Aktie!A$3:AM$103,12,FALSE),""))</f>
        <v>#N/A</v>
      </c>
      <c r="S75" s="13" t="e">
        <f>IF(H75&gt;0,IF(VLOOKUP(A75,Dividende_je_Aktie!A$3:AM$103,13,FALSE)&lt;&gt;"",H75+VLOOKUP(A75,Dividende_je_Aktie!A$3:AM$103,13,FALSE),H75),IF(VLOOKUP(A75,Dividende_je_Aktie!A$3:AM$103,13,FALSE)&lt;&gt;"",VLOOKUP(A75,Dividende_je_Aktie!A$3:AM$103,13,FALSE),""))</f>
        <v>#N/A</v>
      </c>
      <c r="T75" s="13" t="e">
        <f>IF(I75&gt;0,IF(VLOOKUP(A75,Dividende_je_Aktie!A$3:AM$103,14,FALSE)&lt;&gt;"",I75+VLOOKUP(A75,Dividende_je_Aktie!A$3:AM$103,14,FALSE),I75),IF(VLOOKUP(A75,Dividende_je_Aktie!A$3:AM$103,14,FALSE)&lt;&gt;"",VLOOKUP(A75,Dividende_je_Aktie!A$3:AM$103,14,FALSE),""))</f>
        <v>#N/A</v>
      </c>
      <c r="U75" s="13" t="e">
        <f>IF(J75&gt;0,IF(VLOOKUP(A75,Dividende_je_Aktie!A$3:AM$103,15,FALSE)&lt;&gt;"",J75+VLOOKUP(A75,Dividende_je_Aktie!A$3:AM$103,15,FALSE),J75),IF(VLOOKUP(A75,Dividende_je_Aktie!A$3:AM$103,15,FALSE)&lt;&gt;"",VLOOKUP(A75,Dividende_je_Aktie!A$3:AM$103,15,FALSE),""))</f>
        <v>#N/A</v>
      </c>
      <c r="V75" s="13" t="e">
        <f>IF(K75&gt;0,IF(VLOOKUP(A75,Dividende_je_Aktie!A$3:AM$103,16,FALSE)&lt;&gt;"",K75+VLOOKUP(A75,Dividende_je_Aktie!A$3:AM$103,16,FALSE),K75),IF(VLOOKUP(A75,Dividende_je_Aktie!A$3:AM$103,16,FALSE)&lt;&gt;"",VLOOKUP(A75,Dividende_je_Aktie!A$3:AM$103,16,FALSE),""))</f>
        <v>#N/A</v>
      </c>
      <c r="W75" s="13" t="e">
        <f>IF(L75&gt;0,IF(VLOOKUP(A75,Dividende_je_Aktie!A$3:AM$103,17,FALSE)&lt;&gt;"",L75+VLOOKUP(A75,Dividende_je_Aktie!A$3:AM$103,17,FALSE),L75),IF(VLOOKUP(A75,Dividende_je_Aktie!A$3:AM$103,17,FALSE)&lt;&gt;"",VLOOKUP(A75,Dividende_je_Aktie!A$3:AM$103,17,FALSE),""))</f>
        <v>#N/A</v>
      </c>
      <c r="X75" s="13" t="e">
        <f>IF(M75&gt;0,IF(VLOOKUP(A75,Dividende_je_Aktie!A$3:AM$103,18,FALSE)&lt;&gt;"",M75+VLOOKUP(A75,Dividende_je_Aktie!A$3:AM$103,18,FALSE),M75),IF(VLOOKUP(A75,Dividende_je_Aktie!A$3:AM$103,18,FALSE)&lt;&gt;"",VLOOKUP(A75,Dividende_je_Aktie!A$3:AM$103,18,FALSE),""))</f>
        <v>#N/A</v>
      </c>
    </row>
    <row r="76" spans="1:24">
      <c r="A76" s="52"/>
      <c r="B76" s="52"/>
      <c r="C76" s="13" t="e">
        <f>IF(VLOOKUP(A76,Aktien_im_Umlauf_splitbereinigt!A$3:AM$103,4,FALSE)&lt;&gt;"",IF(VLOOKUP(A76,Aktien_im_Umlauf_splitbereinigt!A$3:AM$103,3,FALSE)&lt;&gt;"",IF(VLOOKUP(A76,Schlußkurse!A$5:AU$105,36,FALSE)&gt;0,((VLOOKUP(A76,Aktien_im_Umlauf_splitbereinigt!A$3:AM$103,4,FALSE)-VLOOKUP(A76,Aktien_im_Umlauf_splitbereinigt!A$3:AM$103,3,FALSE))*VLOOKUP(A76,Schlußkurse!A$5:AU$105,36,FALSE))/VLOOKUP(A76,Aktien_im_Umlauf_splitbereinigt!A$3:AM$103,3,FALSE),0),0),0)</f>
        <v>#N/A</v>
      </c>
      <c r="D76" s="97" t="e">
        <f>IF(VLOOKUP(A76,Aktien_im_Umlauf_splitbereinigt!A$3:AM$103,5,FALSE)&lt;&gt;"",IF(VLOOKUP(A76,Aktien_im_Umlauf_splitbereinigt!A$3:AM$103,4,FALSE)&lt;&gt;"",IF(VLOOKUP(A76,Schlußkurse!A$5:AU$105,37,FALSE)&gt;0,((VLOOKUP(A76,Aktien_im_Umlauf_splitbereinigt!A$3:AM$103,5,FALSE)-VLOOKUP(A76,Aktien_im_Umlauf_splitbereinigt!A$3:AM$103,4,FALSE))*VLOOKUP(A76,Schlußkurse!A$5:AU$105,37,FALSE))/VLOOKUP(A76,Aktien_im_Umlauf_splitbereinigt!A$3:AM$103,4,FALSE),0),0),0)</f>
        <v>#N/A</v>
      </c>
      <c r="E76" s="97" t="e">
        <f>IF(VLOOKUP(A76,Aktien_im_Umlauf_splitbereinigt!A$3:AM$103,6,FALSE)&lt;&gt;"",IF(VLOOKUP(A76,Aktien_im_Umlauf_splitbereinigt!A$3:AM$103,5,FALSE)&lt;&gt;"",IF(VLOOKUP(A76,Schlußkurse!A$5:AU$105,38,FALSE)&gt;0,((VLOOKUP(A76,Aktien_im_Umlauf_splitbereinigt!A$3:AM$103,6,FALSE)-VLOOKUP(A76,Aktien_im_Umlauf_splitbereinigt!A$3:AM$103,5,FALSE))*VLOOKUP(A76,Schlußkurse!A$5:AU$105,38,FALSE))/VLOOKUP(A76,Aktien_im_Umlauf_splitbereinigt!A$3:AM$103,5,FALSE),0),0),0)</f>
        <v>#N/A</v>
      </c>
      <c r="F76" s="97" t="e">
        <f>IF(VLOOKUP(A76,Aktien_im_Umlauf_splitbereinigt!A$3:AM$103,7,FALSE)&lt;&gt;"",IF(VLOOKUP(A76,Aktien_im_Umlauf_splitbereinigt!A$3:AM$103,6,FALSE)&lt;&gt;"",IF(VLOOKUP(A76,Schlußkurse!A$5:AU$105,39,FALSE)&gt;0,((VLOOKUP(A76,Aktien_im_Umlauf_splitbereinigt!A$3:AM$103,7,FALSE)-VLOOKUP(A76,Aktien_im_Umlauf_splitbereinigt!A$3:AM$103,6,FALSE))*VLOOKUP(A76,Schlußkurse!A$5:AU$105,39,FALSE))/VLOOKUP(A76,Aktien_im_Umlauf_splitbereinigt!A$3:AM$103,6,FALSE),0),0),0)</f>
        <v>#N/A</v>
      </c>
      <c r="G76" s="97" t="e">
        <f>IF(VLOOKUP(A76,Aktien_im_Umlauf_splitbereinigt!A$3:AM$103,8,FALSE)&lt;&gt;"",IF(VLOOKUP(A76,Aktien_im_Umlauf_splitbereinigt!A$3:AM$103,7,FALSE)&lt;&gt;"",IF(VLOOKUP(A76,Schlußkurse!A$5:AU$105,40,FALSE)&gt;0,((VLOOKUP(A76,Aktien_im_Umlauf_splitbereinigt!A$3:AM$103,8,FALSE)-VLOOKUP(A76,Aktien_im_Umlauf_splitbereinigt!A$3:AM$103,7,FALSE))*VLOOKUP(A76,Schlußkurse!A$5:AU$105,40,FALSE))/VLOOKUP(A76,Aktien_im_Umlauf_splitbereinigt!A$3:AM$103,7,FALSE),0),0),0)</f>
        <v>#N/A</v>
      </c>
      <c r="H76" s="97" t="e">
        <f>IF(VLOOKUP(A76,Aktien_im_Umlauf_splitbereinigt!A$3:AM$103,9,FALSE)&lt;&gt;"",IF(VLOOKUP(A76,Aktien_im_Umlauf_splitbereinigt!A$3:AM$103,8,FALSE)&lt;&gt;"",IF(VLOOKUP(A76,Schlußkurse!A$5:AU$105,41,FALSE)&gt;0,((VLOOKUP(A76,Aktien_im_Umlauf_splitbereinigt!A$3:AM$103,9,FALSE)-VLOOKUP(A76,Aktien_im_Umlauf_splitbereinigt!A$3:AM$103,8,FALSE))*VLOOKUP(A76,Schlußkurse!A$5:AU$105,41,FALSE))/VLOOKUP(A76,Aktien_im_Umlauf_splitbereinigt!A$3:AM$103,8,FALSE),0),0),0)</f>
        <v>#N/A</v>
      </c>
      <c r="I76" s="97" t="e">
        <f>IF(VLOOKUP(A76,Aktien_im_Umlauf_splitbereinigt!A$3:AM$103,10,FALSE)&lt;&gt;"",IF(VLOOKUP(A76,Aktien_im_Umlauf_splitbereinigt!A$3:AM$103,9,FALSE)&lt;&gt;"",IF(VLOOKUP(A76,Schlußkurse!A$5:AU$105,42,FALSE)&gt;0,((VLOOKUP(A76,Aktien_im_Umlauf_splitbereinigt!A$3:AM$103,10,FALSE)-VLOOKUP(A76,Aktien_im_Umlauf_splitbereinigt!A$3:AM$103,9,FALSE))*VLOOKUP(A76,Schlußkurse!A$5:AU$105,42,FALSE))/VLOOKUP(A76,Aktien_im_Umlauf_splitbereinigt!A$3:AM$103,9,FALSE),0),0),0)</f>
        <v>#N/A</v>
      </c>
      <c r="J76" s="97" t="e">
        <f>IF(VLOOKUP(A76,Aktien_im_Umlauf_splitbereinigt!A$3:AM$103,11,FALSE)&lt;&gt;"",IF(VLOOKUP(A76,Aktien_im_Umlauf_splitbereinigt!A$3:AM$103,10,FALSE)&lt;&gt;"",IF(VLOOKUP(A76,Schlußkurse!A$5:AU$105,43,FALSE)&gt;0,((VLOOKUP(A76,Aktien_im_Umlauf_splitbereinigt!A$3:AM$103,11,FALSE)-VLOOKUP(A76,Aktien_im_Umlauf_splitbereinigt!A$3:AM$103,10,FALSE))*VLOOKUP(A76,Schlußkurse!A$5:AU$105,43,FALSE))/VLOOKUP(A76,Aktien_im_Umlauf_splitbereinigt!A$3:AM$103,10,FALSE),0),0),0)</f>
        <v>#N/A</v>
      </c>
      <c r="K76" s="97" t="e">
        <f>IF(VLOOKUP(A76,Aktien_im_Umlauf_splitbereinigt!A$3:AM$103,12,FALSE)&lt;&gt;"",IF(VLOOKUP(A76,Aktien_im_Umlauf_splitbereinigt!A$3:AM$103,11,FALSE)&lt;&gt;"",IF(VLOOKUP(A76,Schlußkurse!A$5:AU$105,44,FALSE)&gt;0,((VLOOKUP(A76,Aktien_im_Umlauf_splitbereinigt!A$3:AM$103,12,FALSE)-VLOOKUP(A76,Aktien_im_Umlauf_splitbereinigt!A$3:AM$103,11,FALSE))*VLOOKUP(A76,Schlußkurse!A$5:AU$105,44,FALSE))/VLOOKUP(A76,Aktien_im_Umlauf_splitbereinigt!A$3:AM$103,11,FALSE),0),0),0)</f>
        <v>#N/A</v>
      </c>
      <c r="L76" s="97" t="e">
        <f>IF(VLOOKUP(A76,Aktien_im_Umlauf_splitbereinigt!A$3:AM$103,13,FALSE)&lt;&gt;"",IF(VLOOKUP(A76,Aktien_im_Umlauf_splitbereinigt!A$3:AM$103,12,FALSE)&lt;&gt;"",IF(VLOOKUP(A76,Schlußkurse!A$5:AU$105,45,FALSE)&gt;0,((VLOOKUP(A76,Aktien_im_Umlauf_splitbereinigt!A$3:AM$103,13,FALSE)-VLOOKUP(A76,Aktien_im_Umlauf_splitbereinigt!A$3:AM$103,12,FALSE))*VLOOKUP(A76,Schlußkurse!A$5:AU$105,45,FALSE))/VLOOKUP(A76,Aktien_im_Umlauf_splitbereinigt!A$3:AM$103,12,FALSE),0),0),0)</f>
        <v>#N/A</v>
      </c>
      <c r="M76" s="97" t="e">
        <f>IF(VLOOKUP(A76,Aktien_im_Umlauf_splitbereinigt!A$3:AM$103,14,FALSE)&lt;&gt;"",IF(VLOOKUP(A76,Aktien_im_Umlauf_splitbereinigt!A$3:AM$103,13,FALSE)&lt;&gt;"",IF(VLOOKUP(A76,Schlußkurse!A$5:AU$105,46,FALSE)&gt;0,((VLOOKUP(A76,Aktien_im_Umlauf_splitbereinigt!A$3:AM$103,14,FALSE)-VLOOKUP(A76,Aktien_im_Umlauf_splitbereinigt!A$3:AM$103,13,FALSE))*VLOOKUP(A76,Schlußkurse!A$5:AU$105,46,FALSE))/VLOOKUP(A76,Aktien_im_Umlauf_splitbereinigt!A$3:AM$103,13,FALSE),0),0),0)</f>
        <v>#N/A</v>
      </c>
      <c r="N76" s="13" t="e">
        <f>IF(C76&gt;0,IF(VLOOKUP(A76,Dividende_je_Aktie!A$3:AM$103,8,FALSE)&lt;&gt;"",C76+VLOOKUP(A76,Dividende_je_Aktie!A$3:AM$103,8,FALSE),C76),IF(VLOOKUP(A76,Dividende_je_Aktie!A$3:AM$103,8,FALSE)&lt;&gt;"",VLOOKUP(A76,Dividende_je_Aktie!A$3:AM$103,8,FALSE),""))</f>
        <v>#N/A</v>
      </c>
      <c r="O76" s="13" t="e">
        <f>IF(D76&gt;0,IF(VLOOKUP(A76,Dividende_je_Aktie!A$3:AM$103,9,FALSE)&lt;&gt;"",D76+VLOOKUP(A76,Dividende_je_Aktie!A$3:AM$103,9,FALSE),D76),IF(VLOOKUP(A76,Dividende_je_Aktie!A$3:AM$103,9,FALSE)&lt;&gt;"",VLOOKUP(A76,Dividende_je_Aktie!A$3:AM$103,9,FALSE),""))</f>
        <v>#N/A</v>
      </c>
      <c r="P76" s="13" t="e">
        <f>IF(E76&gt;0,IF(VLOOKUP(A76,Dividende_je_Aktie!A$3:AM$103,10,FALSE)&lt;&gt;"",E76+VLOOKUP(A76,Dividende_je_Aktie!A$3:AM$103,10,FALSE),E76),IF(VLOOKUP(A76,Dividende_je_Aktie!A$3:AM$103,10,FALSE)&lt;&gt;"",VLOOKUP(A76,Dividende_je_Aktie!A$3:AM$103,10,FALSE),""))</f>
        <v>#N/A</v>
      </c>
      <c r="Q76" s="13" t="e">
        <f>IF(F76&gt;0,IF(VLOOKUP(A76,Dividende_je_Aktie!A$3:AM$103,11,FALSE)&lt;&gt;"",F76+VLOOKUP(A76,Dividende_je_Aktie!A$3:AM$103,11,FALSE),F76),IF(VLOOKUP(A76,Dividende_je_Aktie!A$3:AM$103,11,FALSE)&lt;&gt;"",VLOOKUP(A76,Dividende_je_Aktie!A$3:AM$103,11,FALSE),""))</f>
        <v>#N/A</v>
      </c>
      <c r="R76" s="13" t="e">
        <f>IF(G76&gt;0,IF(VLOOKUP(A76,Dividende_je_Aktie!A$3:AM$103,12,FALSE)&lt;&gt;"",G76+VLOOKUP(A76,Dividende_je_Aktie!A$3:AM$103,12,FALSE),G76),IF(VLOOKUP(A76,Dividende_je_Aktie!A$3:AM$103,12,FALSE)&lt;&gt;"",VLOOKUP(A76,Dividende_je_Aktie!A$3:AM$103,12,FALSE),""))</f>
        <v>#N/A</v>
      </c>
      <c r="S76" s="13" t="e">
        <f>IF(H76&gt;0,IF(VLOOKUP(A76,Dividende_je_Aktie!A$3:AM$103,13,FALSE)&lt;&gt;"",H76+VLOOKUP(A76,Dividende_je_Aktie!A$3:AM$103,13,FALSE),H76),IF(VLOOKUP(A76,Dividende_je_Aktie!A$3:AM$103,13,FALSE)&lt;&gt;"",VLOOKUP(A76,Dividende_je_Aktie!A$3:AM$103,13,FALSE),""))</f>
        <v>#N/A</v>
      </c>
      <c r="T76" s="13" t="e">
        <f>IF(I76&gt;0,IF(VLOOKUP(A76,Dividende_je_Aktie!A$3:AM$103,14,FALSE)&lt;&gt;"",I76+VLOOKUP(A76,Dividende_je_Aktie!A$3:AM$103,14,FALSE),I76),IF(VLOOKUP(A76,Dividende_je_Aktie!A$3:AM$103,14,FALSE)&lt;&gt;"",VLOOKUP(A76,Dividende_je_Aktie!A$3:AM$103,14,FALSE),""))</f>
        <v>#N/A</v>
      </c>
      <c r="U76" s="13" t="e">
        <f>IF(J76&gt;0,IF(VLOOKUP(A76,Dividende_je_Aktie!A$3:AM$103,15,FALSE)&lt;&gt;"",J76+VLOOKUP(A76,Dividende_je_Aktie!A$3:AM$103,15,FALSE),J76),IF(VLOOKUP(A76,Dividende_je_Aktie!A$3:AM$103,15,FALSE)&lt;&gt;"",VLOOKUP(A76,Dividende_je_Aktie!A$3:AM$103,15,FALSE),""))</f>
        <v>#N/A</v>
      </c>
      <c r="V76" s="13" t="e">
        <f>IF(K76&gt;0,IF(VLOOKUP(A76,Dividende_je_Aktie!A$3:AM$103,16,FALSE)&lt;&gt;"",K76+VLOOKUP(A76,Dividende_je_Aktie!A$3:AM$103,16,FALSE),K76),IF(VLOOKUP(A76,Dividende_je_Aktie!A$3:AM$103,16,FALSE)&lt;&gt;"",VLOOKUP(A76,Dividende_je_Aktie!A$3:AM$103,16,FALSE),""))</f>
        <v>#N/A</v>
      </c>
      <c r="W76" s="13" t="e">
        <f>IF(L76&gt;0,IF(VLOOKUP(A76,Dividende_je_Aktie!A$3:AM$103,17,FALSE)&lt;&gt;"",L76+VLOOKUP(A76,Dividende_je_Aktie!A$3:AM$103,17,FALSE),L76),IF(VLOOKUP(A76,Dividende_je_Aktie!A$3:AM$103,17,FALSE)&lt;&gt;"",VLOOKUP(A76,Dividende_je_Aktie!A$3:AM$103,17,FALSE),""))</f>
        <v>#N/A</v>
      </c>
      <c r="X76" s="13" t="e">
        <f>IF(M76&gt;0,IF(VLOOKUP(A76,Dividende_je_Aktie!A$3:AM$103,18,FALSE)&lt;&gt;"",M76+VLOOKUP(A76,Dividende_je_Aktie!A$3:AM$103,18,FALSE),M76),IF(VLOOKUP(A76,Dividende_je_Aktie!A$3:AM$103,18,FALSE)&lt;&gt;"",VLOOKUP(A76,Dividende_je_Aktie!A$3:AM$103,18,FALSE),""))</f>
        <v>#N/A</v>
      </c>
    </row>
    <row r="77" spans="1:24">
      <c r="A77" s="52"/>
      <c r="B77" s="52"/>
      <c r="C77" s="13" t="e">
        <f>IF(VLOOKUP(A77,Aktien_im_Umlauf_splitbereinigt!A$3:AM$103,4,FALSE)&lt;&gt;"",IF(VLOOKUP(A77,Aktien_im_Umlauf_splitbereinigt!A$3:AM$103,3,FALSE)&lt;&gt;"",IF(VLOOKUP(A77,Schlußkurse!A$5:AU$105,36,FALSE)&gt;0,((VLOOKUP(A77,Aktien_im_Umlauf_splitbereinigt!A$3:AM$103,4,FALSE)-VLOOKUP(A77,Aktien_im_Umlauf_splitbereinigt!A$3:AM$103,3,FALSE))*VLOOKUP(A77,Schlußkurse!A$5:AU$105,36,FALSE))/VLOOKUP(A77,Aktien_im_Umlauf_splitbereinigt!A$3:AM$103,3,FALSE),0),0),0)</f>
        <v>#N/A</v>
      </c>
      <c r="D77" s="97" t="e">
        <f>IF(VLOOKUP(A77,Aktien_im_Umlauf_splitbereinigt!A$3:AM$103,5,FALSE)&lt;&gt;"",IF(VLOOKUP(A77,Aktien_im_Umlauf_splitbereinigt!A$3:AM$103,4,FALSE)&lt;&gt;"",IF(VLOOKUP(A77,Schlußkurse!A$5:AU$105,37,FALSE)&gt;0,((VLOOKUP(A77,Aktien_im_Umlauf_splitbereinigt!A$3:AM$103,5,FALSE)-VLOOKUP(A77,Aktien_im_Umlauf_splitbereinigt!A$3:AM$103,4,FALSE))*VLOOKUP(A77,Schlußkurse!A$5:AU$105,37,FALSE))/VLOOKUP(A77,Aktien_im_Umlauf_splitbereinigt!A$3:AM$103,4,FALSE),0),0),0)</f>
        <v>#N/A</v>
      </c>
      <c r="E77" s="97" t="e">
        <f>IF(VLOOKUP(A77,Aktien_im_Umlauf_splitbereinigt!A$3:AM$103,6,FALSE)&lt;&gt;"",IF(VLOOKUP(A77,Aktien_im_Umlauf_splitbereinigt!A$3:AM$103,5,FALSE)&lt;&gt;"",IF(VLOOKUP(A77,Schlußkurse!A$5:AU$105,38,FALSE)&gt;0,((VLOOKUP(A77,Aktien_im_Umlauf_splitbereinigt!A$3:AM$103,6,FALSE)-VLOOKUP(A77,Aktien_im_Umlauf_splitbereinigt!A$3:AM$103,5,FALSE))*VLOOKUP(A77,Schlußkurse!A$5:AU$105,38,FALSE))/VLOOKUP(A77,Aktien_im_Umlauf_splitbereinigt!A$3:AM$103,5,FALSE),0),0),0)</f>
        <v>#N/A</v>
      </c>
      <c r="F77" s="97" t="e">
        <f>IF(VLOOKUP(A77,Aktien_im_Umlauf_splitbereinigt!A$3:AM$103,7,FALSE)&lt;&gt;"",IF(VLOOKUP(A77,Aktien_im_Umlauf_splitbereinigt!A$3:AM$103,6,FALSE)&lt;&gt;"",IF(VLOOKUP(A77,Schlußkurse!A$5:AU$105,39,FALSE)&gt;0,((VLOOKUP(A77,Aktien_im_Umlauf_splitbereinigt!A$3:AM$103,7,FALSE)-VLOOKUP(A77,Aktien_im_Umlauf_splitbereinigt!A$3:AM$103,6,FALSE))*VLOOKUP(A77,Schlußkurse!A$5:AU$105,39,FALSE))/VLOOKUP(A77,Aktien_im_Umlauf_splitbereinigt!A$3:AM$103,6,FALSE),0),0),0)</f>
        <v>#N/A</v>
      </c>
      <c r="G77" s="97" t="e">
        <f>IF(VLOOKUP(A77,Aktien_im_Umlauf_splitbereinigt!A$3:AM$103,8,FALSE)&lt;&gt;"",IF(VLOOKUP(A77,Aktien_im_Umlauf_splitbereinigt!A$3:AM$103,7,FALSE)&lt;&gt;"",IF(VLOOKUP(A77,Schlußkurse!A$5:AU$105,40,FALSE)&gt;0,((VLOOKUP(A77,Aktien_im_Umlauf_splitbereinigt!A$3:AM$103,8,FALSE)-VLOOKUP(A77,Aktien_im_Umlauf_splitbereinigt!A$3:AM$103,7,FALSE))*VLOOKUP(A77,Schlußkurse!A$5:AU$105,40,FALSE))/VLOOKUP(A77,Aktien_im_Umlauf_splitbereinigt!A$3:AM$103,7,FALSE),0),0),0)</f>
        <v>#N/A</v>
      </c>
      <c r="H77" s="97" t="e">
        <f>IF(VLOOKUP(A77,Aktien_im_Umlauf_splitbereinigt!A$3:AM$103,9,FALSE)&lt;&gt;"",IF(VLOOKUP(A77,Aktien_im_Umlauf_splitbereinigt!A$3:AM$103,8,FALSE)&lt;&gt;"",IF(VLOOKUP(A77,Schlußkurse!A$5:AU$105,41,FALSE)&gt;0,((VLOOKUP(A77,Aktien_im_Umlauf_splitbereinigt!A$3:AM$103,9,FALSE)-VLOOKUP(A77,Aktien_im_Umlauf_splitbereinigt!A$3:AM$103,8,FALSE))*VLOOKUP(A77,Schlußkurse!A$5:AU$105,41,FALSE))/VLOOKUP(A77,Aktien_im_Umlauf_splitbereinigt!A$3:AM$103,8,FALSE),0),0),0)</f>
        <v>#N/A</v>
      </c>
      <c r="I77" s="97" t="e">
        <f>IF(VLOOKUP(A77,Aktien_im_Umlauf_splitbereinigt!A$3:AM$103,10,FALSE)&lt;&gt;"",IF(VLOOKUP(A77,Aktien_im_Umlauf_splitbereinigt!A$3:AM$103,9,FALSE)&lt;&gt;"",IF(VLOOKUP(A77,Schlußkurse!A$5:AU$105,42,FALSE)&gt;0,((VLOOKUP(A77,Aktien_im_Umlauf_splitbereinigt!A$3:AM$103,10,FALSE)-VLOOKUP(A77,Aktien_im_Umlauf_splitbereinigt!A$3:AM$103,9,FALSE))*VLOOKUP(A77,Schlußkurse!A$5:AU$105,42,FALSE))/VLOOKUP(A77,Aktien_im_Umlauf_splitbereinigt!A$3:AM$103,9,FALSE),0),0),0)</f>
        <v>#N/A</v>
      </c>
      <c r="J77" s="97" t="e">
        <f>IF(VLOOKUP(A77,Aktien_im_Umlauf_splitbereinigt!A$3:AM$103,11,FALSE)&lt;&gt;"",IF(VLOOKUP(A77,Aktien_im_Umlauf_splitbereinigt!A$3:AM$103,10,FALSE)&lt;&gt;"",IF(VLOOKUP(A77,Schlußkurse!A$5:AU$105,43,FALSE)&gt;0,((VLOOKUP(A77,Aktien_im_Umlauf_splitbereinigt!A$3:AM$103,11,FALSE)-VLOOKUP(A77,Aktien_im_Umlauf_splitbereinigt!A$3:AM$103,10,FALSE))*VLOOKUP(A77,Schlußkurse!A$5:AU$105,43,FALSE))/VLOOKUP(A77,Aktien_im_Umlauf_splitbereinigt!A$3:AM$103,10,FALSE),0),0),0)</f>
        <v>#N/A</v>
      </c>
      <c r="K77" s="97" t="e">
        <f>IF(VLOOKUP(A77,Aktien_im_Umlauf_splitbereinigt!A$3:AM$103,12,FALSE)&lt;&gt;"",IF(VLOOKUP(A77,Aktien_im_Umlauf_splitbereinigt!A$3:AM$103,11,FALSE)&lt;&gt;"",IF(VLOOKUP(A77,Schlußkurse!A$5:AU$105,44,FALSE)&gt;0,((VLOOKUP(A77,Aktien_im_Umlauf_splitbereinigt!A$3:AM$103,12,FALSE)-VLOOKUP(A77,Aktien_im_Umlauf_splitbereinigt!A$3:AM$103,11,FALSE))*VLOOKUP(A77,Schlußkurse!A$5:AU$105,44,FALSE))/VLOOKUP(A77,Aktien_im_Umlauf_splitbereinigt!A$3:AM$103,11,FALSE),0),0),0)</f>
        <v>#N/A</v>
      </c>
      <c r="L77" s="97" t="e">
        <f>IF(VLOOKUP(A77,Aktien_im_Umlauf_splitbereinigt!A$3:AM$103,13,FALSE)&lt;&gt;"",IF(VLOOKUP(A77,Aktien_im_Umlauf_splitbereinigt!A$3:AM$103,12,FALSE)&lt;&gt;"",IF(VLOOKUP(A77,Schlußkurse!A$5:AU$105,45,FALSE)&gt;0,((VLOOKUP(A77,Aktien_im_Umlauf_splitbereinigt!A$3:AM$103,13,FALSE)-VLOOKUP(A77,Aktien_im_Umlauf_splitbereinigt!A$3:AM$103,12,FALSE))*VLOOKUP(A77,Schlußkurse!A$5:AU$105,45,FALSE))/VLOOKUP(A77,Aktien_im_Umlauf_splitbereinigt!A$3:AM$103,12,FALSE),0),0),0)</f>
        <v>#N/A</v>
      </c>
      <c r="M77" s="97" t="e">
        <f>IF(VLOOKUP(A77,Aktien_im_Umlauf_splitbereinigt!A$3:AM$103,14,FALSE)&lt;&gt;"",IF(VLOOKUP(A77,Aktien_im_Umlauf_splitbereinigt!A$3:AM$103,13,FALSE)&lt;&gt;"",IF(VLOOKUP(A77,Schlußkurse!A$5:AU$105,46,FALSE)&gt;0,((VLOOKUP(A77,Aktien_im_Umlauf_splitbereinigt!A$3:AM$103,14,FALSE)-VLOOKUP(A77,Aktien_im_Umlauf_splitbereinigt!A$3:AM$103,13,FALSE))*VLOOKUP(A77,Schlußkurse!A$5:AU$105,46,FALSE))/VLOOKUP(A77,Aktien_im_Umlauf_splitbereinigt!A$3:AM$103,13,FALSE),0),0),0)</f>
        <v>#N/A</v>
      </c>
      <c r="N77" s="13" t="e">
        <f>IF(C77&gt;0,IF(VLOOKUP(A77,Dividende_je_Aktie!A$3:AM$103,8,FALSE)&lt;&gt;"",C77+VLOOKUP(A77,Dividende_je_Aktie!A$3:AM$103,8,FALSE),C77),IF(VLOOKUP(A77,Dividende_je_Aktie!A$3:AM$103,8,FALSE)&lt;&gt;"",VLOOKUP(A77,Dividende_je_Aktie!A$3:AM$103,8,FALSE),""))</f>
        <v>#N/A</v>
      </c>
      <c r="O77" s="13" t="e">
        <f>IF(D77&gt;0,IF(VLOOKUP(A77,Dividende_je_Aktie!A$3:AM$103,9,FALSE)&lt;&gt;"",D77+VLOOKUP(A77,Dividende_je_Aktie!A$3:AM$103,9,FALSE),D77),IF(VLOOKUP(A77,Dividende_je_Aktie!A$3:AM$103,9,FALSE)&lt;&gt;"",VLOOKUP(A77,Dividende_je_Aktie!A$3:AM$103,9,FALSE),""))</f>
        <v>#N/A</v>
      </c>
      <c r="P77" s="13" t="e">
        <f>IF(E77&gt;0,IF(VLOOKUP(A77,Dividende_je_Aktie!A$3:AM$103,10,FALSE)&lt;&gt;"",E77+VLOOKUP(A77,Dividende_je_Aktie!A$3:AM$103,10,FALSE),E77),IF(VLOOKUP(A77,Dividende_je_Aktie!A$3:AM$103,10,FALSE)&lt;&gt;"",VLOOKUP(A77,Dividende_je_Aktie!A$3:AM$103,10,FALSE),""))</f>
        <v>#N/A</v>
      </c>
      <c r="Q77" s="13" t="e">
        <f>IF(F77&gt;0,IF(VLOOKUP(A77,Dividende_je_Aktie!A$3:AM$103,11,FALSE)&lt;&gt;"",F77+VLOOKUP(A77,Dividende_je_Aktie!A$3:AM$103,11,FALSE),F77),IF(VLOOKUP(A77,Dividende_je_Aktie!A$3:AM$103,11,FALSE)&lt;&gt;"",VLOOKUP(A77,Dividende_je_Aktie!A$3:AM$103,11,FALSE),""))</f>
        <v>#N/A</v>
      </c>
      <c r="R77" s="13" t="e">
        <f>IF(G77&gt;0,IF(VLOOKUP(A77,Dividende_je_Aktie!A$3:AM$103,12,FALSE)&lt;&gt;"",G77+VLOOKUP(A77,Dividende_je_Aktie!A$3:AM$103,12,FALSE),G77),IF(VLOOKUP(A77,Dividende_je_Aktie!A$3:AM$103,12,FALSE)&lt;&gt;"",VLOOKUP(A77,Dividende_je_Aktie!A$3:AM$103,12,FALSE),""))</f>
        <v>#N/A</v>
      </c>
      <c r="S77" s="13" t="e">
        <f>IF(H77&gt;0,IF(VLOOKUP(A77,Dividende_je_Aktie!A$3:AM$103,13,FALSE)&lt;&gt;"",H77+VLOOKUP(A77,Dividende_je_Aktie!A$3:AM$103,13,FALSE),H77),IF(VLOOKUP(A77,Dividende_je_Aktie!A$3:AM$103,13,FALSE)&lt;&gt;"",VLOOKUP(A77,Dividende_je_Aktie!A$3:AM$103,13,FALSE),""))</f>
        <v>#N/A</v>
      </c>
      <c r="T77" s="13" t="e">
        <f>IF(I77&gt;0,IF(VLOOKUP(A77,Dividende_je_Aktie!A$3:AM$103,14,FALSE)&lt;&gt;"",I77+VLOOKUP(A77,Dividende_je_Aktie!A$3:AM$103,14,FALSE),I77),IF(VLOOKUP(A77,Dividende_je_Aktie!A$3:AM$103,14,FALSE)&lt;&gt;"",VLOOKUP(A77,Dividende_je_Aktie!A$3:AM$103,14,FALSE),""))</f>
        <v>#N/A</v>
      </c>
      <c r="U77" s="13" t="e">
        <f>IF(J77&gt;0,IF(VLOOKUP(A77,Dividende_je_Aktie!A$3:AM$103,15,FALSE)&lt;&gt;"",J77+VLOOKUP(A77,Dividende_je_Aktie!A$3:AM$103,15,FALSE),J77),IF(VLOOKUP(A77,Dividende_je_Aktie!A$3:AM$103,15,FALSE)&lt;&gt;"",VLOOKUP(A77,Dividende_je_Aktie!A$3:AM$103,15,FALSE),""))</f>
        <v>#N/A</v>
      </c>
      <c r="V77" s="13" t="e">
        <f>IF(K77&gt;0,IF(VLOOKUP(A77,Dividende_je_Aktie!A$3:AM$103,16,FALSE)&lt;&gt;"",K77+VLOOKUP(A77,Dividende_je_Aktie!A$3:AM$103,16,FALSE),K77),IF(VLOOKUP(A77,Dividende_je_Aktie!A$3:AM$103,16,FALSE)&lt;&gt;"",VLOOKUP(A77,Dividende_je_Aktie!A$3:AM$103,16,FALSE),""))</f>
        <v>#N/A</v>
      </c>
      <c r="W77" s="13" t="e">
        <f>IF(L77&gt;0,IF(VLOOKUP(A77,Dividende_je_Aktie!A$3:AM$103,17,FALSE)&lt;&gt;"",L77+VLOOKUP(A77,Dividende_je_Aktie!A$3:AM$103,17,FALSE),L77),IF(VLOOKUP(A77,Dividende_je_Aktie!A$3:AM$103,17,FALSE)&lt;&gt;"",VLOOKUP(A77,Dividende_je_Aktie!A$3:AM$103,17,FALSE),""))</f>
        <v>#N/A</v>
      </c>
      <c r="X77" s="13" t="e">
        <f>IF(M77&gt;0,IF(VLOOKUP(A77,Dividende_je_Aktie!A$3:AM$103,18,FALSE)&lt;&gt;"",M77+VLOOKUP(A77,Dividende_je_Aktie!A$3:AM$103,18,FALSE),M77),IF(VLOOKUP(A77,Dividende_je_Aktie!A$3:AM$103,18,FALSE)&lt;&gt;"",VLOOKUP(A77,Dividende_je_Aktie!A$3:AM$103,18,FALSE),""))</f>
        <v>#N/A</v>
      </c>
    </row>
    <row r="78" spans="1:24">
      <c r="A78" s="52"/>
      <c r="B78" s="52"/>
      <c r="C78" s="13" t="e">
        <f>IF(VLOOKUP(A78,Aktien_im_Umlauf_splitbereinigt!A$3:AM$103,4,FALSE)&lt;&gt;"",IF(VLOOKUP(A78,Aktien_im_Umlauf_splitbereinigt!A$3:AM$103,3,FALSE)&lt;&gt;"",IF(VLOOKUP(A78,Schlußkurse!A$5:AU$105,36,FALSE)&gt;0,((VLOOKUP(A78,Aktien_im_Umlauf_splitbereinigt!A$3:AM$103,4,FALSE)-VLOOKUP(A78,Aktien_im_Umlauf_splitbereinigt!A$3:AM$103,3,FALSE))*VLOOKUP(A78,Schlußkurse!A$5:AU$105,36,FALSE))/VLOOKUP(A78,Aktien_im_Umlauf_splitbereinigt!A$3:AM$103,3,FALSE),0),0),0)</f>
        <v>#N/A</v>
      </c>
      <c r="D78" s="97" t="e">
        <f>IF(VLOOKUP(A78,Aktien_im_Umlauf_splitbereinigt!A$3:AM$103,5,FALSE)&lt;&gt;"",IF(VLOOKUP(A78,Aktien_im_Umlauf_splitbereinigt!A$3:AM$103,4,FALSE)&lt;&gt;"",IF(VLOOKUP(A78,Schlußkurse!A$5:AU$105,37,FALSE)&gt;0,((VLOOKUP(A78,Aktien_im_Umlauf_splitbereinigt!A$3:AM$103,5,FALSE)-VLOOKUP(A78,Aktien_im_Umlauf_splitbereinigt!A$3:AM$103,4,FALSE))*VLOOKUP(A78,Schlußkurse!A$5:AU$105,37,FALSE))/VLOOKUP(A78,Aktien_im_Umlauf_splitbereinigt!A$3:AM$103,4,FALSE),0),0),0)</f>
        <v>#N/A</v>
      </c>
      <c r="E78" s="97" t="e">
        <f>IF(VLOOKUP(A78,Aktien_im_Umlauf_splitbereinigt!A$3:AM$103,6,FALSE)&lt;&gt;"",IF(VLOOKUP(A78,Aktien_im_Umlauf_splitbereinigt!A$3:AM$103,5,FALSE)&lt;&gt;"",IF(VLOOKUP(A78,Schlußkurse!A$5:AU$105,38,FALSE)&gt;0,((VLOOKUP(A78,Aktien_im_Umlauf_splitbereinigt!A$3:AM$103,6,FALSE)-VLOOKUP(A78,Aktien_im_Umlauf_splitbereinigt!A$3:AM$103,5,FALSE))*VLOOKUP(A78,Schlußkurse!A$5:AU$105,38,FALSE))/VLOOKUP(A78,Aktien_im_Umlauf_splitbereinigt!A$3:AM$103,5,FALSE),0),0),0)</f>
        <v>#N/A</v>
      </c>
      <c r="F78" s="97" t="e">
        <f>IF(VLOOKUP(A78,Aktien_im_Umlauf_splitbereinigt!A$3:AM$103,7,FALSE)&lt;&gt;"",IF(VLOOKUP(A78,Aktien_im_Umlauf_splitbereinigt!A$3:AM$103,6,FALSE)&lt;&gt;"",IF(VLOOKUP(A78,Schlußkurse!A$5:AU$105,39,FALSE)&gt;0,((VLOOKUP(A78,Aktien_im_Umlauf_splitbereinigt!A$3:AM$103,7,FALSE)-VLOOKUP(A78,Aktien_im_Umlauf_splitbereinigt!A$3:AM$103,6,FALSE))*VLOOKUP(A78,Schlußkurse!A$5:AU$105,39,FALSE))/VLOOKUP(A78,Aktien_im_Umlauf_splitbereinigt!A$3:AM$103,6,FALSE),0),0),0)</f>
        <v>#N/A</v>
      </c>
      <c r="G78" s="97" t="e">
        <f>IF(VLOOKUP(A78,Aktien_im_Umlauf_splitbereinigt!A$3:AM$103,8,FALSE)&lt;&gt;"",IF(VLOOKUP(A78,Aktien_im_Umlauf_splitbereinigt!A$3:AM$103,7,FALSE)&lt;&gt;"",IF(VLOOKUP(A78,Schlußkurse!A$5:AU$105,40,FALSE)&gt;0,((VLOOKUP(A78,Aktien_im_Umlauf_splitbereinigt!A$3:AM$103,8,FALSE)-VLOOKUP(A78,Aktien_im_Umlauf_splitbereinigt!A$3:AM$103,7,FALSE))*VLOOKUP(A78,Schlußkurse!A$5:AU$105,40,FALSE))/VLOOKUP(A78,Aktien_im_Umlauf_splitbereinigt!A$3:AM$103,7,FALSE),0),0),0)</f>
        <v>#N/A</v>
      </c>
      <c r="H78" s="97" t="e">
        <f>IF(VLOOKUP(A78,Aktien_im_Umlauf_splitbereinigt!A$3:AM$103,9,FALSE)&lt;&gt;"",IF(VLOOKUP(A78,Aktien_im_Umlauf_splitbereinigt!A$3:AM$103,8,FALSE)&lt;&gt;"",IF(VLOOKUP(A78,Schlußkurse!A$5:AU$105,41,FALSE)&gt;0,((VLOOKUP(A78,Aktien_im_Umlauf_splitbereinigt!A$3:AM$103,9,FALSE)-VLOOKUP(A78,Aktien_im_Umlauf_splitbereinigt!A$3:AM$103,8,FALSE))*VLOOKUP(A78,Schlußkurse!A$5:AU$105,41,FALSE))/VLOOKUP(A78,Aktien_im_Umlauf_splitbereinigt!A$3:AM$103,8,FALSE),0),0),0)</f>
        <v>#N/A</v>
      </c>
      <c r="I78" s="97" t="e">
        <f>IF(VLOOKUP(A78,Aktien_im_Umlauf_splitbereinigt!A$3:AM$103,10,FALSE)&lt;&gt;"",IF(VLOOKUP(A78,Aktien_im_Umlauf_splitbereinigt!A$3:AM$103,9,FALSE)&lt;&gt;"",IF(VLOOKUP(A78,Schlußkurse!A$5:AU$105,42,FALSE)&gt;0,((VLOOKUP(A78,Aktien_im_Umlauf_splitbereinigt!A$3:AM$103,10,FALSE)-VLOOKUP(A78,Aktien_im_Umlauf_splitbereinigt!A$3:AM$103,9,FALSE))*VLOOKUP(A78,Schlußkurse!A$5:AU$105,42,FALSE))/VLOOKUP(A78,Aktien_im_Umlauf_splitbereinigt!A$3:AM$103,9,FALSE),0),0),0)</f>
        <v>#N/A</v>
      </c>
      <c r="J78" s="97" t="e">
        <f>IF(VLOOKUP(A78,Aktien_im_Umlauf_splitbereinigt!A$3:AM$103,11,FALSE)&lt;&gt;"",IF(VLOOKUP(A78,Aktien_im_Umlauf_splitbereinigt!A$3:AM$103,10,FALSE)&lt;&gt;"",IF(VLOOKUP(A78,Schlußkurse!A$5:AU$105,43,FALSE)&gt;0,((VLOOKUP(A78,Aktien_im_Umlauf_splitbereinigt!A$3:AM$103,11,FALSE)-VLOOKUP(A78,Aktien_im_Umlauf_splitbereinigt!A$3:AM$103,10,FALSE))*VLOOKUP(A78,Schlußkurse!A$5:AU$105,43,FALSE))/VLOOKUP(A78,Aktien_im_Umlauf_splitbereinigt!A$3:AM$103,10,FALSE),0),0),0)</f>
        <v>#N/A</v>
      </c>
      <c r="K78" s="97" t="e">
        <f>IF(VLOOKUP(A78,Aktien_im_Umlauf_splitbereinigt!A$3:AM$103,12,FALSE)&lt;&gt;"",IF(VLOOKUP(A78,Aktien_im_Umlauf_splitbereinigt!A$3:AM$103,11,FALSE)&lt;&gt;"",IF(VLOOKUP(A78,Schlußkurse!A$5:AU$105,44,FALSE)&gt;0,((VLOOKUP(A78,Aktien_im_Umlauf_splitbereinigt!A$3:AM$103,12,FALSE)-VLOOKUP(A78,Aktien_im_Umlauf_splitbereinigt!A$3:AM$103,11,FALSE))*VLOOKUP(A78,Schlußkurse!A$5:AU$105,44,FALSE))/VLOOKUP(A78,Aktien_im_Umlauf_splitbereinigt!A$3:AM$103,11,FALSE),0),0),0)</f>
        <v>#N/A</v>
      </c>
      <c r="L78" s="97" t="e">
        <f>IF(VLOOKUP(A78,Aktien_im_Umlauf_splitbereinigt!A$3:AM$103,13,FALSE)&lt;&gt;"",IF(VLOOKUP(A78,Aktien_im_Umlauf_splitbereinigt!A$3:AM$103,12,FALSE)&lt;&gt;"",IF(VLOOKUP(A78,Schlußkurse!A$5:AU$105,45,FALSE)&gt;0,((VLOOKUP(A78,Aktien_im_Umlauf_splitbereinigt!A$3:AM$103,13,FALSE)-VLOOKUP(A78,Aktien_im_Umlauf_splitbereinigt!A$3:AM$103,12,FALSE))*VLOOKUP(A78,Schlußkurse!A$5:AU$105,45,FALSE))/VLOOKUP(A78,Aktien_im_Umlauf_splitbereinigt!A$3:AM$103,12,FALSE),0),0),0)</f>
        <v>#N/A</v>
      </c>
      <c r="M78" s="97" t="e">
        <f>IF(VLOOKUP(A78,Aktien_im_Umlauf_splitbereinigt!A$3:AM$103,14,FALSE)&lt;&gt;"",IF(VLOOKUP(A78,Aktien_im_Umlauf_splitbereinigt!A$3:AM$103,13,FALSE)&lt;&gt;"",IF(VLOOKUP(A78,Schlußkurse!A$5:AU$105,46,FALSE)&gt;0,((VLOOKUP(A78,Aktien_im_Umlauf_splitbereinigt!A$3:AM$103,14,FALSE)-VLOOKUP(A78,Aktien_im_Umlauf_splitbereinigt!A$3:AM$103,13,FALSE))*VLOOKUP(A78,Schlußkurse!A$5:AU$105,46,FALSE))/VLOOKUP(A78,Aktien_im_Umlauf_splitbereinigt!A$3:AM$103,13,FALSE),0),0),0)</f>
        <v>#N/A</v>
      </c>
      <c r="N78" s="13" t="e">
        <f>IF(C78&gt;0,IF(VLOOKUP(A78,Dividende_je_Aktie!A$3:AM$103,8,FALSE)&lt;&gt;"",C78+VLOOKUP(A78,Dividende_je_Aktie!A$3:AM$103,8,FALSE),C78),IF(VLOOKUP(A78,Dividende_je_Aktie!A$3:AM$103,8,FALSE)&lt;&gt;"",VLOOKUP(A78,Dividende_je_Aktie!A$3:AM$103,8,FALSE),""))</f>
        <v>#N/A</v>
      </c>
      <c r="O78" s="13" t="e">
        <f>IF(D78&gt;0,IF(VLOOKUP(A78,Dividende_je_Aktie!A$3:AM$103,9,FALSE)&lt;&gt;"",D78+VLOOKUP(A78,Dividende_je_Aktie!A$3:AM$103,9,FALSE),D78),IF(VLOOKUP(A78,Dividende_je_Aktie!A$3:AM$103,9,FALSE)&lt;&gt;"",VLOOKUP(A78,Dividende_je_Aktie!A$3:AM$103,9,FALSE),""))</f>
        <v>#N/A</v>
      </c>
      <c r="P78" s="13" t="e">
        <f>IF(E78&gt;0,IF(VLOOKUP(A78,Dividende_je_Aktie!A$3:AM$103,10,FALSE)&lt;&gt;"",E78+VLOOKUP(A78,Dividende_je_Aktie!A$3:AM$103,10,FALSE),E78),IF(VLOOKUP(A78,Dividende_je_Aktie!A$3:AM$103,10,FALSE)&lt;&gt;"",VLOOKUP(A78,Dividende_je_Aktie!A$3:AM$103,10,FALSE),""))</f>
        <v>#N/A</v>
      </c>
      <c r="Q78" s="13" t="e">
        <f>IF(F78&gt;0,IF(VLOOKUP(A78,Dividende_je_Aktie!A$3:AM$103,11,FALSE)&lt;&gt;"",F78+VLOOKUP(A78,Dividende_je_Aktie!A$3:AM$103,11,FALSE),F78),IF(VLOOKUP(A78,Dividende_je_Aktie!A$3:AM$103,11,FALSE)&lt;&gt;"",VLOOKUP(A78,Dividende_je_Aktie!A$3:AM$103,11,FALSE),""))</f>
        <v>#N/A</v>
      </c>
      <c r="R78" s="13" t="e">
        <f>IF(G78&gt;0,IF(VLOOKUP(A78,Dividende_je_Aktie!A$3:AM$103,12,FALSE)&lt;&gt;"",G78+VLOOKUP(A78,Dividende_je_Aktie!A$3:AM$103,12,FALSE),G78),IF(VLOOKUP(A78,Dividende_je_Aktie!A$3:AM$103,12,FALSE)&lt;&gt;"",VLOOKUP(A78,Dividende_je_Aktie!A$3:AM$103,12,FALSE),""))</f>
        <v>#N/A</v>
      </c>
      <c r="S78" s="13" t="e">
        <f>IF(H78&gt;0,IF(VLOOKUP(A78,Dividende_je_Aktie!A$3:AM$103,13,FALSE)&lt;&gt;"",H78+VLOOKUP(A78,Dividende_je_Aktie!A$3:AM$103,13,FALSE),H78),IF(VLOOKUP(A78,Dividende_je_Aktie!A$3:AM$103,13,FALSE)&lt;&gt;"",VLOOKUP(A78,Dividende_je_Aktie!A$3:AM$103,13,FALSE),""))</f>
        <v>#N/A</v>
      </c>
      <c r="T78" s="13" t="e">
        <f>IF(I78&gt;0,IF(VLOOKUP(A78,Dividende_je_Aktie!A$3:AM$103,14,FALSE)&lt;&gt;"",I78+VLOOKUP(A78,Dividende_je_Aktie!A$3:AM$103,14,FALSE),I78),IF(VLOOKUP(A78,Dividende_je_Aktie!A$3:AM$103,14,FALSE)&lt;&gt;"",VLOOKUP(A78,Dividende_je_Aktie!A$3:AM$103,14,FALSE),""))</f>
        <v>#N/A</v>
      </c>
      <c r="U78" s="13" t="e">
        <f>IF(J78&gt;0,IF(VLOOKUP(A78,Dividende_je_Aktie!A$3:AM$103,15,FALSE)&lt;&gt;"",J78+VLOOKUP(A78,Dividende_je_Aktie!A$3:AM$103,15,FALSE),J78),IF(VLOOKUP(A78,Dividende_je_Aktie!A$3:AM$103,15,FALSE)&lt;&gt;"",VLOOKUP(A78,Dividende_je_Aktie!A$3:AM$103,15,FALSE),""))</f>
        <v>#N/A</v>
      </c>
      <c r="V78" s="13" t="e">
        <f>IF(K78&gt;0,IF(VLOOKUP(A78,Dividende_je_Aktie!A$3:AM$103,16,FALSE)&lt;&gt;"",K78+VLOOKUP(A78,Dividende_je_Aktie!A$3:AM$103,16,FALSE),K78),IF(VLOOKUP(A78,Dividende_je_Aktie!A$3:AM$103,16,FALSE)&lt;&gt;"",VLOOKUP(A78,Dividende_je_Aktie!A$3:AM$103,16,FALSE),""))</f>
        <v>#N/A</v>
      </c>
      <c r="W78" s="13" t="e">
        <f>IF(L78&gt;0,IF(VLOOKUP(A78,Dividende_je_Aktie!A$3:AM$103,17,FALSE)&lt;&gt;"",L78+VLOOKUP(A78,Dividende_je_Aktie!A$3:AM$103,17,FALSE),L78),IF(VLOOKUP(A78,Dividende_je_Aktie!A$3:AM$103,17,FALSE)&lt;&gt;"",VLOOKUP(A78,Dividende_je_Aktie!A$3:AM$103,17,FALSE),""))</f>
        <v>#N/A</v>
      </c>
      <c r="X78" s="13" t="e">
        <f>IF(M78&gt;0,IF(VLOOKUP(A78,Dividende_je_Aktie!A$3:AM$103,18,FALSE)&lt;&gt;"",M78+VLOOKUP(A78,Dividende_je_Aktie!A$3:AM$103,18,FALSE),M78),IF(VLOOKUP(A78,Dividende_je_Aktie!A$3:AM$103,18,FALSE)&lt;&gt;"",VLOOKUP(A78,Dividende_je_Aktie!A$3:AM$103,18,FALSE),""))</f>
        <v>#N/A</v>
      </c>
    </row>
    <row r="79" spans="1:24">
      <c r="A79" s="52"/>
      <c r="B79" s="52"/>
      <c r="C79" s="13" t="e">
        <f>IF(VLOOKUP(A79,Aktien_im_Umlauf_splitbereinigt!A$3:AM$103,4,FALSE)&lt;&gt;"",IF(VLOOKUP(A79,Aktien_im_Umlauf_splitbereinigt!A$3:AM$103,3,FALSE)&lt;&gt;"",IF(VLOOKUP(A79,Schlußkurse!A$5:AU$105,36,FALSE)&gt;0,((VLOOKUP(A79,Aktien_im_Umlauf_splitbereinigt!A$3:AM$103,4,FALSE)-VLOOKUP(A79,Aktien_im_Umlauf_splitbereinigt!A$3:AM$103,3,FALSE))*VLOOKUP(A79,Schlußkurse!A$5:AU$105,36,FALSE))/VLOOKUP(A79,Aktien_im_Umlauf_splitbereinigt!A$3:AM$103,3,FALSE),0),0),0)</f>
        <v>#N/A</v>
      </c>
      <c r="D79" s="97" t="e">
        <f>IF(VLOOKUP(A79,Aktien_im_Umlauf_splitbereinigt!A$3:AM$103,5,FALSE)&lt;&gt;"",IF(VLOOKUP(A79,Aktien_im_Umlauf_splitbereinigt!A$3:AM$103,4,FALSE)&lt;&gt;"",IF(VLOOKUP(A79,Schlußkurse!A$5:AU$105,37,FALSE)&gt;0,((VLOOKUP(A79,Aktien_im_Umlauf_splitbereinigt!A$3:AM$103,5,FALSE)-VLOOKUP(A79,Aktien_im_Umlauf_splitbereinigt!A$3:AM$103,4,FALSE))*VLOOKUP(A79,Schlußkurse!A$5:AU$105,37,FALSE))/VLOOKUP(A79,Aktien_im_Umlauf_splitbereinigt!A$3:AM$103,4,FALSE),0),0),0)</f>
        <v>#N/A</v>
      </c>
      <c r="E79" s="97" t="e">
        <f>IF(VLOOKUP(A79,Aktien_im_Umlauf_splitbereinigt!A$3:AM$103,6,FALSE)&lt;&gt;"",IF(VLOOKUP(A79,Aktien_im_Umlauf_splitbereinigt!A$3:AM$103,5,FALSE)&lt;&gt;"",IF(VLOOKUP(A79,Schlußkurse!A$5:AU$105,38,FALSE)&gt;0,((VLOOKUP(A79,Aktien_im_Umlauf_splitbereinigt!A$3:AM$103,6,FALSE)-VLOOKUP(A79,Aktien_im_Umlauf_splitbereinigt!A$3:AM$103,5,FALSE))*VLOOKUP(A79,Schlußkurse!A$5:AU$105,38,FALSE))/VLOOKUP(A79,Aktien_im_Umlauf_splitbereinigt!A$3:AM$103,5,FALSE),0),0),0)</f>
        <v>#N/A</v>
      </c>
      <c r="F79" s="97" t="e">
        <f>IF(VLOOKUP(A79,Aktien_im_Umlauf_splitbereinigt!A$3:AM$103,7,FALSE)&lt;&gt;"",IF(VLOOKUP(A79,Aktien_im_Umlauf_splitbereinigt!A$3:AM$103,6,FALSE)&lt;&gt;"",IF(VLOOKUP(A79,Schlußkurse!A$5:AU$105,39,FALSE)&gt;0,((VLOOKUP(A79,Aktien_im_Umlauf_splitbereinigt!A$3:AM$103,7,FALSE)-VLOOKUP(A79,Aktien_im_Umlauf_splitbereinigt!A$3:AM$103,6,FALSE))*VLOOKUP(A79,Schlußkurse!A$5:AU$105,39,FALSE))/VLOOKUP(A79,Aktien_im_Umlauf_splitbereinigt!A$3:AM$103,6,FALSE),0),0),0)</f>
        <v>#N/A</v>
      </c>
      <c r="G79" s="97" t="e">
        <f>IF(VLOOKUP(A79,Aktien_im_Umlauf_splitbereinigt!A$3:AM$103,8,FALSE)&lt;&gt;"",IF(VLOOKUP(A79,Aktien_im_Umlauf_splitbereinigt!A$3:AM$103,7,FALSE)&lt;&gt;"",IF(VLOOKUP(A79,Schlußkurse!A$5:AU$105,40,FALSE)&gt;0,((VLOOKUP(A79,Aktien_im_Umlauf_splitbereinigt!A$3:AM$103,8,FALSE)-VLOOKUP(A79,Aktien_im_Umlauf_splitbereinigt!A$3:AM$103,7,FALSE))*VLOOKUP(A79,Schlußkurse!A$5:AU$105,40,FALSE))/VLOOKUP(A79,Aktien_im_Umlauf_splitbereinigt!A$3:AM$103,7,FALSE),0),0),0)</f>
        <v>#N/A</v>
      </c>
      <c r="H79" s="97" t="e">
        <f>IF(VLOOKUP(A79,Aktien_im_Umlauf_splitbereinigt!A$3:AM$103,9,FALSE)&lt;&gt;"",IF(VLOOKUP(A79,Aktien_im_Umlauf_splitbereinigt!A$3:AM$103,8,FALSE)&lt;&gt;"",IF(VLOOKUP(A79,Schlußkurse!A$5:AU$105,41,FALSE)&gt;0,((VLOOKUP(A79,Aktien_im_Umlauf_splitbereinigt!A$3:AM$103,9,FALSE)-VLOOKUP(A79,Aktien_im_Umlauf_splitbereinigt!A$3:AM$103,8,FALSE))*VLOOKUP(A79,Schlußkurse!A$5:AU$105,41,FALSE))/VLOOKUP(A79,Aktien_im_Umlauf_splitbereinigt!A$3:AM$103,8,FALSE),0),0),0)</f>
        <v>#N/A</v>
      </c>
      <c r="I79" s="97" t="e">
        <f>IF(VLOOKUP(A79,Aktien_im_Umlauf_splitbereinigt!A$3:AM$103,10,FALSE)&lt;&gt;"",IF(VLOOKUP(A79,Aktien_im_Umlauf_splitbereinigt!A$3:AM$103,9,FALSE)&lt;&gt;"",IF(VLOOKUP(A79,Schlußkurse!A$5:AU$105,42,FALSE)&gt;0,((VLOOKUP(A79,Aktien_im_Umlauf_splitbereinigt!A$3:AM$103,10,FALSE)-VLOOKUP(A79,Aktien_im_Umlauf_splitbereinigt!A$3:AM$103,9,FALSE))*VLOOKUP(A79,Schlußkurse!A$5:AU$105,42,FALSE))/VLOOKUP(A79,Aktien_im_Umlauf_splitbereinigt!A$3:AM$103,9,FALSE),0),0),0)</f>
        <v>#N/A</v>
      </c>
      <c r="J79" s="97" t="e">
        <f>IF(VLOOKUP(A79,Aktien_im_Umlauf_splitbereinigt!A$3:AM$103,11,FALSE)&lt;&gt;"",IF(VLOOKUP(A79,Aktien_im_Umlauf_splitbereinigt!A$3:AM$103,10,FALSE)&lt;&gt;"",IF(VLOOKUP(A79,Schlußkurse!A$5:AU$105,43,FALSE)&gt;0,((VLOOKUP(A79,Aktien_im_Umlauf_splitbereinigt!A$3:AM$103,11,FALSE)-VLOOKUP(A79,Aktien_im_Umlauf_splitbereinigt!A$3:AM$103,10,FALSE))*VLOOKUP(A79,Schlußkurse!A$5:AU$105,43,FALSE))/VLOOKUP(A79,Aktien_im_Umlauf_splitbereinigt!A$3:AM$103,10,FALSE),0),0),0)</f>
        <v>#N/A</v>
      </c>
      <c r="K79" s="97" t="e">
        <f>IF(VLOOKUP(A79,Aktien_im_Umlauf_splitbereinigt!A$3:AM$103,12,FALSE)&lt;&gt;"",IF(VLOOKUP(A79,Aktien_im_Umlauf_splitbereinigt!A$3:AM$103,11,FALSE)&lt;&gt;"",IF(VLOOKUP(A79,Schlußkurse!A$5:AU$105,44,FALSE)&gt;0,((VLOOKUP(A79,Aktien_im_Umlauf_splitbereinigt!A$3:AM$103,12,FALSE)-VLOOKUP(A79,Aktien_im_Umlauf_splitbereinigt!A$3:AM$103,11,FALSE))*VLOOKUP(A79,Schlußkurse!A$5:AU$105,44,FALSE))/VLOOKUP(A79,Aktien_im_Umlauf_splitbereinigt!A$3:AM$103,11,FALSE),0),0),0)</f>
        <v>#N/A</v>
      </c>
      <c r="L79" s="97" t="e">
        <f>IF(VLOOKUP(A79,Aktien_im_Umlauf_splitbereinigt!A$3:AM$103,13,FALSE)&lt;&gt;"",IF(VLOOKUP(A79,Aktien_im_Umlauf_splitbereinigt!A$3:AM$103,12,FALSE)&lt;&gt;"",IF(VLOOKUP(A79,Schlußkurse!A$5:AU$105,45,FALSE)&gt;0,((VLOOKUP(A79,Aktien_im_Umlauf_splitbereinigt!A$3:AM$103,13,FALSE)-VLOOKUP(A79,Aktien_im_Umlauf_splitbereinigt!A$3:AM$103,12,FALSE))*VLOOKUP(A79,Schlußkurse!A$5:AU$105,45,FALSE))/VLOOKUP(A79,Aktien_im_Umlauf_splitbereinigt!A$3:AM$103,12,FALSE),0),0),0)</f>
        <v>#N/A</v>
      </c>
      <c r="M79" s="97" t="e">
        <f>IF(VLOOKUP(A79,Aktien_im_Umlauf_splitbereinigt!A$3:AM$103,14,FALSE)&lt;&gt;"",IF(VLOOKUP(A79,Aktien_im_Umlauf_splitbereinigt!A$3:AM$103,13,FALSE)&lt;&gt;"",IF(VLOOKUP(A79,Schlußkurse!A$5:AU$105,46,FALSE)&gt;0,((VLOOKUP(A79,Aktien_im_Umlauf_splitbereinigt!A$3:AM$103,14,FALSE)-VLOOKUP(A79,Aktien_im_Umlauf_splitbereinigt!A$3:AM$103,13,FALSE))*VLOOKUP(A79,Schlußkurse!A$5:AU$105,46,FALSE))/VLOOKUP(A79,Aktien_im_Umlauf_splitbereinigt!A$3:AM$103,13,FALSE),0),0),0)</f>
        <v>#N/A</v>
      </c>
      <c r="N79" s="13" t="e">
        <f>IF(C79&gt;0,IF(VLOOKUP(A79,Dividende_je_Aktie!A$3:AM$103,8,FALSE)&lt;&gt;"",C79+VLOOKUP(A79,Dividende_je_Aktie!A$3:AM$103,8,FALSE),C79),IF(VLOOKUP(A79,Dividende_je_Aktie!A$3:AM$103,8,FALSE)&lt;&gt;"",VLOOKUP(A79,Dividende_je_Aktie!A$3:AM$103,8,FALSE),""))</f>
        <v>#N/A</v>
      </c>
      <c r="O79" s="13" t="e">
        <f>IF(D79&gt;0,IF(VLOOKUP(A79,Dividende_je_Aktie!A$3:AM$103,9,FALSE)&lt;&gt;"",D79+VLOOKUP(A79,Dividende_je_Aktie!A$3:AM$103,9,FALSE),D79),IF(VLOOKUP(A79,Dividende_je_Aktie!A$3:AM$103,9,FALSE)&lt;&gt;"",VLOOKUP(A79,Dividende_je_Aktie!A$3:AM$103,9,FALSE),""))</f>
        <v>#N/A</v>
      </c>
      <c r="P79" s="13" t="e">
        <f>IF(E79&gt;0,IF(VLOOKUP(A79,Dividende_je_Aktie!A$3:AM$103,10,FALSE)&lt;&gt;"",E79+VLOOKUP(A79,Dividende_je_Aktie!A$3:AM$103,10,FALSE),E79),IF(VLOOKUP(A79,Dividende_je_Aktie!A$3:AM$103,10,FALSE)&lt;&gt;"",VLOOKUP(A79,Dividende_je_Aktie!A$3:AM$103,10,FALSE),""))</f>
        <v>#N/A</v>
      </c>
      <c r="Q79" s="13" t="e">
        <f>IF(F79&gt;0,IF(VLOOKUP(A79,Dividende_je_Aktie!A$3:AM$103,11,FALSE)&lt;&gt;"",F79+VLOOKUP(A79,Dividende_je_Aktie!A$3:AM$103,11,FALSE),F79),IF(VLOOKUP(A79,Dividende_je_Aktie!A$3:AM$103,11,FALSE)&lt;&gt;"",VLOOKUP(A79,Dividende_je_Aktie!A$3:AM$103,11,FALSE),""))</f>
        <v>#N/A</v>
      </c>
      <c r="R79" s="13" t="e">
        <f>IF(G79&gt;0,IF(VLOOKUP(A79,Dividende_je_Aktie!A$3:AM$103,12,FALSE)&lt;&gt;"",G79+VLOOKUP(A79,Dividende_je_Aktie!A$3:AM$103,12,FALSE),G79),IF(VLOOKUP(A79,Dividende_je_Aktie!A$3:AM$103,12,FALSE)&lt;&gt;"",VLOOKUP(A79,Dividende_je_Aktie!A$3:AM$103,12,FALSE),""))</f>
        <v>#N/A</v>
      </c>
      <c r="S79" s="13" t="e">
        <f>IF(H79&gt;0,IF(VLOOKUP(A79,Dividende_je_Aktie!A$3:AM$103,13,FALSE)&lt;&gt;"",H79+VLOOKUP(A79,Dividende_je_Aktie!A$3:AM$103,13,FALSE),H79),IF(VLOOKUP(A79,Dividende_je_Aktie!A$3:AM$103,13,FALSE)&lt;&gt;"",VLOOKUP(A79,Dividende_je_Aktie!A$3:AM$103,13,FALSE),""))</f>
        <v>#N/A</v>
      </c>
      <c r="T79" s="13" t="e">
        <f>IF(I79&gt;0,IF(VLOOKUP(A79,Dividende_je_Aktie!A$3:AM$103,14,FALSE)&lt;&gt;"",I79+VLOOKUP(A79,Dividende_je_Aktie!A$3:AM$103,14,FALSE),I79),IF(VLOOKUP(A79,Dividende_je_Aktie!A$3:AM$103,14,FALSE)&lt;&gt;"",VLOOKUP(A79,Dividende_je_Aktie!A$3:AM$103,14,FALSE),""))</f>
        <v>#N/A</v>
      </c>
      <c r="U79" s="13" t="e">
        <f>IF(J79&gt;0,IF(VLOOKUP(A79,Dividende_je_Aktie!A$3:AM$103,15,FALSE)&lt;&gt;"",J79+VLOOKUP(A79,Dividende_je_Aktie!A$3:AM$103,15,FALSE),J79),IF(VLOOKUP(A79,Dividende_je_Aktie!A$3:AM$103,15,FALSE)&lt;&gt;"",VLOOKUP(A79,Dividende_je_Aktie!A$3:AM$103,15,FALSE),""))</f>
        <v>#N/A</v>
      </c>
      <c r="V79" s="13" t="e">
        <f>IF(K79&gt;0,IF(VLOOKUP(A79,Dividende_je_Aktie!A$3:AM$103,16,FALSE)&lt;&gt;"",K79+VLOOKUP(A79,Dividende_je_Aktie!A$3:AM$103,16,FALSE),K79),IF(VLOOKUP(A79,Dividende_je_Aktie!A$3:AM$103,16,FALSE)&lt;&gt;"",VLOOKUP(A79,Dividende_je_Aktie!A$3:AM$103,16,FALSE),""))</f>
        <v>#N/A</v>
      </c>
      <c r="W79" s="13" t="e">
        <f>IF(L79&gt;0,IF(VLOOKUP(A79,Dividende_je_Aktie!A$3:AM$103,17,FALSE)&lt;&gt;"",L79+VLOOKUP(A79,Dividende_je_Aktie!A$3:AM$103,17,FALSE),L79),IF(VLOOKUP(A79,Dividende_je_Aktie!A$3:AM$103,17,FALSE)&lt;&gt;"",VLOOKUP(A79,Dividende_je_Aktie!A$3:AM$103,17,FALSE),""))</f>
        <v>#N/A</v>
      </c>
      <c r="X79" s="13" t="e">
        <f>IF(M79&gt;0,IF(VLOOKUP(A79,Dividende_je_Aktie!A$3:AM$103,18,FALSE)&lt;&gt;"",M79+VLOOKUP(A79,Dividende_je_Aktie!A$3:AM$103,18,FALSE),M79),IF(VLOOKUP(A79,Dividende_je_Aktie!A$3:AM$103,18,FALSE)&lt;&gt;"",VLOOKUP(A79,Dividende_je_Aktie!A$3:AM$103,18,FALSE),""))</f>
        <v>#N/A</v>
      </c>
    </row>
    <row r="80" spans="1:24">
      <c r="A80" s="52"/>
      <c r="B80" s="52"/>
      <c r="C80" s="13" t="e">
        <f>IF(VLOOKUP(A80,Aktien_im_Umlauf_splitbereinigt!A$3:AM$103,4,FALSE)&lt;&gt;"",IF(VLOOKUP(A80,Aktien_im_Umlauf_splitbereinigt!A$3:AM$103,3,FALSE)&lt;&gt;"",IF(VLOOKUP(A80,Schlußkurse!A$5:AU$105,36,FALSE)&gt;0,((VLOOKUP(A80,Aktien_im_Umlauf_splitbereinigt!A$3:AM$103,4,FALSE)-VLOOKUP(A80,Aktien_im_Umlauf_splitbereinigt!A$3:AM$103,3,FALSE))*VLOOKUP(A80,Schlußkurse!A$5:AU$105,36,FALSE))/VLOOKUP(A80,Aktien_im_Umlauf_splitbereinigt!A$3:AM$103,3,FALSE),0),0),0)</f>
        <v>#N/A</v>
      </c>
      <c r="D80" s="97" t="e">
        <f>IF(VLOOKUP(A80,Aktien_im_Umlauf_splitbereinigt!A$3:AM$103,5,FALSE)&lt;&gt;"",IF(VLOOKUP(A80,Aktien_im_Umlauf_splitbereinigt!A$3:AM$103,4,FALSE)&lt;&gt;"",IF(VLOOKUP(A80,Schlußkurse!A$5:AU$105,37,FALSE)&gt;0,((VLOOKUP(A80,Aktien_im_Umlauf_splitbereinigt!A$3:AM$103,5,FALSE)-VLOOKUP(A80,Aktien_im_Umlauf_splitbereinigt!A$3:AM$103,4,FALSE))*VLOOKUP(A80,Schlußkurse!A$5:AU$105,37,FALSE))/VLOOKUP(A80,Aktien_im_Umlauf_splitbereinigt!A$3:AM$103,4,FALSE),0),0),0)</f>
        <v>#N/A</v>
      </c>
      <c r="E80" s="97" t="e">
        <f>IF(VLOOKUP(A80,Aktien_im_Umlauf_splitbereinigt!A$3:AM$103,6,FALSE)&lt;&gt;"",IF(VLOOKUP(A80,Aktien_im_Umlauf_splitbereinigt!A$3:AM$103,5,FALSE)&lt;&gt;"",IF(VLOOKUP(A80,Schlußkurse!A$5:AU$105,38,FALSE)&gt;0,((VLOOKUP(A80,Aktien_im_Umlauf_splitbereinigt!A$3:AM$103,6,FALSE)-VLOOKUP(A80,Aktien_im_Umlauf_splitbereinigt!A$3:AM$103,5,FALSE))*VLOOKUP(A80,Schlußkurse!A$5:AU$105,38,FALSE))/VLOOKUP(A80,Aktien_im_Umlauf_splitbereinigt!A$3:AM$103,5,FALSE),0),0),0)</f>
        <v>#N/A</v>
      </c>
      <c r="F80" s="97" t="e">
        <f>IF(VLOOKUP(A80,Aktien_im_Umlauf_splitbereinigt!A$3:AM$103,7,FALSE)&lt;&gt;"",IF(VLOOKUP(A80,Aktien_im_Umlauf_splitbereinigt!A$3:AM$103,6,FALSE)&lt;&gt;"",IF(VLOOKUP(A80,Schlußkurse!A$5:AU$105,39,FALSE)&gt;0,((VLOOKUP(A80,Aktien_im_Umlauf_splitbereinigt!A$3:AM$103,7,FALSE)-VLOOKUP(A80,Aktien_im_Umlauf_splitbereinigt!A$3:AM$103,6,FALSE))*VLOOKUP(A80,Schlußkurse!A$5:AU$105,39,FALSE))/VLOOKUP(A80,Aktien_im_Umlauf_splitbereinigt!A$3:AM$103,6,FALSE),0),0),0)</f>
        <v>#N/A</v>
      </c>
      <c r="G80" s="97" t="e">
        <f>IF(VLOOKUP(A80,Aktien_im_Umlauf_splitbereinigt!A$3:AM$103,8,FALSE)&lt;&gt;"",IF(VLOOKUP(A80,Aktien_im_Umlauf_splitbereinigt!A$3:AM$103,7,FALSE)&lt;&gt;"",IF(VLOOKUP(A80,Schlußkurse!A$5:AU$105,40,FALSE)&gt;0,((VLOOKUP(A80,Aktien_im_Umlauf_splitbereinigt!A$3:AM$103,8,FALSE)-VLOOKUP(A80,Aktien_im_Umlauf_splitbereinigt!A$3:AM$103,7,FALSE))*VLOOKUP(A80,Schlußkurse!A$5:AU$105,40,FALSE))/VLOOKUP(A80,Aktien_im_Umlauf_splitbereinigt!A$3:AM$103,7,FALSE),0),0),0)</f>
        <v>#N/A</v>
      </c>
      <c r="H80" s="97" t="e">
        <f>IF(VLOOKUP(A80,Aktien_im_Umlauf_splitbereinigt!A$3:AM$103,9,FALSE)&lt;&gt;"",IF(VLOOKUP(A80,Aktien_im_Umlauf_splitbereinigt!A$3:AM$103,8,FALSE)&lt;&gt;"",IF(VLOOKUP(A80,Schlußkurse!A$5:AU$105,41,FALSE)&gt;0,((VLOOKUP(A80,Aktien_im_Umlauf_splitbereinigt!A$3:AM$103,9,FALSE)-VLOOKUP(A80,Aktien_im_Umlauf_splitbereinigt!A$3:AM$103,8,FALSE))*VLOOKUP(A80,Schlußkurse!A$5:AU$105,41,FALSE))/VLOOKUP(A80,Aktien_im_Umlauf_splitbereinigt!A$3:AM$103,8,FALSE),0),0),0)</f>
        <v>#N/A</v>
      </c>
      <c r="I80" s="97" t="e">
        <f>IF(VLOOKUP(A80,Aktien_im_Umlauf_splitbereinigt!A$3:AM$103,10,FALSE)&lt;&gt;"",IF(VLOOKUP(A80,Aktien_im_Umlauf_splitbereinigt!A$3:AM$103,9,FALSE)&lt;&gt;"",IF(VLOOKUP(A80,Schlußkurse!A$5:AU$105,42,FALSE)&gt;0,((VLOOKUP(A80,Aktien_im_Umlauf_splitbereinigt!A$3:AM$103,10,FALSE)-VLOOKUP(A80,Aktien_im_Umlauf_splitbereinigt!A$3:AM$103,9,FALSE))*VLOOKUP(A80,Schlußkurse!A$5:AU$105,42,FALSE))/VLOOKUP(A80,Aktien_im_Umlauf_splitbereinigt!A$3:AM$103,9,FALSE),0),0),0)</f>
        <v>#N/A</v>
      </c>
      <c r="J80" s="97" t="e">
        <f>IF(VLOOKUP(A80,Aktien_im_Umlauf_splitbereinigt!A$3:AM$103,11,FALSE)&lt;&gt;"",IF(VLOOKUP(A80,Aktien_im_Umlauf_splitbereinigt!A$3:AM$103,10,FALSE)&lt;&gt;"",IF(VLOOKUP(A80,Schlußkurse!A$5:AU$105,43,FALSE)&gt;0,((VLOOKUP(A80,Aktien_im_Umlauf_splitbereinigt!A$3:AM$103,11,FALSE)-VLOOKUP(A80,Aktien_im_Umlauf_splitbereinigt!A$3:AM$103,10,FALSE))*VLOOKUP(A80,Schlußkurse!A$5:AU$105,43,FALSE))/VLOOKUP(A80,Aktien_im_Umlauf_splitbereinigt!A$3:AM$103,10,FALSE),0),0),0)</f>
        <v>#N/A</v>
      </c>
      <c r="K80" s="97" t="e">
        <f>IF(VLOOKUP(A80,Aktien_im_Umlauf_splitbereinigt!A$3:AM$103,12,FALSE)&lt;&gt;"",IF(VLOOKUP(A80,Aktien_im_Umlauf_splitbereinigt!A$3:AM$103,11,FALSE)&lt;&gt;"",IF(VLOOKUP(A80,Schlußkurse!A$5:AU$105,44,FALSE)&gt;0,((VLOOKUP(A80,Aktien_im_Umlauf_splitbereinigt!A$3:AM$103,12,FALSE)-VLOOKUP(A80,Aktien_im_Umlauf_splitbereinigt!A$3:AM$103,11,FALSE))*VLOOKUP(A80,Schlußkurse!A$5:AU$105,44,FALSE))/VLOOKUP(A80,Aktien_im_Umlauf_splitbereinigt!A$3:AM$103,11,FALSE),0),0),0)</f>
        <v>#N/A</v>
      </c>
      <c r="L80" s="97" t="e">
        <f>IF(VLOOKUP(A80,Aktien_im_Umlauf_splitbereinigt!A$3:AM$103,13,FALSE)&lt;&gt;"",IF(VLOOKUP(A80,Aktien_im_Umlauf_splitbereinigt!A$3:AM$103,12,FALSE)&lt;&gt;"",IF(VLOOKUP(A80,Schlußkurse!A$5:AU$105,45,FALSE)&gt;0,((VLOOKUP(A80,Aktien_im_Umlauf_splitbereinigt!A$3:AM$103,13,FALSE)-VLOOKUP(A80,Aktien_im_Umlauf_splitbereinigt!A$3:AM$103,12,FALSE))*VLOOKUP(A80,Schlußkurse!A$5:AU$105,45,FALSE))/VLOOKUP(A80,Aktien_im_Umlauf_splitbereinigt!A$3:AM$103,12,FALSE),0),0),0)</f>
        <v>#N/A</v>
      </c>
      <c r="M80" s="97" t="e">
        <f>IF(VLOOKUP(A80,Aktien_im_Umlauf_splitbereinigt!A$3:AM$103,14,FALSE)&lt;&gt;"",IF(VLOOKUP(A80,Aktien_im_Umlauf_splitbereinigt!A$3:AM$103,13,FALSE)&lt;&gt;"",IF(VLOOKUP(A80,Schlußkurse!A$5:AU$105,46,FALSE)&gt;0,((VLOOKUP(A80,Aktien_im_Umlauf_splitbereinigt!A$3:AM$103,14,FALSE)-VLOOKUP(A80,Aktien_im_Umlauf_splitbereinigt!A$3:AM$103,13,FALSE))*VLOOKUP(A80,Schlußkurse!A$5:AU$105,46,FALSE))/VLOOKUP(A80,Aktien_im_Umlauf_splitbereinigt!A$3:AM$103,13,FALSE),0),0),0)</f>
        <v>#N/A</v>
      </c>
      <c r="N80" s="13" t="e">
        <f>IF(C80&gt;0,IF(VLOOKUP(A80,Dividende_je_Aktie!A$3:AM$103,8,FALSE)&lt;&gt;"",C80+VLOOKUP(A80,Dividende_je_Aktie!A$3:AM$103,8,FALSE),C80),IF(VLOOKUP(A80,Dividende_je_Aktie!A$3:AM$103,8,FALSE)&lt;&gt;"",VLOOKUP(A80,Dividende_je_Aktie!A$3:AM$103,8,FALSE),""))</f>
        <v>#N/A</v>
      </c>
      <c r="O80" s="13" t="e">
        <f>IF(D80&gt;0,IF(VLOOKUP(A80,Dividende_je_Aktie!A$3:AM$103,9,FALSE)&lt;&gt;"",D80+VLOOKUP(A80,Dividende_je_Aktie!A$3:AM$103,9,FALSE),D80),IF(VLOOKUP(A80,Dividende_je_Aktie!A$3:AM$103,9,FALSE)&lt;&gt;"",VLOOKUP(A80,Dividende_je_Aktie!A$3:AM$103,9,FALSE),""))</f>
        <v>#N/A</v>
      </c>
      <c r="P80" s="13" t="e">
        <f>IF(E80&gt;0,IF(VLOOKUP(A80,Dividende_je_Aktie!A$3:AM$103,10,FALSE)&lt;&gt;"",E80+VLOOKUP(A80,Dividende_je_Aktie!A$3:AM$103,10,FALSE),E80),IF(VLOOKUP(A80,Dividende_je_Aktie!A$3:AM$103,10,FALSE)&lt;&gt;"",VLOOKUP(A80,Dividende_je_Aktie!A$3:AM$103,10,FALSE),""))</f>
        <v>#N/A</v>
      </c>
      <c r="Q80" s="13" t="e">
        <f>IF(F80&gt;0,IF(VLOOKUP(A80,Dividende_je_Aktie!A$3:AM$103,11,FALSE)&lt;&gt;"",F80+VLOOKUP(A80,Dividende_je_Aktie!A$3:AM$103,11,FALSE),F80),IF(VLOOKUP(A80,Dividende_je_Aktie!A$3:AM$103,11,FALSE)&lt;&gt;"",VLOOKUP(A80,Dividende_je_Aktie!A$3:AM$103,11,FALSE),""))</f>
        <v>#N/A</v>
      </c>
      <c r="R80" s="13" t="e">
        <f>IF(G80&gt;0,IF(VLOOKUP(A80,Dividende_je_Aktie!A$3:AM$103,12,FALSE)&lt;&gt;"",G80+VLOOKUP(A80,Dividende_je_Aktie!A$3:AM$103,12,FALSE),G80),IF(VLOOKUP(A80,Dividende_je_Aktie!A$3:AM$103,12,FALSE)&lt;&gt;"",VLOOKUP(A80,Dividende_je_Aktie!A$3:AM$103,12,FALSE),""))</f>
        <v>#N/A</v>
      </c>
      <c r="S80" s="13" t="e">
        <f>IF(H80&gt;0,IF(VLOOKUP(A80,Dividende_je_Aktie!A$3:AM$103,13,FALSE)&lt;&gt;"",H80+VLOOKUP(A80,Dividende_je_Aktie!A$3:AM$103,13,FALSE),H80),IF(VLOOKUP(A80,Dividende_je_Aktie!A$3:AM$103,13,FALSE)&lt;&gt;"",VLOOKUP(A80,Dividende_je_Aktie!A$3:AM$103,13,FALSE),""))</f>
        <v>#N/A</v>
      </c>
      <c r="T80" s="13" t="e">
        <f>IF(I80&gt;0,IF(VLOOKUP(A80,Dividende_je_Aktie!A$3:AM$103,14,FALSE)&lt;&gt;"",I80+VLOOKUP(A80,Dividende_je_Aktie!A$3:AM$103,14,FALSE),I80),IF(VLOOKUP(A80,Dividende_je_Aktie!A$3:AM$103,14,FALSE)&lt;&gt;"",VLOOKUP(A80,Dividende_je_Aktie!A$3:AM$103,14,FALSE),""))</f>
        <v>#N/A</v>
      </c>
      <c r="U80" s="13" t="e">
        <f>IF(J80&gt;0,IF(VLOOKUP(A80,Dividende_je_Aktie!A$3:AM$103,15,FALSE)&lt;&gt;"",J80+VLOOKUP(A80,Dividende_je_Aktie!A$3:AM$103,15,FALSE),J80),IF(VLOOKUP(A80,Dividende_je_Aktie!A$3:AM$103,15,FALSE)&lt;&gt;"",VLOOKUP(A80,Dividende_je_Aktie!A$3:AM$103,15,FALSE),""))</f>
        <v>#N/A</v>
      </c>
      <c r="V80" s="13" t="e">
        <f>IF(K80&gt;0,IF(VLOOKUP(A80,Dividende_je_Aktie!A$3:AM$103,16,FALSE)&lt;&gt;"",K80+VLOOKUP(A80,Dividende_je_Aktie!A$3:AM$103,16,FALSE),K80),IF(VLOOKUP(A80,Dividende_je_Aktie!A$3:AM$103,16,FALSE)&lt;&gt;"",VLOOKUP(A80,Dividende_je_Aktie!A$3:AM$103,16,FALSE),""))</f>
        <v>#N/A</v>
      </c>
      <c r="W80" s="13" t="e">
        <f>IF(L80&gt;0,IF(VLOOKUP(A80,Dividende_je_Aktie!A$3:AM$103,17,FALSE)&lt;&gt;"",L80+VLOOKUP(A80,Dividende_je_Aktie!A$3:AM$103,17,FALSE),L80),IF(VLOOKUP(A80,Dividende_je_Aktie!A$3:AM$103,17,FALSE)&lt;&gt;"",VLOOKUP(A80,Dividende_je_Aktie!A$3:AM$103,17,FALSE),""))</f>
        <v>#N/A</v>
      </c>
      <c r="X80" s="13" t="e">
        <f>IF(M80&gt;0,IF(VLOOKUP(A80,Dividende_je_Aktie!A$3:AM$103,18,FALSE)&lt;&gt;"",M80+VLOOKUP(A80,Dividende_je_Aktie!A$3:AM$103,18,FALSE),M80),IF(VLOOKUP(A80,Dividende_je_Aktie!A$3:AM$103,18,FALSE)&lt;&gt;"",VLOOKUP(A80,Dividende_je_Aktie!A$3:AM$103,18,FALSE),""))</f>
        <v>#N/A</v>
      </c>
    </row>
    <row r="81" spans="1:24">
      <c r="A81" s="52"/>
      <c r="B81" s="52"/>
      <c r="C81" s="13" t="e">
        <f>IF(VLOOKUP(A81,Aktien_im_Umlauf_splitbereinigt!A$3:AM$103,4,FALSE)&lt;&gt;"",IF(VLOOKUP(A81,Aktien_im_Umlauf_splitbereinigt!A$3:AM$103,3,FALSE)&lt;&gt;"",IF(VLOOKUP(A81,Schlußkurse!A$5:AU$105,36,FALSE)&gt;0,((VLOOKUP(A81,Aktien_im_Umlauf_splitbereinigt!A$3:AM$103,4,FALSE)-VLOOKUP(A81,Aktien_im_Umlauf_splitbereinigt!A$3:AM$103,3,FALSE))*VLOOKUP(A81,Schlußkurse!A$5:AU$105,36,FALSE))/VLOOKUP(A81,Aktien_im_Umlauf_splitbereinigt!A$3:AM$103,3,FALSE),0),0),0)</f>
        <v>#N/A</v>
      </c>
      <c r="D81" s="97" t="e">
        <f>IF(VLOOKUP(A81,Aktien_im_Umlauf_splitbereinigt!A$3:AM$103,5,FALSE)&lt;&gt;"",IF(VLOOKUP(A81,Aktien_im_Umlauf_splitbereinigt!A$3:AM$103,4,FALSE)&lt;&gt;"",IF(VLOOKUP(A81,Schlußkurse!A$5:AU$105,37,FALSE)&gt;0,((VLOOKUP(A81,Aktien_im_Umlauf_splitbereinigt!A$3:AM$103,5,FALSE)-VLOOKUP(A81,Aktien_im_Umlauf_splitbereinigt!A$3:AM$103,4,FALSE))*VLOOKUP(A81,Schlußkurse!A$5:AU$105,37,FALSE))/VLOOKUP(A81,Aktien_im_Umlauf_splitbereinigt!A$3:AM$103,4,FALSE),0),0),0)</f>
        <v>#N/A</v>
      </c>
      <c r="E81" s="97" t="e">
        <f>IF(VLOOKUP(A81,Aktien_im_Umlauf_splitbereinigt!A$3:AM$103,6,FALSE)&lt;&gt;"",IF(VLOOKUP(A81,Aktien_im_Umlauf_splitbereinigt!A$3:AM$103,5,FALSE)&lt;&gt;"",IF(VLOOKUP(A81,Schlußkurse!A$5:AU$105,38,FALSE)&gt;0,((VLOOKUP(A81,Aktien_im_Umlauf_splitbereinigt!A$3:AM$103,6,FALSE)-VLOOKUP(A81,Aktien_im_Umlauf_splitbereinigt!A$3:AM$103,5,FALSE))*VLOOKUP(A81,Schlußkurse!A$5:AU$105,38,FALSE))/VLOOKUP(A81,Aktien_im_Umlauf_splitbereinigt!A$3:AM$103,5,FALSE),0),0),0)</f>
        <v>#N/A</v>
      </c>
      <c r="F81" s="97" t="e">
        <f>IF(VLOOKUP(A81,Aktien_im_Umlauf_splitbereinigt!A$3:AM$103,7,FALSE)&lt;&gt;"",IF(VLOOKUP(A81,Aktien_im_Umlauf_splitbereinigt!A$3:AM$103,6,FALSE)&lt;&gt;"",IF(VLOOKUP(A81,Schlußkurse!A$5:AU$105,39,FALSE)&gt;0,((VLOOKUP(A81,Aktien_im_Umlauf_splitbereinigt!A$3:AM$103,7,FALSE)-VLOOKUP(A81,Aktien_im_Umlauf_splitbereinigt!A$3:AM$103,6,FALSE))*VLOOKUP(A81,Schlußkurse!A$5:AU$105,39,FALSE))/VLOOKUP(A81,Aktien_im_Umlauf_splitbereinigt!A$3:AM$103,6,FALSE),0),0),0)</f>
        <v>#N/A</v>
      </c>
      <c r="G81" s="97" t="e">
        <f>IF(VLOOKUP(A81,Aktien_im_Umlauf_splitbereinigt!A$3:AM$103,8,FALSE)&lt;&gt;"",IF(VLOOKUP(A81,Aktien_im_Umlauf_splitbereinigt!A$3:AM$103,7,FALSE)&lt;&gt;"",IF(VLOOKUP(A81,Schlußkurse!A$5:AU$105,40,FALSE)&gt;0,((VLOOKUP(A81,Aktien_im_Umlauf_splitbereinigt!A$3:AM$103,8,FALSE)-VLOOKUP(A81,Aktien_im_Umlauf_splitbereinigt!A$3:AM$103,7,FALSE))*VLOOKUP(A81,Schlußkurse!A$5:AU$105,40,FALSE))/VLOOKUP(A81,Aktien_im_Umlauf_splitbereinigt!A$3:AM$103,7,FALSE),0),0),0)</f>
        <v>#N/A</v>
      </c>
      <c r="H81" s="97" t="e">
        <f>IF(VLOOKUP(A81,Aktien_im_Umlauf_splitbereinigt!A$3:AM$103,9,FALSE)&lt;&gt;"",IF(VLOOKUP(A81,Aktien_im_Umlauf_splitbereinigt!A$3:AM$103,8,FALSE)&lt;&gt;"",IF(VLOOKUP(A81,Schlußkurse!A$5:AU$105,41,FALSE)&gt;0,((VLOOKUP(A81,Aktien_im_Umlauf_splitbereinigt!A$3:AM$103,9,FALSE)-VLOOKUP(A81,Aktien_im_Umlauf_splitbereinigt!A$3:AM$103,8,FALSE))*VLOOKUP(A81,Schlußkurse!A$5:AU$105,41,FALSE))/VLOOKUP(A81,Aktien_im_Umlauf_splitbereinigt!A$3:AM$103,8,FALSE),0),0),0)</f>
        <v>#N/A</v>
      </c>
      <c r="I81" s="97" t="e">
        <f>IF(VLOOKUP(A81,Aktien_im_Umlauf_splitbereinigt!A$3:AM$103,10,FALSE)&lt;&gt;"",IF(VLOOKUP(A81,Aktien_im_Umlauf_splitbereinigt!A$3:AM$103,9,FALSE)&lt;&gt;"",IF(VLOOKUP(A81,Schlußkurse!A$5:AU$105,42,FALSE)&gt;0,((VLOOKUP(A81,Aktien_im_Umlauf_splitbereinigt!A$3:AM$103,10,FALSE)-VLOOKUP(A81,Aktien_im_Umlauf_splitbereinigt!A$3:AM$103,9,FALSE))*VLOOKUP(A81,Schlußkurse!A$5:AU$105,42,FALSE))/VLOOKUP(A81,Aktien_im_Umlauf_splitbereinigt!A$3:AM$103,9,FALSE),0),0),0)</f>
        <v>#N/A</v>
      </c>
      <c r="J81" s="97" t="e">
        <f>IF(VLOOKUP(A81,Aktien_im_Umlauf_splitbereinigt!A$3:AM$103,11,FALSE)&lt;&gt;"",IF(VLOOKUP(A81,Aktien_im_Umlauf_splitbereinigt!A$3:AM$103,10,FALSE)&lt;&gt;"",IF(VLOOKUP(A81,Schlußkurse!A$5:AU$105,43,FALSE)&gt;0,((VLOOKUP(A81,Aktien_im_Umlauf_splitbereinigt!A$3:AM$103,11,FALSE)-VLOOKUP(A81,Aktien_im_Umlauf_splitbereinigt!A$3:AM$103,10,FALSE))*VLOOKUP(A81,Schlußkurse!A$5:AU$105,43,FALSE))/VLOOKUP(A81,Aktien_im_Umlauf_splitbereinigt!A$3:AM$103,10,FALSE),0),0),0)</f>
        <v>#N/A</v>
      </c>
      <c r="K81" s="97" t="e">
        <f>IF(VLOOKUP(A81,Aktien_im_Umlauf_splitbereinigt!A$3:AM$103,12,FALSE)&lt;&gt;"",IF(VLOOKUP(A81,Aktien_im_Umlauf_splitbereinigt!A$3:AM$103,11,FALSE)&lt;&gt;"",IF(VLOOKUP(A81,Schlußkurse!A$5:AU$105,44,FALSE)&gt;0,((VLOOKUP(A81,Aktien_im_Umlauf_splitbereinigt!A$3:AM$103,12,FALSE)-VLOOKUP(A81,Aktien_im_Umlauf_splitbereinigt!A$3:AM$103,11,FALSE))*VLOOKUP(A81,Schlußkurse!A$5:AU$105,44,FALSE))/VLOOKUP(A81,Aktien_im_Umlauf_splitbereinigt!A$3:AM$103,11,FALSE),0),0),0)</f>
        <v>#N/A</v>
      </c>
      <c r="L81" s="97" t="e">
        <f>IF(VLOOKUP(A81,Aktien_im_Umlauf_splitbereinigt!A$3:AM$103,13,FALSE)&lt;&gt;"",IF(VLOOKUP(A81,Aktien_im_Umlauf_splitbereinigt!A$3:AM$103,12,FALSE)&lt;&gt;"",IF(VLOOKUP(A81,Schlußkurse!A$5:AU$105,45,FALSE)&gt;0,((VLOOKUP(A81,Aktien_im_Umlauf_splitbereinigt!A$3:AM$103,13,FALSE)-VLOOKUP(A81,Aktien_im_Umlauf_splitbereinigt!A$3:AM$103,12,FALSE))*VLOOKUP(A81,Schlußkurse!A$5:AU$105,45,FALSE))/VLOOKUP(A81,Aktien_im_Umlauf_splitbereinigt!A$3:AM$103,12,FALSE),0),0),0)</f>
        <v>#N/A</v>
      </c>
      <c r="M81" s="97" t="e">
        <f>IF(VLOOKUP(A81,Aktien_im_Umlauf_splitbereinigt!A$3:AM$103,14,FALSE)&lt;&gt;"",IF(VLOOKUP(A81,Aktien_im_Umlauf_splitbereinigt!A$3:AM$103,13,FALSE)&lt;&gt;"",IF(VLOOKUP(A81,Schlußkurse!A$5:AU$105,46,FALSE)&gt;0,((VLOOKUP(A81,Aktien_im_Umlauf_splitbereinigt!A$3:AM$103,14,FALSE)-VLOOKUP(A81,Aktien_im_Umlauf_splitbereinigt!A$3:AM$103,13,FALSE))*VLOOKUP(A81,Schlußkurse!A$5:AU$105,46,FALSE))/VLOOKUP(A81,Aktien_im_Umlauf_splitbereinigt!A$3:AM$103,13,FALSE),0),0),0)</f>
        <v>#N/A</v>
      </c>
      <c r="N81" s="13" t="e">
        <f>IF(C81&gt;0,IF(VLOOKUP(A81,Dividende_je_Aktie!A$3:AM$103,8,FALSE)&lt;&gt;"",C81+VLOOKUP(A81,Dividende_je_Aktie!A$3:AM$103,8,FALSE),C81),IF(VLOOKUP(A81,Dividende_je_Aktie!A$3:AM$103,8,FALSE)&lt;&gt;"",VLOOKUP(A81,Dividende_je_Aktie!A$3:AM$103,8,FALSE),""))</f>
        <v>#N/A</v>
      </c>
      <c r="O81" s="13" t="e">
        <f>IF(D81&gt;0,IF(VLOOKUP(A81,Dividende_je_Aktie!A$3:AM$103,9,FALSE)&lt;&gt;"",D81+VLOOKUP(A81,Dividende_je_Aktie!A$3:AM$103,9,FALSE),D81),IF(VLOOKUP(A81,Dividende_je_Aktie!A$3:AM$103,9,FALSE)&lt;&gt;"",VLOOKUP(A81,Dividende_je_Aktie!A$3:AM$103,9,FALSE),""))</f>
        <v>#N/A</v>
      </c>
      <c r="P81" s="13" t="e">
        <f>IF(E81&gt;0,IF(VLOOKUP(A81,Dividende_je_Aktie!A$3:AM$103,10,FALSE)&lt;&gt;"",E81+VLOOKUP(A81,Dividende_je_Aktie!A$3:AM$103,10,FALSE),E81),IF(VLOOKUP(A81,Dividende_je_Aktie!A$3:AM$103,10,FALSE)&lt;&gt;"",VLOOKUP(A81,Dividende_je_Aktie!A$3:AM$103,10,FALSE),""))</f>
        <v>#N/A</v>
      </c>
      <c r="Q81" s="13" t="e">
        <f>IF(F81&gt;0,IF(VLOOKUP(A81,Dividende_je_Aktie!A$3:AM$103,11,FALSE)&lt;&gt;"",F81+VLOOKUP(A81,Dividende_je_Aktie!A$3:AM$103,11,FALSE),F81),IF(VLOOKUP(A81,Dividende_je_Aktie!A$3:AM$103,11,FALSE)&lt;&gt;"",VLOOKUP(A81,Dividende_je_Aktie!A$3:AM$103,11,FALSE),""))</f>
        <v>#N/A</v>
      </c>
      <c r="R81" s="13" t="e">
        <f>IF(G81&gt;0,IF(VLOOKUP(A81,Dividende_je_Aktie!A$3:AM$103,12,FALSE)&lt;&gt;"",G81+VLOOKUP(A81,Dividende_je_Aktie!A$3:AM$103,12,FALSE),G81),IF(VLOOKUP(A81,Dividende_je_Aktie!A$3:AM$103,12,FALSE)&lt;&gt;"",VLOOKUP(A81,Dividende_je_Aktie!A$3:AM$103,12,FALSE),""))</f>
        <v>#N/A</v>
      </c>
      <c r="S81" s="13" t="e">
        <f>IF(H81&gt;0,IF(VLOOKUP(A81,Dividende_je_Aktie!A$3:AM$103,13,FALSE)&lt;&gt;"",H81+VLOOKUP(A81,Dividende_je_Aktie!A$3:AM$103,13,FALSE),H81),IF(VLOOKUP(A81,Dividende_je_Aktie!A$3:AM$103,13,FALSE)&lt;&gt;"",VLOOKUP(A81,Dividende_je_Aktie!A$3:AM$103,13,FALSE),""))</f>
        <v>#N/A</v>
      </c>
      <c r="T81" s="13" t="e">
        <f>IF(I81&gt;0,IF(VLOOKUP(A81,Dividende_je_Aktie!A$3:AM$103,14,FALSE)&lt;&gt;"",I81+VLOOKUP(A81,Dividende_je_Aktie!A$3:AM$103,14,FALSE),I81),IF(VLOOKUP(A81,Dividende_je_Aktie!A$3:AM$103,14,FALSE)&lt;&gt;"",VLOOKUP(A81,Dividende_je_Aktie!A$3:AM$103,14,FALSE),""))</f>
        <v>#N/A</v>
      </c>
      <c r="U81" s="13" t="e">
        <f>IF(J81&gt;0,IF(VLOOKUP(A81,Dividende_je_Aktie!A$3:AM$103,15,FALSE)&lt;&gt;"",J81+VLOOKUP(A81,Dividende_je_Aktie!A$3:AM$103,15,FALSE),J81),IF(VLOOKUP(A81,Dividende_je_Aktie!A$3:AM$103,15,FALSE)&lt;&gt;"",VLOOKUP(A81,Dividende_je_Aktie!A$3:AM$103,15,FALSE),""))</f>
        <v>#N/A</v>
      </c>
      <c r="V81" s="13" t="e">
        <f>IF(K81&gt;0,IF(VLOOKUP(A81,Dividende_je_Aktie!A$3:AM$103,16,FALSE)&lt;&gt;"",K81+VLOOKUP(A81,Dividende_je_Aktie!A$3:AM$103,16,FALSE),K81),IF(VLOOKUP(A81,Dividende_je_Aktie!A$3:AM$103,16,FALSE)&lt;&gt;"",VLOOKUP(A81,Dividende_je_Aktie!A$3:AM$103,16,FALSE),""))</f>
        <v>#N/A</v>
      </c>
      <c r="W81" s="13" t="e">
        <f>IF(L81&gt;0,IF(VLOOKUP(A81,Dividende_je_Aktie!A$3:AM$103,17,FALSE)&lt;&gt;"",L81+VLOOKUP(A81,Dividende_je_Aktie!A$3:AM$103,17,FALSE),L81),IF(VLOOKUP(A81,Dividende_je_Aktie!A$3:AM$103,17,FALSE)&lt;&gt;"",VLOOKUP(A81,Dividende_je_Aktie!A$3:AM$103,17,FALSE),""))</f>
        <v>#N/A</v>
      </c>
      <c r="X81" s="13" t="e">
        <f>IF(M81&gt;0,IF(VLOOKUP(A81,Dividende_je_Aktie!A$3:AM$103,18,FALSE)&lt;&gt;"",M81+VLOOKUP(A81,Dividende_je_Aktie!A$3:AM$103,18,FALSE),M81),IF(VLOOKUP(A81,Dividende_je_Aktie!A$3:AM$103,18,FALSE)&lt;&gt;"",VLOOKUP(A81,Dividende_je_Aktie!A$3:AM$103,18,FALSE),""))</f>
        <v>#N/A</v>
      </c>
    </row>
    <row r="82" spans="1:24">
      <c r="A82" s="52"/>
      <c r="B82" s="52"/>
      <c r="C82" s="13" t="e">
        <f>IF(VLOOKUP(A82,Aktien_im_Umlauf_splitbereinigt!A$3:AM$103,4,FALSE)&lt;&gt;"",IF(VLOOKUP(A82,Aktien_im_Umlauf_splitbereinigt!A$3:AM$103,3,FALSE)&lt;&gt;"",IF(VLOOKUP(A82,Schlußkurse!A$5:AU$105,36,FALSE)&gt;0,((VLOOKUP(A82,Aktien_im_Umlauf_splitbereinigt!A$3:AM$103,4,FALSE)-VLOOKUP(A82,Aktien_im_Umlauf_splitbereinigt!A$3:AM$103,3,FALSE))*VLOOKUP(A82,Schlußkurse!A$5:AU$105,36,FALSE))/VLOOKUP(A82,Aktien_im_Umlauf_splitbereinigt!A$3:AM$103,3,FALSE),0),0),0)</f>
        <v>#N/A</v>
      </c>
      <c r="D82" s="97" t="e">
        <f>IF(VLOOKUP(A82,Aktien_im_Umlauf_splitbereinigt!A$3:AM$103,5,FALSE)&lt;&gt;"",IF(VLOOKUP(A82,Aktien_im_Umlauf_splitbereinigt!A$3:AM$103,4,FALSE)&lt;&gt;"",IF(VLOOKUP(A82,Schlußkurse!A$5:AU$105,37,FALSE)&gt;0,((VLOOKUP(A82,Aktien_im_Umlauf_splitbereinigt!A$3:AM$103,5,FALSE)-VLOOKUP(A82,Aktien_im_Umlauf_splitbereinigt!A$3:AM$103,4,FALSE))*VLOOKUP(A82,Schlußkurse!A$5:AU$105,37,FALSE))/VLOOKUP(A82,Aktien_im_Umlauf_splitbereinigt!A$3:AM$103,4,FALSE),0),0),0)</f>
        <v>#N/A</v>
      </c>
      <c r="E82" s="97" t="e">
        <f>IF(VLOOKUP(A82,Aktien_im_Umlauf_splitbereinigt!A$3:AM$103,6,FALSE)&lt;&gt;"",IF(VLOOKUP(A82,Aktien_im_Umlauf_splitbereinigt!A$3:AM$103,5,FALSE)&lt;&gt;"",IF(VLOOKUP(A82,Schlußkurse!A$5:AU$105,38,FALSE)&gt;0,((VLOOKUP(A82,Aktien_im_Umlauf_splitbereinigt!A$3:AM$103,6,FALSE)-VLOOKUP(A82,Aktien_im_Umlauf_splitbereinigt!A$3:AM$103,5,FALSE))*VLOOKUP(A82,Schlußkurse!A$5:AU$105,38,FALSE))/VLOOKUP(A82,Aktien_im_Umlauf_splitbereinigt!A$3:AM$103,5,FALSE),0),0),0)</f>
        <v>#N/A</v>
      </c>
      <c r="F82" s="97" t="e">
        <f>IF(VLOOKUP(A82,Aktien_im_Umlauf_splitbereinigt!A$3:AM$103,7,FALSE)&lt;&gt;"",IF(VLOOKUP(A82,Aktien_im_Umlauf_splitbereinigt!A$3:AM$103,6,FALSE)&lt;&gt;"",IF(VLOOKUP(A82,Schlußkurse!A$5:AU$105,39,FALSE)&gt;0,((VLOOKUP(A82,Aktien_im_Umlauf_splitbereinigt!A$3:AM$103,7,FALSE)-VLOOKUP(A82,Aktien_im_Umlauf_splitbereinigt!A$3:AM$103,6,FALSE))*VLOOKUP(A82,Schlußkurse!A$5:AU$105,39,FALSE))/VLOOKUP(A82,Aktien_im_Umlauf_splitbereinigt!A$3:AM$103,6,FALSE),0),0),0)</f>
        <v>#N/A</v>
      </c>
      <c r="G82" s="97" t="e">
        <f>IF(VLOOKUP(A82,Aktien_im_Umlauf_splitbereinigt!A$3:AM$103,8,FALSE)&lt;&gt;"",IF(VLOOKUP(A82,Aktien_im_Umlauf_splitbereinigt!A$3:AM$103,7,FALSE)&lt;&gt;"",IF(VLOOKUP(A82,Schlußkurse!A$5:AU$105,40,FALSE)&gt;0,((VLOOKUP(A82,Aktien_im_Umlauf_splitbereinigt!A$3:AM$103,8,FALSE)-VLOOKUP(A82,Aktien_im_Umlauf_splitbereinigt!A$3:AM$103,7,FALSE))*VLOOKUP(A82,Schlußkurse!A$5:AU$105,40,FALSE))/VLOOKUP(A82,Aktien_im_Umlauf_splitbereinigt!A$3:AM$103,7,FALSE),0),0),0)</f>
        <v>#N/A</v>
      </c>
      <c r="H82" s="97" t="e">
        <f>IF(VLOOKUP(A82,Aktien_im_Umlauf_splitbereinigt!A$3:AM$103,9,FALSE)&lt;&gt;"",IF(VLOOKUP(A82,Aktien_im_Umlauf_splitbereinigt!A$3:AM$103,8,FALSE)&lt;&gt;"",IF(VLOOKUP(A82,Schlußkurse!A$5:AU$105,41,FALSE)&gt;0,((VLOOKUP(A82,Aktien_im_Umlauf_splitbereinigt!A$3:AM$103,9,FALSE)-VLOOKUP(A82,Aktien_im_Umlauf_splitbereinigt!A$3:AM$103,8,FALSE))*VLOOKUP(A82,Schlußkurse!A$5:AU$105,41,FALSE))/VLOOKUP(A82,Aktien_im_Umlauf_splitbereinigt!A$3:AM$103,8,FALSE),0),0),0)</f>
        <v>#N/A</v>
      </c>
      <c r="I82" s="97" t="e">
        <f>IF(VLOOKUP(A82,Aktien_im_Umlauf_splitbereinigt!A$3:AM$103,10,FALSE)&lt;&gt;"",IF(VLOOKUP(A82,Aktien_im_Umlauf_splitbereinigt!A$3:AM$103,9,FALSE)&lt;&gt;"",IF(VLOOKUP(A82,Schlußkurse!A$5:AU$105,42,FALSE)&gt;0,((VLOOKUP(A82,Aktien_im_Umlauf_splitbereinigt!A$3:AM$103,10,FALSE)-VLOOKUP(A82,Aktien_im_Umlauf_splitbereinigt!A$3:AM$103,9,FALSE))*VLOOKUP(A82,Schlußkurse!A$5:AU$105,42,FALSE))/VLOOKUP(A82,Aktien_im_Umlauf_splitbereinigt!A$3:AM$103,9,FALSE),0),0),0)</f>
        <v>#N/A</v>
      </c>
      <c r="J82" s="97" t="e">
        <f>IF(VLOOKUP(A82,Aktien_im_Umlauf_splitbereinigt!A$3:AM$103,11,FALSE)&lt;&gt;"",IF(VLOOKUP(A82,Aktien_im_Umlauf_splitbereinigt!A$3:AM$103,10,FALSE)&lt;&gt;"",IF(VLOOKUP(A82,Schlußkurse!A$5:AU$105,43,FALSE)&gt;0,((VLOOKUP(A82,Aktien_im_Umlauf_splitbereinigt!A$3:AM$103,11,FALSE)-VLOOKUP(A82,Aktien_im_Umlauf_splitbereinigt!A$3:AM$103,10,FALSE))*VLOOKUP(A82,Schlußkurse!A$5:AU$105,43,FALSE))/VLOOKUP(A82,Aktien_im_Umlauf_splitbereinigt!A$3:AM$103,10,FALSE),0),0),0)</f>
        <v>#N/A</v>
      </c>
      <c r="K82" s="97" t="e">
        <f>IF(VLOOKUP(A82,Aktien_im_Umlauf_splitbereinigt!A$3:AM$103,12,FALSE)&lt;&gt;"",IF(VLOOKUP(A82,Aktien_im_Umlauf_splitbereinigt!A$3:AM$103,11,FALSE)&lt;&gt;"",IF(VLOOKUP(A82,Schlußkurse!A$5:AU$105,44,FALSE)&gt;0,((VLOOKUP(A82,Aktien_im_Umlauf_splitbereinigt!A$3:AM$103,12,FALSE)-VLOOKUP(A82,Aktien_im_Umlauf_splitbereinigt!A$3:AM$103,11,FALSE))*VLOOKUP(A82,Schlußkurse!A$5:AU$105,44,FALSE))/VLOOKUP(A82,Aktien_im_Umlauf_splitbereinigt!A$3:AM$103,11,FALSE),0),0),0)</f>
        <v>#N/A</v>
      </c>
      <c r="L82" s="97" t="e">
        <f>IF(VLOOKUP(A82,Aktien_im_Umlauf_splitbereinigt!A$3:AM$103,13,FALSE)&lt;&gt;"",IF(VLOOKUP(A82,Aktien_im_Umlauf_splitbereinigt!A$3:AM$103,12,FALSE)&lt;&gt;"",IF(VLOOKUP(A82,Schlußkurse!A$5:AU$105,45,FALSE)&gt;0,((VLOOKUP(A82,Aktien_im_Umlauf_splitbereinigt!A$3:AM$103,13,FALSE)-VLOOKUP(A82,Aktien_im_Umlauf_splitbereinigt!A$3:AM$103,12,FALSE))*VLOOKUP(A82,Schlußkurse!A$5:AU$105,45,FALSE))/VLOOKUP(A82,Aktien_im_Umlauf_splitbereinigt!A$3:AM$103,12,FALSE),0),0),0)</f>
        <v>#N/A</v>
      </c>
      <c r="M82" s="97" t="e">
        <f>IF(VLOOKUP(A82,Aktien_im_Umlauf_splitbereinigt!A$3:AM$103,14,FALSE)&lt;&gt;"",IF(VLOOKUP(A82,Aktien_im_Umlauf_splitbereinigt!A$3:AM$103,13,FALSE)&lt;&gt;"",IF(VLOOKUP(A82,Schlußkurse!A$5:AU$105,46,FALSE)&gt;0,((VLOOKUP(A82,Aktien_im_Umlauf_splitbereinigt!A$3:AM$103,14,FALSE)-VLOOKUP(A82,Aktien_im_Umlauf_splitbereinigt!A$3:AM$103,13,FALSE))*VLOOKUP(A82,Schlußkurse!A$5:AU$105,46,FALSE))/VLOOKUP(A82,Aktien_im_Umlauf_splitbereinigt!A$3:AM$103,13,FALSE),0),0),0)</f>
        <v>#N/A</v>
      </c>
      <c r="N82" s="13" t="e">
        <f>IF(C82&gt;0,IF(VLOOKUP(A82,Dividende_je_Aktie!A$3:AM$103,8,FALSE)&lt;&gt;"",C82+VLOOKUP(A82,Dividende_je_Aktie!A$3:AM$103,8,FALSE),C82),IF(VLOOKUP(A82,Dividende_je_Aktie!A$3:AM$103,8,FALSE)&lt;&gt;"",VLOOKUP(A82,Dividende_je_Aktie!A$3:AM$103,8,FALSE),""))</f>
        <v>#N/A</v>
      </c>
      <c r="O82" s="13" t="e">
        <f>IF(D82&gt;0,IF(VLOOKUP(A82,Dividende_je_Aktie!A$3:AM$103,9,FALSE)&lt;&gt;"",D82+VLOOKUP(A82,Dividende_je_Aktie!A$3:AM$103,9,FALSE),D82),IF(VLOOKUP(A82,Dividende_je_Aktie!A$3:AM$103,9,FALSE)&lt;&gt;"",VLOOKUP(A82,Dividende_je_Aktie!A$3:AM$103,9,FALSE),""))</f>
        <v>#N/A</v>
      </c>
      <c r="P82" s="13" t="e">
        <f>IF(E82&gt;0,IF(VLOOKUP(A82,Dividende_je_Aktie!A$3:AM$103,10,FALSE)&lt;&gt;"",E82+VLOOKUP(A82,Dividende_je_Aktie!A$3:AM$103,10,FALSE),E82),IF(VLOOKUP(A82,Dividende_je_Aktie!A$3:AM$103,10,FALSE)&lt;&gt;"",VLOOKUP(A82,Dividende_je_Aktie!A$3:AM$103,10,FALSE),""))</f>
        <v>#N/A</v>
      </c>
      <c r="Q82" s="13" t="e">
        <f>IF(F82&gt;0,IF(VLOOKUP(A82,Dividende_je_Aktie!A$3:AM$103,11,FALSE)&lt;&gt;"",F82+VLOOKUP(A82,Dividende_je_Aktie!A$3:AM$103,11,FALSE),F82),IF(VLOOKUP(A82,Dividende_je_Aktie!A$3:AM$103,11,FALSE)&lt;&gt;"",VLOOKUP(A82,Dividende_je_Aktie!A$3:AM$103,11,FALSE),""))</f>
        <v>#N/A</v>
      </c>
      <c r="R82" s="13" t="e">
        <f>IF(G82&gt;0,IF(VLOOKUP(A82,Dividende_je_Aktie!A$3:AM$103,12,FALSE)&lt;&gt;"",G82+VLOOKUP(A82,Dividende_je_Aktie!A$3:AM$103,12,FALSE),G82),IF(VLOOKUP(A82,Dividende_je_Aktie!A$3:AM$103,12,FALSE)&lt;&gt;"",VLOOKUP(A82,Dividende_je_Aktie!A$3:AM$103,12,FALSE),""))</f>
        <v>#N/A</v>
      </c>
      <c r="S82" s="13" t="e">
        <f>IF(H82&gt;0,IF(VLOOKUP(A82,Dividende_je_Aktie!A$3:AM$103,13,FALSE)&lt;&gt;"",H82+VLOOKUP(A82,Dividende_je_Aktie!A$3:AM$103,13,FALSE),H82),IF(VLOOKUP(A82,Dividende_je_Aktie!A$3:AM$103,13,FALSE)&lt;&gt;"",VLOOKUP(A82,Dividende_je_Aktie!A$3:AM$103,13,FALSE),""))</f>
        <v>#N/A</v>
      </c>
      <c r="T82" s="13" t="e">
        <f>IF(I82&gt;0,IF(VLOOKUP(A82,Dividende_je_Aktie!A$3:AM$103,14,FALSE)&lt;&gt;"",I82+VLOOKUP(A82,Dividende_je_Aktie!A$3:AM$103,14,FALSE),I82),IF(VLOOKUP(A82,Dividende_je_Aktie!A$3:AM$103,14,FALSE)&lt;&gt;"",VLOOKUP(A82,Dividende_je_Aktie!A$3:AM$103,14,FALSE),""))</f>
        <v>#N/A</v>
      </c>
      <c r="U82" s="13" t="e">
        <f>IF(J82&gt;0,IF(VLOOKUP(A82,Dividende_je_Aktie!A$3:AM$103,15,FALSE)&lt;&gt;"",J82+VLOOKUP(A82,Dividende_je_Aktie!A$3:AM$103,15,FALSE),J82),IF(VLOOKUP(A82,Dividende_je_Aktie!A$3:AM$103,15,FALSE)&lt;&gt;"",VLOOKUP(A82,Dividende_je_Aktie!A$3:AM$103,15,FALSE),""))</f>
        <v>#N/A</v>
      </c>
      <c r="V82" s="13" t="e">
        <f>IF(K82&gt;0,IF(VLOOKUP(A82,Dividende_je_Aktie!A$3:AM$103,16,FALSE)&lt;&gt;"",K82+VLOOKUP(A82,Dividende_je_Aktie!A$3:AM$103,16,FALSE),K82),IF(VLOOKUP(A82,Dividende_je_Aktie!A$3:AM$103,16,FALSE)&lt;&gt;"",VLOOKUP(A82,Dividende_je_Aktie!A$3:AM$103,16,FALSE),""))</f>
        <v>#N/A</v>
      </c>
      <c r="W82" s="13" t="e">
        <f>IF(L82&gt;0,IF(VLOOKUP(A82,Dividende_je_Aktie!A$3:AM$103,17,FALSE)&lt;&gt;"",L82+VLOOKUP(A82,Dividende_je_Aktie!A$3:AM$103,17,FALSE),L82),IF(VLOOKUP(A82,Dividende_je_Aktie!A$3:AM$103,17,FALSE)&lt;&gt;"",VLOOKUP(A82,Dividende_je_Aktie!A$3:AM$103,17,FALSE),""))</f>
        <v>#N/A</v>
      </c>
      <c r="X82" s="13" t="e">
        <f>IF(M82&gt;0,IF(VLOOKUP(A82,Dividende_je_Aktie!A$3:AM$103,18,FALSE)&lt;&gt;"",M82+VLOOKUP(A82,Dividende_je_Aktie!A$3:AM$103,18,FALSE),M82),IF(VLOOKUP(A82,Dividende_je_Aktie!A$3:AM$103,18,FALSE)&lt;&gt;"",VLOOKUP(A82,Dividende_je_Aktie!A$3:AM$103,18,FALSE),""))</f>
        <v>#N/A</v>
      </c>
    </row>
    <row r="83" spans="1:24">
      <c r="A83" s="52"/>
      <c r="B83" s="52"/>
      <c r="C83" s="13" t="e">
        <f>IF(VLOOKUP(A83,Aktien_im_Umlauf_splitbereinigt!A$3:AM$103,4,FALSE)&lt;&gt;"",IF(VLOOKUP(A83,Aktien_im_Umlauf_splitbereinigt!A$3:AM$103,3,FALSE)&lt;&gt;"",IF(VLOOKUP(A83,Schlußkurse!A$5:AU$105,36,FALSE)&gt;0,((VLOOKUP(A83,Aktien_im_Umlauf_splitbereinigt!A$3:AM$103,4,FALSE)-VLOOKUP(A83,Aktien_im_Umlauf_splitbereinigt!A$3:AM$103,3,FALSE))*VLOOKUP(A83,Schlußkurse!A$5:AU$105,36,FALSE))/VLOOKUP(A83,Aktien_im_Umlauf_splitbereinigt!A$3:AM$103,3,FALSE),0),0),0)</f>
        <v>#N/A</v>
      </c>
      <c r="D83" s="97" t="e">
        <f>IF(VLOOKUP(A83,Aktien_im_Umlauf_splitbereinigt!A$3:AM$103,5,FALSE)&lt;&gt;"",IF(VLOOKUP(A83,Aktien_im_Umlauf_splitbereinigt!A$3:AM$103,4,FALSE)&lt;&gt;"",IF(VLOOKUP(A83,Schlußkurse!A$5:AU$105,37,FALSE)&gt;0,((VLOOKUP(A83,Aktien_im_Umlauf_splitbereinigt!A$3:AM$103,5,FALSE)-VLOOKUP(A83,Aktien_im_Umlauf_splitbereinigt!A$3:AM$103,4,FALSE))*VLOOKUP(A83,Schlußkurse!A$5:AU$105,37,FALSE))/VLOOKUP(A83,Aktien_im_Umlauf_splitbereinigt!A$3:AM$103,4,FALSE),0),0),0)</f>
        <v>#N/A</v>
      </c>
      <c r="E83" s="97" t="e">
        <f>IF(VLOOKUP(A83,Aktien_im_Umlauf_splitbereinigt!A$3:AM$103,6,FALSE)&lt;&gt;"",IF(VLOOKUP(A83,Aktien_im_Umlauf_splitbereinigt!A$3:AM$103,5,FALSE)&lt;&gt;"",IF(VLOOKUP(A83,Schlußkurse!A$5:AU$105,38,FALSE)&gt;0,((VLOOKUP(A83,Aktien_im_Umlauf_splitbereinigt!A$3:AM$103,6,FALSE)-VLOOKUP(A83,Aktien_im_Umlauf_splitbereinigt!A$3:AM$103,5,FALSE))*VLOOKUP(A83,Schlußkurse!A$5:AU$105,38,FALSE))/VLOOKUP(A83,Aktien_im_Umlauf_splitbereinigt!A$3:AM$103,5,FALSE),0),0),0)</f>
        <v>#N/A</v>
      </c>
      <c r="F83" s="97" t="e">
        <f>IF(VLOOKUP(A83,Aktien_im_Umlauf_splitbereinigt!A$3:AM$103,7,FALSE)&lt;&gt;"",IF(VLOOKUP(A83,Aktien_im_Umlauf_splitbereinigt!A$3:AM$103,6,FALSE)&lt;&gt;"",IF(VLOOKUP(A83,Schlußkurse!A$5:AU$105,39,FALSE)&gt;0,((VLOOKUP(A83,Aktien_im_Umlauf_splitbereinigt!A$3:AM$103,7,FALSE)-VLOOKUP(A83,Aktien_im_Umlauf_splitbereinigt!A$3:AM$103,6,FALSE))*VLOOKUP(A83,Schlußkurse!A$5:AU$105,39,FALSE))/VLOOKUP(A83,Aktien_im_Umlauf_splitbereinigt!A$3:AM$103,6,FALSE),0),0),0)</f>
        <v>#N/A</v>
      </c>
      <c r="G83" s="97" t="e">
        <f>IF(VLOOKUP(A83,Aktien_im_Umlauf_splitbereinigt!A$3:AM$103,8,FALSE)&lt;&gt;"",IF(VLOOKUP(A83,Aktien_im_Umlauf_splitbereinigt!A$3:AM$103,7,FALSE)&lt;&gt;"",IF(VLOOKUP(A83,Schlußkurse!A$5:AU$105,40,FALSE)&gt;0,((VLOOKUP(A83,Aktien_im_Umlauf_splitbereinigt!A$3:AM$103,8,FALSE)-VLOOKUP(A83,Aktien_im_Umlauf_splitbereinigt!A$3:AM$103,7,FALSE))*VLOOKUP(A83,Schlußkurse!A$5:AU$105,40,FALSE))/VLOOKUP(A83,Aktien_im_Umlauf_splitbereinigt!A$3:AM$103,7,FALSE),0),0),0)</f>
        <v>#N/A</v>
      </c>
      <c r="H83" s="97" t="e">
        <f>IF(VLOOKUP(A83,Aktien_im_Umlauf_splitbereinigt!A$3:AM$103,9,FALSE)&lt;&gt;"",IF(VLOOKUP(A83,Aktien_im_Umlauf_splitbereinigt!A$3:AM$103,8,FALSE)&lt;&gt;"",IF(VLOOKUP(A83,Schlußkurse!A$5:AU$105,41,FALSE)&gt;0,((VLOOKUP(A83,Aktien_im_Umlauf_splitbereinigt!A$3:AM$103,9,FALSE)-VLOOKUP(A83,Aktien_im_Umlauf_splitbereinigt!A$3:AM$103,8,FALSE))*VLOOKUP(A83,Schlußkurse!A$5:AU$105,41,FALSE))/VLOOKUP(A83,Aktien_im_Umlauf_splitbereinigt!A$3:AM$103,8,FALSE),0),0),0)</f>
        <v>#N/A</v>
      </c>
      <c r="I83" s="97" t="e">
        <f>IF(VLOOKUP(A83,Aktien_im_Umlauf_splitbereinigt!A$3:AM$103,10,FALSE)&lt;&gt;"",IF(VLOOKUP(A83,Aktien_im_Umlauf_splitbereinigt!A$3:AM$103,9,FALSE)&lt;&gt;"",IF(VLOOKUP(A83,Schlußkurse!A$5:AU$105,42,FALSE)&gt;0,((VLOOKUP(A83,Aktien_im_Umlauf_splitbereinigt!A$3:AM$103,10,FALSE)-VLOOKUP(A83,Aktien_im_Umlauf_splitbereinigt!A$3:AM$103,9,FALSE))*VLOOKUP(A83,Schlußkurse!A$5:AU$105,42,FALSE))/VLOOKUP(A83,Aktien_im_Umlauf_splitbereinigt!A$3:AM$103,9,FALSE),0),0),0)</f>
        <v>#N/A</v>
      </c>
      <c r="J83" s="97" t="e">
        <f>IF(VLOOKUP(A83,Aktien_im_Umlauf_splitbereinigt!A$3:AM$103,11,FALSE)&lt;&gt;"",IF(VLOOKUP(A83,Aktien_im_Umlauf_splitbereinigt!A$3:AM$103,10,FALSE)&lt;&gt;"",IF(VLOOKUP(A83,Schlußkurse!A$5:AU$105,43,FALSE)&gt;0,((VLOOKUP(A83,Aktien_im_Umlauf_splitbereinigt!A$3:AM$103,11,FALSE)-VLOOKUP(A83,Aktien_im_Umlauf_splitbereinigt!A$3:AM$103,10,FALSE))*VLOOKUP(A83,Schlußkurse!A$5:AU$105,43,FALSE))/VLOOKUP(A83,Aktien_im_Umlauf_splitbereinigt!A$3:AM$103,10,FALSE),0),0),0)</f>
        <v>#N/A</v>
      </c>
      <c r="K83" s="97" t="e">
        <f>IF(VLOOKUP(A83,Aktien_im_Umlauf_splitbereinigt!A$3:AM$103,12,FALSE)&lt;&gt;"",IF(VLOOKUP(A83,Aktien_im_Umlauf_splitbereinigt!A$3:AM$103,11,FALSE)&lt;&gt;"",IF(VLOOKUP(A83,Schlußkurse!A$5:AU$105,44,FALSE)&gt;0,((VLOOKUP(A83,Aktien_im_Umlauf_splitbereinigt!A$3:AM$103,12,FALSE)-VLOOKUP(A83,Aktien_im_Umlauf_splitbereinigt!A$3:AM$103,11,FALSE))*VLOOKUP(A83,Schlußkurse!A$5:AU$105,44,FALSE))/VLOOKUP(A83,Aktien_im_Umlauf_splitbereinigt!A$3:AM$103,11,FALSE),0),0),0)</f>
        <v>#N/A</v>
      </c>
      <c r="L83" s="97" t="e">
        <f>IF(VLOOKUP(A83,Aktien_im_Umlauf_splitbereinigt!A$3:AM$103,13,FALSE)&lt;&gt;"",IF(VLOOKUP(A83,Aktien_im_Umlauf_splitbereinigt!A$3:AM$103,12,FALSE)&lt;&gt;"",IF(VLOOKUP(A83,Schlußkurse!A$5:AU$105,45,FALSE)&gt;0,((VLOOKUP(A83,Aktien_im_Umlauf_splitbereinigt!A$3:AM$103,13,FALSE)-VLOOKUP(A83,Aktien_im_Umlauf_splitbereinigt!A$3:AM$103,12,FALSE))*VLOOKUP(A83,Schlußkurse!A$5:AU$105,45,FALSE))/VLOOKUP(A83,Aktien_im_Umlauf_splitbereinigt!A$3:AM$103,12,FALSE),0),0),0)</f>
        <v>#N/A</v>
      </c>
      <c r="M83" s="97" t="e">
        <f>IF(VLOOKUP(A83,Aktien_im_Umlauf_splitbereinigt!A$3:AM$103,14,FALSE)&lt;&gt;"",IF(VLOOKUP(A83,Aktien_im_Umlauf_splitbereinigt!A$3:AM$103,13,FALSE)&lt;&gt;"",IF(VLOOKUP(A83,Schlußkurse!A$5:AU$105,46,FALSE)&gt;0,((VLOOKUP(A83,Aktien_im_Umlauf_splitbereinigt!A$3:AM$103,14,FALSE)-VLOOKUP(A83,Aktien_im_Umlauf_splitbereinigt!A$3:AM$103,13,FALSE))*VLOOKUP(A83,Schlußkurse!A$5:AU$105,46,FALSE))/VLOOKUP(A83,Aktien_im_Umlauf_splitbereinigt!A$3:AM$103,13,FALSE),0),0),0)</f>
        <v>#N/A</v>
      </c>
      <c r="N83" s="13" t="e">
        <f>IF(C83&gt;0,IF(VLOOKUP(A83,Dividende_je_Aktie!A$3:AM$103,8,FALSE)&lt;&gt;"",C83+VLOOKUP(A83,Dividende_je_Aktie!A$3:AM$103,8,FALSE),C83),IF(VLOOKUP(A83,Dividende_je_Aktie!A$3:AM$103,8,FALSE)&lt;&gt;"",VLOOKUP(A83,Dividende_je_Aktie!A$3:AM$103,8,FALSE),""))</f>
        <v>#N/A</v>
      </c>
      <c r="O83" s="13" t="e">
        <f>IF(D83&gt;0,IF(VLOOKUP(A83,Dividende_je_Aktie!A$3:AM$103,9,FALSE)&lt;&gt;"",D83+VLOOKUP(A83,Dividende_je_Aktie!A$3:AM$103,9,FALSE),D83),IF(VLOOKUP(A83,Dividende_je_Aktie!A$3:AM$103,9,FALSE)&lt;&gt;"",VLOOKUP(A83,Dividende_je_Aktie!A$3:AM$103,9,FALSE),""))</f>
        <v>#N/A</v>
      </c>
      <c r="P83" s="13" t="e">
        <f>IF(E83&gt;0,IF(VLOOKUP(A83,Dividende_je_Aktie!A$3:AM$103,10,FALSE)&lt;&gt;"",E83+VLOOKUP(A83,Dividende_je_Aktie!A$3:AM$103,10,FALSE),E83),IF(VLOOKUP(A83,Dividende_je_Aktie!A$3:AM$103,10,FALSE)&lt;&gt;"",VLOOKUP(A83,Dividende_je_Aktie!A$3:AM$103,10,FALSE),""))</f>
        <v>#N/A</v>
      </c>
      <c r="Q83" s="13" t="e">
        <f>IF(F83&gt;0,IF(VLOOKUP(A83,Dividende_je_Aktie!A$3:AM$103,11,FALSE)&lt;&gt;"",F83+VLOOKUP(A83,Dividende_je_Aktie!A$3:AM$103,11,FALSE),F83),IF(VLOOKUP(A83,Dividende_je_Aktie!A$3:AM$103,11,FALSE)&lt;&gt;"",VLOOKUP(A83,Dividende_je_Aktie!A$3:AM$103,11,FALSE),""))</f>
        <v>#N/A</v>
      </c>
      <c r="R83" s="13" t="e">
        <f>IF(G83&gt;0,IF(VLOOKUP(A83,Dividende_je_Aktie!A$3:AM$103,12,FALSE)&lt;&gt;"",G83+VLOOKUP(A83,Dividende_je_Aktie!A$3:AM$103,12,FALSE),G83),IF(VLOOKUP(A83,Dividende_je_Aktie!A$3:AM$103,12,FALSE)&lt;&gt;"",VLOOKUP(A83,Dividende_je_Aktie!A$3:AM$103,12,FALSE),""))</f>
        <v>#N/A</v>
      </c>
      <c r="S83" s="13" t="e">
        <f>IF(H83&gt;0,IF(VLOOKUP(A83,Dividende_je_Aktie!A$3:AM$103,13,FALSE)&lt;&gt;"",H83+VLOOKUP(A83,Dividende_je_Aktie!A$3:AM$103,13,FALSE),H83),IF(VLOOKUP(A83,Dividende_je_Aktie!A$3:AM$103,13,FALSE)&lt;&gt;"",VLOOKUP(A83,Dividende_je_Aktie!A$3:AM$103,13,FALSE),""))</f>
        <v>#N/A</v>
      </c>
      <c r="T83" s="13" t="e">
        <f>IF(I83&gt;0,IF(VLOOKUP(A83,Dividende_je_Aktie!A$3:AM$103,14,FALSE)&lt;&gt;"",I83+VLOOKUP(A83,Dividende_je_Aktie!A$3:AM$103,14,FALSE),I83),IF(VLOOKUP(A83,Dividende_je_Aktie!A$3:AM$103,14,FALSE)&lt;&gt;"",VLOOKUP(A83,Dividende_je_Aktie!A$3:AM$103,14,FALSE),""))</f>
        <v>#N/A</v>
      </c>
      <c r="U83" s="13" t="e">
        <f>IF(J83&gt;0,IF(VLOOKUP(A83,Dividende_je_Aktie!A$3:AM$103,15,FALSE)&lt;&gt;"",J83+VLOOKUP(A83,Dividende_je_Aktie!A$3:AM$103,15,FALSE),J83),IF(VLOOKUP(A83,Dividende_je_Aktie!A$3:AM$103,15,FALSE)&lt;&gt;"",VLOOKUP(A83,Dividende_je_Aktie!A$3:AM$103,15,FALSE),""))</f>
        <v>#N/A</v>
      </c>
      <c r="V83" s="13" t="e">
        <f>IF(K83&gt;0,IF(VLOOKUP(A83,Dividende_je_Aktie!A$3:AM$103,16,FALSE)&lt;&gt;"",K83+VLOOKUP(A83,Dividende_je_Aktie!A$3:AM$103,16,FALSE),K83),IF(VLOOKUP(A83,Dividende_je_Aktie!A$3:AM$103,16,FALSE)&lt;&gt;"",VLOOKUP(A83,Dividende_je_Aktie!A$3:AM$103,16,FALSE),""))</f>
        <v>#N/A</v>
      </c>
      <c r="W83" s="13" t="e">
        <f>IF(L83&gt;0,IF(VLOOKUP(A83,Dividende_je_Aktie!A$3:AM$103,17,FALSE)&lt;&gt;"",L83+VLOOKUP(A83,Dividende_je_Aktie!A$3:AM$103,17,FALSE),L83),IF(VLOOKUP(A83,Dividende_je_Aktie!A$3:AM$103,17,FALSE)&lt;&gt;"",VLOOKUP(A83,Dividende_je_Aktie!A$3:AM$103,17,FALSE),""))</f>
        <v>#N/A</v>
      </c>
      <c r="X83" s="13" t="e">
        <f>IF(M83&gt;0,IF(VLOOKUP(A83,Dividende_je_Aktie!A$3:AM$103,18,FALSE)&lt;&gt;"",M83+VLOOKUP(A83,Dividende_je_Aktie!A$3:AM$103,18,FALSE),M83),IF(VLOOKUP(A83,Dividende_je_Aktie!A$3:AM$103,18,FALSE)&lt;&gt;"",VLOOKUP(A83,Dividende_je_Aktie!A$3:AM$103,18,FALSE),""))</f>
        <v>#N/A</v>
      </c>
    </row>
    <row r="84" spans="1:24">
      <c r="A84" s="52"/>
      <c r="B84" s="52"/>
      <c r="C84" s="13" t="e">
        <f>IF(VLOOKUP(A84,Aktien_im_Umlauf_splitbereinigt!A$3:AM$103,4,FALSE)&lt;&gt;"",IF(VLOOKUP(A84,Aktien_im_Umlauf_splitbereinigt!A$3:AM$103,3,FALSE)&lt;&gt;"",IF(VLOOKUP(A84,Schlußkurse!A$5:AU$105,36,FALSE)&gt;0,((VLOOKUP(A84,Aktien_im_Umlauf_splitbereinigt!A$3:AM$103,4,FALSE)-VLOOKUP(A84,Aktien_im_Umlauf_splitbereinigt!A$3:AM$103,3,FALSE))*VLOOKUP(A84,Schlußkurse!A$5:AU$105,36,FALSE))/VLOOKUP(A84,Aktien_im_Umlauf_splitbereinigt!A$3:AM$103,3,FALSE),0),0),0)</f>
        <v>#N/A</v>
      </c>
      <c r="D84" s="97" t="e">
        <f>IF(VLOOKUP(A84,Aktien_im_Umlauf_splitbereinigt!A$3:AM$103,5,FALSE)&lt;&gt;"",IF(VLOOKUP(A84,Aktien_im_Umlauf_splitbereinigt!A$3:AM$103,4,FALSE)&lt;&gt;"",IF(VLOOKUP(A84,Schlußkurse!A$5:AU$105,37,FALSE)&gt;0,((VLOOKUP(A84,Aktien_im_Umlauf_splitbereinigt!A$3:AM$103,5,FALSE)-VLOOKUP(A84,Aktien_im_Umlauf_splitbereinigt!A$3:AM$103,4,FALSE))*VLOOKUP(A84,Schlußkurse!A$5:AU$105,37,FALSE))/VLOOKUP(A84,Aktien_im_Umlauf_splitbereinigt!A$3:AM$103,4,FALSE),0),0),0)</f>
        <v>#N/A</v>
      </c>
      <c r="E84" s="97" t="e">
        <f>IF(VLOOKUP(A84,Aktien_im_Umlauf_splitbereinigt!A$3:AM$103,6,FALSE)&lt;&gt;"",IF(VLOOKUP(A84,Aktien_im_Umlauf_splitbereinigt!A$3:AM$103,5,FALSE)&lt;&gt;"",IF(VLOOKUP(A84,Schlußkurse!A$5:AU$105,38,FALSE)&gt;0,((VLOOKUP(A84,Aktien_im_Umlauf_splitbereinigt!A$3:AM$103,6,FALSE)-VLOOKUP(A84,Aktien_im_Umlauf_splitbereinigt!A$3:AM$103,5,FALSE))*VLOOKUP(A84,Schlußkurse!A$5:AU$105,38,FALSE))/VLOOKUP(A84,Aktien_im_Umlauf_splitbereinigt!A$3:AM$103,5,FALSE),0),0),0)</f>
        <v>#N/A</v>
      </c>
      <c r="F84" s="97" t="e">
        <f>IF(VLOOKUP(A84,Aktien_im_Umlauf_splitbereinigt!A$3:AM$103,7,FALSE)&lt;&gt;"",IF(VLOOKUP(A84,Aktien_im_Umlauf_splitbereinigt!A$3:AM$103,6,FALSE)&lt;&gt;"",IF(VLOOKUP(A84,Schlußkurse!A$5:AU$105,39,FALSE)&gt;0,((VLOOKUP(A84,Aktien_im_Umlauf_splitbereinigt!A$3:AM$103,7,FALSE)-VLOOKUP(A84,Aktien_im_Umlauf_splitbereinigt!A$3:AM$103,6,FALSE))*VLOOKUP(A84,Schlußkurse!A$5:AU$105,39,FALSE))/VLOOKUP(A84,Aktien_im_Umlauf_splitbereinigt!A$3:AM$103,6,FALSE),0),0),0)</f>
        <v>#N/A</v>
      </c>
      <c r="G84" s="97" t="e">
        <f>IF(VLOOKUP(A84,Aktien_im_Umlauf_splitbereinigt!A$3:AM$103,8,FALSE)&lt;&gt;"",IF(VLOOKUP(A84,Aktien_im_Umlauf_splitbereinigt!A$3:AM$103,7,FALSE)&lt;&gt;"",IF(VLOOKUP(A84,Schlußkurse!A$5:AU$105,40,FALSE)&gt;0,((VLOOKUP(A84,Aktien_im_Umlauf_splitbereinigt!A$3:AM$103,8,FALSE)-VLOOKUP(A84,Aktien_im_Umlauf_splitbereinigt!A$3:AM$103,7,FALSE))*VLOOKUP(A84,Schlußkurse!A$5:AU$105,40,FALSE))/VLOOKUP(A84,Aktien_im_Umlauf_splitbereinigt!A$3:AM$103,7,FALSE),0),0),0)</f>
        <v>#N/A</v>
      </c>
      <c r="H84" s="97" t="e">
        <f>IF(VLOOKUP(A84,Aktien_im_Umlauf_splitbereinigt!A$3:AM$103,9,FALSE)&lt;&gt;"",IF(VLOOKUP(A84,Aktien_im_Umlauf_splitbereinigt!A$3:AM$103,8,FALSE)&lt;&gt;"",IF(VLOOKUP(A84,Schlußkurse!A$5:AU$105,41,FALSE)&gt;0,((VLOOKUP(A84,Aktien_im_Umlauf_splitbereinigt!A$3:AM$103,9,FALSE)-VLOOKUP(A84,Aktien_im_Umlauf_splitbereinigt!A$3:AM$103,8,FALSE))*VLOOKUP(A84,Schlußkurse!A$5:AU$105,41,FALSE))/VLOOKUP(A84,Aktien_im_Umlauf_splitbereinigt!A$3:AM$103,8,FALSE),0),0),0)</f>
        <v>#N/A</v>
      </c>
      <c r="I84" s="97" t="e">
        <f>IF(VLOOKUP(A84,Aktien_im_Umlauf_splitbereinigt!A$3:AM$103,10,FALSE)&lt;&gt;"",IF(VLOOKUP(A84,Aktien_im_Umlauf_splitbereinigt!A$3:AM$103,9,FALSE)&lt;&gt;"",IF(VLOOKUP(A84,Schlußkurse!A$5:AU$105,42,FALSE)&gt;0,((VLOOKUP(A84,Aktien_im_Umlauf_splitbereinigt!A$3:AM$103,10,FALSE)-VLOOKUP(A84,Aktien_im_Umlauf_splitbereinigt!A$3:AM$103,9,FALSE))*VLOOKUP(A84,Schlußkurse!A$5:AU$105,42,FALSE))/VLOOKUP(A84,Aktien_im_Umlauf_splitbereinigt!A$3:AM$103,9,FALSE),0),0),0)</f>
        <v>#N/A</v>
      </c>
      <c r="J84" s="97" t="e">
        <f>IF(VLOOKUP(A84,Aktien_im_Umlauf_splitbereinigt!A$3:AM$103,11,FALSE)&lt;&gt;"",IF(VLOOKUP(A84,Aktien_im_Umlauf_splitbereinigt!A$3:AM$103,10,FALSE)&lt;&gt;"",IF(VLOOKUP(A84,Schlußkurse!A$5:AU$105,43,FALSE)&gt;0,((VLOOKUP(A84,Aktien_im_Umlauf_splitbereinigt!A$3:AM$103,11,FALSE)-VLOOKUP(A84,Aktien_im_Umlauf_splitbereinigt!A$3:AM$103,10,FALSE))*VLOOKUP(A84,Schlußkurse!A$5:AU$105,43,FALSE))/VLOOKUP(A84,Aktien_im_Umlauf_splitbereinigt!A$3:AM$103,10,FALSE),0),0),0)</f>
        <v>#N/A</v>
      </c>
      <c r="K84" s="97" t="e">
        <f>IF(VLOOKUP(A84,Aktien_im_Umlauf_splitbereinigt!A$3:AM$103,12,FALSE)&lt;&gt;"",IF(VLOOKUP(A84,Aktien_im_Umlauf_splitbereinigt!A$3:AM$103,11,FALSE)&lt;&gt;"",IF(VLOOKUP(A84,Schlußkurse!A$5:AU$105,44,FALSE)&gt;0,((VLOOKUP(A84,Aktien_im_Umlauf_splitbereinigt!A$3:AM$103,12,FALSE)-VLOOKUP(A84,Aktien_im_Umlauf_splitbereinigt!A$3:AM$103,11,FALSE))*VLOOKUP(A84,Schlußkurse!A$5:AU$105,44,FALSE))/VLOOKUP(A84,Aktien_im_Umlauf_splitbereinigt!A$3:AM$103,11,FALSE),0),0),0)</f>
        <v>#N/A</v>
      </c>
      <c r="L84" s="97" t="e">
        <f>IF(VLOOKUP(A84,Aktien_im_Umlauf_splitbereinigt!A$3:AM$103,13,FALSE)&lt;&gt;"",IF(VLOOKUP(A84,Aktien_im_Umlauf_splitbereinigt!A$3:AM$103,12,FALSE)&lt;&gt;"",IF(VLOOKUP(A84,Schlußkurse!A$5:AU$105,45,FALSE)&gt;0,((VLOOKUP(A84,Aktien_im_Umlauf_splitbereinigt!A$3:AM$103,13,FALSE)-VLOOKUP(A84,Aktien_im_Umlauf_splitbereinigt!A$3:AM$103,12,FALSE))*VLOOKUP(A84,Schlußkurse!A$5:AU$105,45,FALSE))/VLOOKUP(A84,Aktien_im_Umlauf_splitbereinigt!A$3:AM$103,12,FALSE),0),0),0)</f>
        <v>#N/A</v>
      </c>
      <c r="M84" s="97" t="e">
        <f>IF(VLOOKUP(A84,Aktien_im_Umlauf_splitbereinigt!A$3:AM$103,14,FALSE)&lt;&gt;"",IF(VLOOKUP(A84,Aktien_im_Umlauf_splitbereinigt!A$3:AM$103,13,FALSE)&lt;&gt;"",IF(VLOOKUP(A84,Schlußkurse!A$5:AU$105,46,FALSE)&gt;0,((VLOOKUP(A84,Aktien_im_Umlauf_splitbereinigt!A$3:AM$103,14,FALSE)-VLOOKUP(A84,Aktien_im_Umlauf_splitbereinigt!A$3:AM$103,13,FALSE))*VLOOKUP(A84,Schlußkurse!A$5:AU$105,46,FALSE))/VLOOKUP(A84,Aktien_im_Umlauf_splitbereinigt!A$3:AM$103,13,FALSE),0),0),0)</f>
        <v>#N/A</v>
      </c>
      <c r="N84" s="13" t="e">
        <f>IF(C84&gt;0,IF(VLOOKUP(A84,Dividende_je_Aktie!A$3:AM$103,8,FALSE)&lt;&gt;"",C84+VLOOKUP(A84,Dividende_je_Aktie!A$3:AM$103,8,FALSE),C84),IF(VLOOKUP(A84,Dividende_je_Aktie!A$3:AM$103,8,FALSE)&lt;&gt;"",VLOOKUP(A84,Dividende_je_Aktie!A$3:AM$103,8,FALSE),""))</f>
        <v>#N/A</v>
      </c>
      <c r="O84" s="13" t="e">
        <f>IF(D84&gt;0,IF(VLOOKUP(A84,Dividende_je_Aktie!A$3:AM$103,9,FALSE)&lt;&gt;"",D84+VLOOKUP(A84,Dividende_je_Aktie!A$3:AM$103,9,FALSE),D84),IF(VLOOKUP(A84,Dividende_je_Aktie!A$3:AM$103,9,FALSE)&lt;&gt;"",VLOOKUP(A84,Dividende_je_Aktie!A$3:AM$103,9,FALSE),""))</f>
        <v>#N/A</v>
      </c>
      <c r="P84" s="13" t="e">
        <f>IF(E84&gt;0,IF(VLOOKUP(A84,Dividende_je_Aktie!A$3:AM$103,10,FALSE)&lt;&gt;"",E84+VLOOKUP(A84,Dividende_je_Aktie!A$3:AM$103,10,FALSE),E84),IF(VLOOKUP(A84,Dividende_je_Aktie!A$3:AM$103,10,FALSE)&lt;&gt;"",VLOOKUP(A84,Dividende_je_Aktie!A$3:AM$103,10,FALSE),""))</f>
        <v>#N/A</v>
      </c>
      <c r="Q84" s="13" t="e">
        <f>IF(F84&gt;0,IF(VLOOKUP(A84,Dividende_je_Aktie!A$3:AM$103,11,FALSE)&lt;&gt;"",F84+VLOOKUP(A84,Dividende_je_Aktie!A$3:AM$103,11,FALSE),F84),IF(VLOOKUP(A84,Dividende_je_Aktie!A$3:AM$103,11,FALSE)&lt;&gt;"",VLOOKUP(A84,Dividende_je_Aktie!A$3:AM$103,11,FALSE),""))</f>
        <v>#N/A</v>
      </c>
      <c r="R84" s="13" t="e">
        <f>IF(G84&gt;0,IF(VLOOKUP(A84,Dividende_je_Aktie!A$3:AM$103,12,FALSE)&lt;&gt;"",G84+VLOOKUP(A84,Dividende_je_Aktie!A$3:AM$103,12,FALSE),G84),IF(VLOOKUP(A84,Dividende_je_Aktie!A$3:AM$103,12,FALSE)&lt;&gt;"",VLOOKUP(A84,Dividende_je_Aktie!A$3:AM$103,12,FALSE),""))</f>
        <v>#N/A</v>
      </c>
      <c r="S84" s="13" t="e">
        <f>IF(H84&gt;0,IF(VLOOKUP(A84,Dividende_je_Aktie!A$3:AM$103,13,FALSE)&lt;&gt;"",H84+VLOOKUP(A84,Dividende_je_Aktie!A$3:AM$103,13,FALSE),H84),IF(VLOOKUP(A84,Dividende_je_Aktie!A$3:AM$103,13,FALSE)&lt;&gt;"",VLOOKUP(A84,Dividende_je_Aktie!A$3:AM$103,13,FALSE),""))</f>
        <v>#N/A</v>
      </c>
      <c r="T84" s="13" t="e">
        <f>IF(I84&gt;0,IF(VLOOKUP(A84,Dividende_je_Aktie!A$3:AM$103,14,FALSE)&lt;&gt;"",I84+VLOOKUP(A84,Dividende_je_Aktie!A$3:AM$103,14,FALSE),I84),IF(VLOOKUP(A84,Dividende_je_Aktie!A$3:AM$103,14,FALSE)&lt;&gt;"",VLOOKUP(A84,Dividende_je_Aktie!A$3:AM$103,14,FALSE),""))</f>
        <v>#N/A</v>
      </c>
      <c r="U84" s="13" t="e">
        <f>IF(J84&gt;0,IF(VLOOKUP(A84,Dividende_je_Aktie!A$3:AM$103,15,FALSE)&lt;&gt;"",J84+VLOOKUP(A84,Dividende_je_Aktie!A$3:AM$103,15,FALSE),J84),IF(VLOOKUP(A84,Dividende_je_Aktie!A$3:AM$103,15,FALSE)&lt;&gt;"",VLOOKUP(A84,Dividende_je_Aktie!A$3:AM$103,15,FALSE),""))</f>
        <v>#N/A</v>
      </c>
      <c r="V84" s="13" t="e">
        <f>IF(K84&gt;0,IF(VLOOKUP(A84,Dividende_je_Aktie!A$3:AM$103,16,FALSE)&lt;&gt;"",K84+VLOOKUP(A84,Dividende_je_Aktie!A$3:AM$103,16,FALSE),K84),IF(VLOOKUP(A84,Dividende_je_Aktie!A$3:AM$103,16,FALSE)&lt;&gt;"",VLOOKUP(A84,Dividende_je_Aktie!A$3:AM$103,16,FALSE),""))</f>
        <v>#N/A</v>
      </c>
      <c r="W84" s="13" t="e">
        <f>IF(L84&gt;0,IF(VLOOKUP(A84,Dividende_je_Aktie!A$3:AM$103,17,FALSE)&lt;&gt;"",L84+VLOOKUP(A84,Dividende_je_Aktie!A$3:AM$103,17,FALSE),L84),IF(VLOOKUP(A84,Dividende_je_Aktie!A$3:AM$103,17,FALSE)&lt;&gt;"",VLOOKUP(A84,Dividende_je_Aktie!A$3:AM$103,17,FALSE),""))</f>
        <v>#N/A</v>
      </c>
      <c r="X84" s="13" t="e">
        <f>IF(M84&gt;0,IF(VLOOKUP(A84,Dividende_je_Aktie!A$3:AM$103,18,FALSE)&lt;&gt;"",M84+VLOOKUP(A84,Dividende_je_Aktie!A$3:AM$103,18,FALSE),M84),IF(VLOOKUP(A84,Dividende_je_Aktie!A$3:AM$103,18,FALSE)&lt;&gt;"",VLOOKUP(A84,Dividende_je_Aktie!A$3:AM$103,18,FALSE),""))</f>
        <v>#N/A</v>
      </c>
    </row>
    <row r="85" spans="1:24">
      <c r="A85" s="52"/>
      <c r="B85" s="52"/>
      <c r="C85" s="13" t="e">
        <f>IF(VLOOKUP(A85,Aktien_im_Umlauf_splitbereinigt!A$3:AM$103,4,FALSE)&lt;&gt;"",IF(VLOOKUP(A85,Aktien_im_Umlauf_splitbereinigt!A$3:AM$103,3,FALSE)&lt;&gt;"",IF(VLOOKUP(A85,Schlußkurse!A$5:AU$105,36,FALSE)&gt;0,((VLOOKUP(A85,Aktien_im_Umlauf_splitbereinigt!A$3:AM$103,4,FALSE)-VLOOKUP(A85,Aktien_im_Umlauf_splitbereinigt!A$3:AM$103,3,FALSE))*VLOOKUP(A85,Schlußkurse!A$5:AU$105,36,FALSE))/VLOOKUP(A85,Aktien_im_Umlauf_splitbereinigt!A$3:AM$103,3,FALSE),0),0),0)</f>
        <v>#N/A</v>
      </c>
      <c r="D85" s="97" t="e">
        <f>IF(VLOOKUP(A85,Aktien_im_Umlauf_splitbereinigt!A$3:AM$103,5,FALSE)&lt;&gt;"",IF(VLOOKUP(A85,Aktien_im_Umlauf_splitbereinigt!A$3:AM$103,4,FALSE)&lt;&gt;"",IF(VLOOKUP(A85,Schlußkurse!A$5:AU$105,37,FALSE)&gt;0,((VLOOKUP(A85,Aktien_im_Umlauf_splitbereinigt!A$3:AM$103,5,FALSE)-VLOOKUP(A85,Aktien_im_Umlauf_splitbereinigt!A$3:AM$103,4,FALSE))*VLOOKUP(A85,Schlußkurse!A$5:AU$105,37,FALSE))/VLOOKUP(A85,Aktien_im_Umlauf_splitbereinigt!A$3:AM$103,4,FALSE),0),0),0)</f>
        <v>#N/A</v>
      </c>
      <c r="E85" s="97" t="e">
        <f>IF(VLOOKUP(A85,Aktien_im_Umlauf_splitbereinigt!A$3:AM$103,6,FALSE)&lt;&gt;"",IF(VLOOKUP(A85,Aktien_im_Umlauf_splitbereinigt!A$3:AM$103,5,FALSE)&lt;&gt;"",IF(VLOOKUP(A85,Schlußkurse!A$5:AU$105,38,FALSE)&gt;0,((VLOOKUP(A85,Aktien_im_Umlauf_splitbereinigt!A$3:AM$103,6,FALSE)-VLOOKUP(A85,Aktien_im_Umlauf_splitbereinigt!A$3:AM$103,5,FALSE))*VLOOKUP(A85,Schlußkurse!A$5:AU$105,38,FALSE))/VLOOKUP(A85,Aktien_im_Umlauf_splitbereinigt!A$3:AM$103,5,FALSE),0),0),0)</f>
        <v>#N/A</v>
      </c>
      <c r="F85" s="97" t="e">
        <f>IF(VLOOKUP(A85,Aktien_im_Umlauf_splitbereinigt!A$3:AM$103,7,FALSE)&lt;&gt;"",IF(VLOOKUP(A85,Aktien_im_Umlauf_splitbereinigt!A$3:AM$103,6,FALSE)&lt;&gt;"",IF(VLOOKUP(A85,Schlußkurse!A$5:AU$105,39,FALSE)&gt;0,((VLOOKUP(A85,Aktien_im_Umlauf_splitbereinigt!A$3:AM$103,7,FALSE)-VLOOKUP(A85,Aktien_im_Umlauf_splitbereinigt!A$3:AM$103,6,FALSE))*VLOOKUP(A85,Schlußkurse!A$5:AU$105,39,FALSE))/VLOOKUP(A85,Aktien_im_Umlauf_splitbereinigt!A$3:AM$103,6,FALSE),0),0),0)</f>
        <v>#N/A</v>
      </c>
      <c r="G85" s="97" t="e">
        <f>IF(VLOOKUP(A85,Aktien_im_Umlauf_splitbereinigt!A$3:AM$103,8,FALSE)&lt;&gt;"",IF(VLOOKUP(A85,Aktien_im_Umlauf_splitbereinigt!A$3:AM$103,7,FALSE)&lt;&gt;"",IF(VLOOKUP(A85,Schlußkurse!A$5:AU$105,40,FALSE)&gt;0,((VLOOKUP(A85,Aktien_im_Umlauf_splitbereinigt!A$3:AM$103,8,FALSE)-VLOOKUP(A85,Aktien_im_Umlauf_splitbereinigt!A$3:AM$103,7,FALSE))*VLOOKUP(A85,Schlußkurse!A$5:AU$105,40,FALSE))/VLOOKUP(A85,Aktien_im_Umlauf_splitbereinigt!A$3:AM$103,7,FALSE),0),0),0)</f>
        <v>#N/A</v>
      </c>
      <c r="H85" s="97" t="e">
        <f>IF(VLOOKUP(A85,Aktien_im_Umlauf_splitbereinigt!A$3:AM$103,9,FALSE)&lt;&gt;"",IF(VLOOKUP(A85,Aktien_im_Umlauf_splitbereinigt!A$3:AM$103,8,FALSE)&lt;&gt;"",IF(VLOOKUP(A85,Schlußkurse!A$5:AU$105,41,FALSE)&gt;0,((VLOOKUP(A85,Aktien_im_Umlauf_splitbereinigt!A$3:AM$103,9,FALSE)-VLOOKUP(A85,Aktien_im_Umlauf_splitbereinigt!A$3:AM$103,8,FALSE))*VLOOKUP(A85,Schlußkurse!A$5:AU$105,41,FALSE))/VLOOKUP(A85,Aktien_im_Umlauf_splitbereinigt!A$3:AM$103,8,FALSE),0),0),0)</f>
        <v>#N/A</v>
      </c>
      <c r="I85" s="97" t="e">
        <f>IF(VLOOKUP(A85,Aktien_im_Umlauf_splitbereinigt!A$3:AM$103,10,FALSE)&lt;&gt;"",IF(VLOOKUP(A85,Aktien_im_Umlauf_splitbereinigt!A$3:AM$103,9,FALSE)&lt;&gt;"",IF(VLOOKUP(A85,Schlußkurse!A$5:AU$105,42,FALSE)&gt;0,((VLOOKUP(A85,Aktien_im_Umlauf_splitbereinigt!A$3:AM$103,10,FALSE)-VLOOKUP(A85,Aktien_im_Umlauf_splitbereinigt!A$3:AM$103,9,FALSE))*VLOOKUP(A85,Schlußkurse!A$5:AU$105,42,FALSE))/VLOOKUP(A85,Aktien_im_Umlauf_splitbereinigt!A$3:AM$103,9,FALSE),0),0),0)</f>
        <v>#N/A</v>
      </c>
      <c r="J85" s="97" t="e">
        <f>IF(VLOOKUP(A85,Aktien_im_Umlauf_splitbereinigt!A$3:AM$103,11,FALSE)&lt;&gt;"",IF(VLOOKUP(A85,Aktien_im_Umlauf_splitbereinigt!A$3:AM$103,10,FALSE)&lt;&gt;"",IF(VLOOKUP(A85,Schlußkurse!A$5:AU$105,43,FALSE)&gt;0,((VLOOKUP(A85,Aktien_im_Umlauf_splitbereinigt!A$3:AM$103,11,FALSE)-VLOOKUP(A85,Aktien_im_Umlauf_splitbereinigt!A$3:AM$103,10,FALSE))*VLOOKUP(A85,Schlußkurse!A$5:AU$105,43,FALSE))/VLOOKUP(A85,Aktien_im_Umlauf_splitbereinigt!A$3:AM$103,10,FALSE),0),0),0)</f>
        <v>#N/A</v>
      </c>
      <c r="K85" s="97" t="e">
        <f>IF(VLOOKUP(A85,Aktien_im_Umlauf_splitbereinigt!A$3:AM$103,12,FALSE)&lt;&gt;"",IF(VLOOKUP(A85,Aktien_im_Umlauf_splitbereinigt!A$3:AM$103,11,FALSE)&lt;&gt;"",IF(VLOOKUP(A85,Schlußkurse!A$5:AU$105,44,FALSE)&gt;0,((VLOOKUP(A85,Aktien_im_Umlauf_splitbereinigt!A$3:AM$103,12,FALSE)-VLOOKUP(A85,Aktien_im_Umlauf_splitbereinigt!A$3:AM$103,11,FALSE))*VLOOKUP(A85,Schlußkurse!A$5:AU$105,44,FALSE))/VLOOKUP(A85,Aktien_im_Umlauf_splitbereinigt!A$3:AM$103,11,FALSE),0),0),0)</f>
        <v>#N/A</v>
      </c>
      <c r="L85" s="97" t="e">
        <f>IF(VLOOKUP(A85,Aktien_im_Umlauf_splitbereinigt!A$3:AM$103,13,FALSE)&lt;&gt;"",IF(VLOOKUP(A85,Aktien_im_Umlauf_splitbereinigt!A$3:AM$103,12,FALSE)&lt;&gt;"",IF(VLOOKUP(A85,Schlußkurse!A$5:AU$105,45,FALSE)&gt;0,((VLOOKUP(A85,Aktien_im_Umlauf_splitbereinigt!A$3:AM$103,13,FALSE)-VLOOKUP(A85,Aktien_im_Umlauf_splitbereinigt!A$3:AM$103,12,FALSE))*VLOOKUP(A85,Schlußkurse!A$5:AU$105,45,FALSE))/VLOOKUP(A85,Aktien_im_Umlauf_splitbereinigt!A$3:AM$103,12,FALSE),0),0),0)</f>
        <v>#N/A</v>
      </c>
      <c r="M85" s="97" t="e">
        <f>IF(VLOOKUP(A85,Aktien_im_Umlauf_splitbereinigt!A$3:AM$103,14,FALSE)&lt;&gt;"",IF(VLOOKUP(A85,Aktien_im_Umlauf_splitbereinigt!A$3:AM$103,13,FALSE)&lt;&gt;"",IF(VLOOKUP(A85,Schlußkurse!A$5:AU$105,46,FALSE)&gt;0,((VLOOKUP(A85,Aktien_im_Umlauf_splitbereinigt!A$3:AM$103,14,FALSE)-VLOOKUP(A85,Aktien_im_Umlauf_splitbereinigt!A$3:AM$103,13,FALSE))*VLOOKUP(A85,Schlußkurse!A$5:AU$105,46,FALSE))/VLOOKUP(A85,Aktien_im_Umlauf_splitbereinigt!A$3:AM$103,13,FALSE),0),0),0)</f>
        <v>#N/A</v>
      </c>
      <c r="N85" s="13" t="e">
        <f>IF(C85&gt;0,IF(VLOOKUP(A85,Dividende_je_Aktie!A$3:AM$103,8,FALSE)&lt;&gt;"",C85+VLOOKUP(A85,Dividende_je_Aktie!A$3:AM$103,8,FALSE),C85),IF(VLOOKUP(A85,Dividende_je_Aktie!A$3:AM$103,8,FALSE)&lt;&gt;"",VLOOKUP(A85,Dividende_je_Aktie!A$3:AM$103,8,FALSE),""))</f>
        <v>#N/A</v>
      </c>
      <c r="O85" s="13" t="e">
        <f>IF(D85&gt;0,IF(VLOOKUP(A85,Dividende_je_Aktie!A$3:AM$103,9,FALSE)&lt;&gt;"",D85+VLOOKUP(A85,Dividende_je_Aktie!A$3:AM$103,9,FALSE),D85),IF(VLOOKUP(A85,Dividende_je_Aktie!A$3:AM$103,9,FALSE)&lt;&gt;"",VLOOKUP(A85,Dividende_je_Aktie!A$3:AM$103,9,FALSE),""))</f>
        <v>#N/A</v>
      </c>
      <c r="P85" s="13" t="e">
        <f>IF(E85&gt;0,IF(VLOOKUP(A85,Dividende_je_Aktie!A$3:AM$103,10,FALSE)&lt;&gt;"",E85+VLOOKUP(A85,Dividende_je_Aktie!A$3:AM$103,10,FALSE),E85),IF(VLOOKUP(A85,Dividende_je_Aktie!A$3:AM$103,10,FALSE)&lt;&gt;"",VLOOKUP(A85,Dividende_je_Aktie!A$3:AM$103,10,FALSE),""))</f>
        <v>#N/A</v>
      </c>
      <c r="Q85" s="13" t="e">
        <f>IF(F85&gt;0,IF(VLOOKUP(A85,Dividende_je_Aktie!A$3:AM$103,11,FALSE)&lt;&gt;"",F85+VLOOKUP(A85,Dividende_je_Aktie!A$3:AM$103,11,FALSE),F85),IF(VLOOKUP(A85,Dividende_je_Aktie!A$3:AM$103,11,FALSE)&lt;&gt;"",VLOOKUP(A85,Dividende_je_Aktie!A$3:AM$103,11,FALSE),""))</f>
        <v>#N/A</v>
      </c>
      <c r="R85" s="13" t="e">
        <f>IF(G85&gt;0,IF(VLOOKUP(A85,Dividende_je_Aktie!A$3:AM$103,12,FALSE)&lt;&gt;"",G85+VLOOKUP(A85,Dividende_je_Aktie!A$3:AM$103,12,FALSE),G85),IF(VLOOKUP(A85,Dividende_je_Aktie!A$3:AM$103,12,FALSE)&lt;&gt;"",VLOOKUP(A85,Dividende_je_Aktie!A$3:AM$103,12,FALSE),""))</f>
        <v>#N/A</v>
      </c>
      <c r="S85" s="13" t="e">
        <f>IF(H85&gt;0,IF(VLOOKUP(A85,Dividende_je_Aktie!A$3:AM$103,13,FALSE)&lt;&gt;"",H85+VLOOKUP(A85,Dividende_je_Aktie!A$3:AM$103,13,FALSE),H85),IF(VLOOKUP(A85,Dividende_je_Aktie!A$3:AM$103,13,FALSE)&lt;&gt;"",VLOOKUP(A85,Dividende_je_Aktie!A$3:AM$103,13,FALSE),""))</f>
        <v>#N/A</v>
      </c>
      <c r="T85" s="13" t="e">
        <f>IF(I85&gt;0,IF(VLOOKUP(A85,Dividende_je_Aktie!A$3:AM$103,14,FALSE)&lt;&gt;"",I85+VLOOKUP(A85,Dividende_je_Aktie!A$3:AM$103,14,FALSE),I85),IF(VLOOKUP(A85,Dividende_je_Aktie!A$3:AM$103,14,FALSE)&lt;&gt;"",VLOOKUP(A85,Dividende_je_Aktie!A$3:AM$103,14,FALSE),""))</f>
        <v>#N/A</v>
      </c>
      <c r="U85" s="13" t="e">
        <f>IF(J85&gt;0,IF(VLOOKUP(A85,Dividende_je_Aktie!A$3:AM$103,15,FALSE)&lt;&gt;"",J85+VLOOKUP(A85,Dividende_je_Aktie!A$3:AM$103,15,FALSE),J85),IF(VLOOKUP(A85,Dividende_je_Aktie!A$3:AM$103,15,FALSE)&lt;&gt;"",VLOOKUP(A85,Dividende_je_Aktie!A$3:AM$103,15,FALSE),""))</f>
        <v>#N/A</v>
      </c>
      <c r="V85" s="13" t="e">
        <f>IF(K85&gt;0,IF(VLOOKUP(A85,Dividende_je_Aktie!A$3:AM$103,16,FALSE)&lt;&gt;"",K85+VLOOKUP(A85,Dividende_je_Aktie!A$3:AM$103,16,FALSE),K85),IF(VLOOKUP(A85,Dividende_je_Aktie!A$3:AM$103,16,FALSE)&lt;&gt;"",VLOOKUP(A85,Dividende_je_Aktie!A$3:AM$103,16,FALSE),""))</f>
        <v>#N/A</v>
      </c>
      <c r="W85" s="13" t="e">
        <f>IF(L85&gt;0,IF(VLOOKUP(A85,Dividende_je_Aktie!A$3:AM$103,17,FALSE)&lt;&gt;"",L85+VLOOKUP(A85,Dividende_je_Aktie!A$3:AM$103,17,FALSE),L85),IF(VLOOKUP(A85,Dividende_je_Aktie!A$3:AM$103,17,FALSE)&lt;&gt;"",VLOOKUP(A85,Dividende_je_Aktie!A$3:AM$103,17,FALSE),""))</f>
        <v>#N/A</v>
      </c>
      <c r="X85" s="13" t="e">
        <f>IF(M85&gt;0,IF(VLOOKUP(A85,Dividende_je_Aktie!A$3:AM$103,18,FALSE)&lt;&gt;"",M85+VLOOKUP(A85,Dividende_je_Aktie!A$3:AM$103,18,FALSE),M85),IF(VLOOKUP(A85,Dividende_je_Aktie!A$3:AM$103,18,FALSE)&lt;&gt;"",VLOOKUP(A85,Dividende_je_Aktie!A$3:AM$103,18,FALSE),""))</f>
        <v>#N/A</v>
      </c>
    </row>
    <row r="86" spans="1:24">
      <c r="A86" s="52"/>
      <c r="B86" s="52"/>
      <c r="C86" s="13" t="e">
        <f>IF(VLOOKUP(A86,Aktien_im_Umlauf_splitbereinigt!A$3:AM$103,4,FALSE)&lt;&gt;"",IF(VLOOKUP(A86,Aktien_im_Umlauf_splitbereinigt!A$3:AM$103,3,FALSE)&lt;&gt;"",IF(VLOOKUP(A86,Schlußkurse!A$5:AU$105,36,FALSE)&gt;0,((VLOOKUP(A86,Aktien_im_Umlauf_splitbereinigt!A$3:AM$103,4,FALSE)-VLOOKUP(A86,Aktien_im_Umlauf_splitbereinigt!A$3:AM$103,3,FALSE))*VLOOKUP(A86,Schlußkurse!A$5:AU$105,36,FALSE))/VLOOKUP(A86,Aktien_im_Umlauf_splitbereinigt!A$3:AM$103,3,FALSE),0),0),0)</f>
        <v>#N/A</v>
      </c>
      <c r="D86" s="97" t="e">
        <f>IF(VLOOKUP(A86,Aktien_im_Umlauf_splitbereinigt!A$3:AM$103,5,FALSE)&lt;&gt;"",IF(VLOOKUP(A86,Aktien_im_Umlauf_splitbereinigt!A$3:AM$103,4,FALSE)&lt;&gt;"",IF(VLOOKUP(A86,Schlußkurse!A$5:AU$105,37,FALSE)&gt;0,((VLOOKUP(A86,Aktien_im_Umlauf_splitbereinigt!A$3:AM$103,5,FALSE)-VLOOKUP(A86,Aktien_im_Umlauf_splitbereinigt!A$3:AM$103,4,FALSE))*VLOOKUP(A86,Schlußkurse!A$5:AU$105,37,FALSE))/VLOOKUP(A86,Aktien_im_Umlauf_splitbereinigt!A$3:AM$103,4,FALSE),0),0),0)</f>
        <v>#N/A</v>
      </c>
      <c r="E86" s="97" t="e">
        <f>IF(VLOOKUP(A86,Aktien_im_Umlauf_splitbereinigt!A$3:AM$103,6,FALSE)&lt;&gt;"",IF(VLOOKUP(A86,Aktien_im_Umlauf_splitbereinigt!A$3:AM$103,5,FALSE)&lt;&gt;"",IF(VLOOKUP(A86,Schlußkurse!A$5:AU$105,38,FALSE)&gt;0,((VLOOKUP(A86,Aktien_im_Umlauf_splitbereinigt!A$3:AM$103,6,FALSE)-VLOOKUP(A86,Aktien_im_Umlauf_splitbereinigt!A$3:AM$103,5,FALSE))*VLOOKUP(A86,Schlußkurse!A$5:AU$105,38,FALSE))/VLOOKUP(A86,Aktien_im_Umlauf_splitbereinigt!A$3:AM$103,5,FALSE),0),0),0)</f>
        <v>#N/A</v>
      </c>
      <c r="F86" s="97" t="e">
        <f>IF(VLOOKUP(A86,Aktien_im_Umlauf_splitbereinigt!A$3:AM$103,7,FALSE)&lt;&gt;"",IF(VLOOKUP(A86,Aktien_im_Umlauf_splitbereinigt!A$3:AM$103,6,FALSE)&lt;&gt;"",IF(VLOOKUP(A86,Schlußkurse!A$5:AU$105,39,FALSE)&gt;0,((VLOOKUP(A86,Aktien_im_Umlauf_splitbereinigt!A$3:AM$103,7,FALSE)-VLOOKUP(A86,Aktien_im_Umlauf_splitbereinigt!A$3:AM$103,6,FALSE))*VLOOKUP(A86,Schlußkurse!A$5:AU$105,39,FALSE))/VLOOKUP(A86,Aktien_im_Umlauf_splitbereinigt!A$3:AM$103,6,FALSE),0),0),0)</f>
        <v>#N/A</v>
      </c>
      <c r="G86" s="97" t="e">
        <f>IF(VLOOKUP(A86,Aktien_im_Umlauf_splitbereinigt!A$3:AM$103,8,FALSE)&lt;&gt;"",IF(VLOOKUP(A86,Aktien_im_Umlauf_splitbereinigt!A$3:AM$103,7,FALSE)&lt;&gt;"",IF(VLOOKUP(A86,Schlußkurse!A$5:AU$105,40,FALSE)&gt;0,((VLOOKUP(A86,Aktien_im_Umlauf_splitbereinigt!A$3:AM$103,8,FALSE)-VLOOKUP(A86,Aktien_im_Umlauf_splitbereinigt!A$3:AM$103,7,FALSE))*VLOOKUP(A86,Schlußkurse!A$5:AU$105,40,FALSE))/VLOOKUP(A86,Aktien_im_Umlauf_splitbereinigt!A$3:AM$103,7,FALSE),0),0),0)</f>
        <v>#N/A</v>
      </c>
      <c r="H86" s="97" t="e">
        <f>IF(VLOOKUP(A86,Aktien_im_Umlauf_splitbereinigt!A$3:AM$103,9,FALSE)&lt;&gt;"",IF(VLOOKUP(A86,Aktien_im_Umlauf_splitbereinigt!A$3:AM$103,8,FALSE)&lt;&gt;"",IF(VLOOKUP(A86,Schlußkurse!A$5:AU$105,41,FALSE)&gt;0,((VLOOKUP(A86,Aktien_im_Umlauf_splitbereinigt!A$3:AM$103,9,FALSE)-VLOOKUP(A86,Aktien_im_Umlauf_splitbereinigt!A$3:AM$103,8,FALSE))*VLOOKUP(A86,Schlußkurse!A$5:AU$105,41,FALSE))/VLOOKUP(A86,Aktien_im_Umlauf_splitbereinigt!A$3:AM$103,8,FALSE),0),0),0)</f>
        <v>#N/A</v>
      </c>
      <c r="I86" s="97" t="e">
        <f>IF(VLOOKUP(A86,Aktien_im_Umlauf_splitbereinigt!A$3:AM$103,10,FALSE)&lt;&gt;"",IF(VLOOKUP(A86,Aktien_im_Umlauf_splitbereinigt!A$3:AM$103,9,FALSE)&lt;&gt;"",IF(VLOOKUP(A86,Schlußkurse!A$5:AU$105,42,FALSE)&gt;0,((VLOOKUP(A86,Aktien_im_Umlauf_splitbereinigt!A$3:AM$103,10,FALSE)-VLOOKUP(A86,Aktien_im_Umlauf_splitbereinigt!A$3:AM$103,9,FALSE))*VLOOKUP(A86,Schlußkurse!A$5:AU$105,42,FALSE))/VLOOKUP(A86,Aktien_im_Umlauf_splitbereinigt!A$3:AM$103,9,FALSE),0),0),0)</f>
        <v>#N/A</v>
      </c>
      <c r="J86" s="97" t="e">
        <f>IF(VLOOKUP(A86,Aktien_im_Umlauf_splitbereinigt!A$3:AM$103,11,FALSE)&lt;&gt;"",IF(VLOOKUP(A86,Aktien_im_Umlauf_splitbereinigt!A$3:AM$103,10,FALSE)&lt;&gt;"",IF(VLOOKUP(A86,Schlußkurse!A$5:AU$105,43,FALSE)&gt;0,((VLOOKUP(A86,Aktien_im_Umlauf_splitbereinigt!A$3:AM$103,11,FALSE)-VLOOKUP(A86,Aktien_im_Umlauf_splitbereinigt!A$3:AM$103,10,FALSE))*VLOOKUP(A86,Schlußkurse!A$5:AU$105,43,FALSE))/VLOOKUP(A86,Aktien_im_Umlauf_splitbereinigt!A$3:AM$103,10,FALSE),0),0),0)</f>
        <v>#N/A</v>
      </c>
      <c r="K86" s="97" t="e">
        <f>IF(VLOOKUP(A86,Aktien_im_Umlauf_splitbereinigt!A$3:AM$103,12,FALSE)&lt;&gt;"",IF(VLOOKUP(A86,Aktien_im_Umlauf_splitbereinigt!A$3:AM$103,11,FALSE)&lt;&gt;"",IF(VLOOKUP(A86,Schlußkurse!A$5:AU$105,44,FALSE)&gt;0,((VLOOKUP(A86,Aktien_im_Umlauf_splitbereinigt!A$3:AM$103,12,FALSE)-VLOOKUP(A86,Aktien_im_Umlauf_splitbereinigt!A$3:AM$103,11,FALSE))*VLOOKUP(A86,Schlußkurse!A$5:AU$105,44,FALSE))/VLOOKUP(A86,Aktien_im_Umlauf_splitbereinigt!A$3:AM$103,11,FALSE),0),0),0)</f>
        <v>#N/A</v>
      </c>
      <c r="L86" s="97" t="e">
        <f>IF(VLOOKUP(A86,Aktien_im_Umlauf_splitbereinigt!A$3:AM$103,13,FALSE)&lt;&gt;"",IF(VLOOKUP(A86,Aktien_im_Umlauf_splitbereinigt!A$3:AM$103,12,FALSE)&lt;&gt;"",IF(VLOOKUP(A86,Schlußkurse!A$5:AU$105,45,FALSE)&gt;0,((VLOOKUP(A86,Aktien_im_Umlauf_splitbereinigt!A$3:AM$103,13,FALSE)-VLOOKUP(A86,Aktien_im_Umlauf_splitbereinigt!A$3:AM$103,12,FALSE))*VLOOKUP(A86,Schlußkurse!A$5:AU$105,45,FALSE))/VLOOKUP(A86,Aktien_im_Umlauf_splitbereinigt!A$3:AM$103,12,FALSE),0),0),0)</f>
        <v>#N/A</v>
      </c>
      <c r="M86" s="97" t="e">
        <f>IF(VLOOKUP(A86,Aktien_im_Umlauf_splitbereinigt!A$3:AM$103,14,FALSE)&lt;&gt;"",IF(VLOOKUP(A86,Aktien_im_Umlauf_splitbereinigt!A$3:AM$103,13,FALSE)&lt;&gt;"",IF(VLOOKUP(A86,Schlußkurse!A$5:AU$105,46,FALSE)&gt;0,((VLOOKUP(A86,Aktien_im_Umlauf_splitbereinigt!A$3:AM$103,14,FALSE)-VLOOKUP(A86,Aktien_im_Umlauf_splitbereinigt!A$3:AM$103,13,FALSE))*VLOOKUP(A86,Schlußkurse!A$5:AU$105,46,FALSE))/VLOOKUP(A86,Aktien_im_Umlauf_splitbereinigt!A$3:AM$103,13,FALSE),0),0),0)</f>
        <v>#N/A</v>
      </c>
      <c r="N86" s="13" t="e">
        <f>IF(C86&gt;0,IF(VLOOKUP(A86,Dividende_je_Aktie!A$3:AM$103,8,FALSE)&lt;&gt;"",C86+VLOOKUP(A86,Dividende_je_Aktie!A$3:AM$103,8,FALSE),C86),IF(VLOOKUP(A86,Dividende_je_Aktie!A$3:AM$103,8,FALSE)&lt;&gt;"",VLOOKUP(A86,Dividende_je_Aktie!A$3:AM$103,8,FALSE),""))</f>
        <v>#N/A</v>
      </c>
      <c r="O86" s="13" t="e">
        <f>IF(D86&gt;0,IF(VLOOKUP(A86,Dividende_je_Aktie!A$3:AM$103,9,FALSE)&lt;&gt;"",D86+VLOOKUP(A86,Dividende_je_Aktie!A$3:AM$103,9,FALSE),D86),IF(VLOOKUP(A86,Dividende_je_Aktie!A$3:AM$103,9,FALSE)&lt;&gt;"",VLOOKUP(A86,Dividende_je_Aktie!A$3:AM$103,9,FALSE),""))</f>
        <v>#N/A</v>
      </c>
      <c r="P86" s="13" t="e">
        <f>IF(E86&gt;0,IF(VLOOKUP(A86,Dividende_je_Aktie!A$3:AM$103,10,FALSE)&lt;&gt;"",E86+VLOOKUP(A86,Dividende_je_Aktie!A$3:AM$103,10,FALSE),E86),IF(VLOOKUP(A86,Dividende_je_Aktie!A$3:AM$103,10,FALSE)&lt;&gt;"",VLOOKUP(A86,Dividende_je_Aktie!A$3:AM$103,10,FALSE),""))</f>
        <v>#N/A</v>
      </c>
      <c r="Q86" s="13" t="e">
        <f>IF(F86&gt;0,IF(VLOOKUP(A86,Dividende_je_Aktie!A$3:AM$103,11,FALSE)&lt;&gt;"",F86+VLOOKUP(A86,Dividende_je_Aktie!A$3:AM$103,11,FALSE),F86),IF(VLOOKUP(A86,Dividende_je_Aktie!A$3:AM$103,11,FALSE)&lt;&gt;"",VLOOKUP(A86,Dividende_je_Aktie!A$3:AM$103,11,FALSE),""))</f>
        <v>#N/A</v>
      </c>
      <c r="R86" s="13" t="e">
        <f>IF(G86&gt;0,IF(VLOOKUP(A86,Dividende_je_Aktie!A$3:AM$103,12,FALSE)&lt;&gt;"",G86+VLOOKUP(A86,Dividende_je_Aktie!A$3:AM$103,12,FALSE),G86),IF(VLOOKUP(A86,Dividende_je_Aktie!A$3:AM$103,12,FALSE)&lt;&gt;"",VLOOKUP(A86,Dividende_je_Aktie!A$3:AM$103,12,FALSE),""))</f>
        <v>#N/A</v>
      </c>
      <c r="S86" s="13" t="e">
        <f>IF(H86&gt;0,IF(VLOOKUP(A86,Dividende_je_Aktie!A$3:AM$103,13,FALSE)&lt;&gt;"",H86+VLOOKUP(A86,Dividende_je_Aktie!A$3:AM$103,13,FALSE),H86),IF(VLOOKUP(A86,Dividende_je_Aktie!A$3:AM$103,13,FALSE)&lt;&gt;"",VLOOKUP(A86,Dividende_je_Aktie!A$3:AM$103,13,FALSE),""))</f>
        <v>#N/A</v>
      </c>
      <c r="T86" s="13" t="e">
        <f>IF(I86&gt;0,IF(VLOOKUP(A86,Dividende_je_Aktie!A$3:AM$103,14,FALSE)&lt;&gt;"",I86+VLOOKUP(A86,Dividende_je_Aktie!A$3:AM$103,14,FALSE),I86),IF(VLOOKUP(A86,Dividende_je_Aktie!A$3:AM$103,14,FALSE)&lt;&gt;"",VLOOKUP(A86,Dividende_je_Aktie!A$3:AM$103,14,FALSE),""))</f>
        <v>#N/A</v>
      </c>
      <c r="U86" s="13" t="e">
        <f>IF(J86&gt;0,IF(VLOOKUP(A86,Dividende_je_Aktie!A$3:AM$103,15,FALSE)&lt;&gt;"",J86+VLOOKUP(A86,Dividende_je_Aktie!A$3:AM$103,15,FALSE),J86),IF(VLOOKUP(A86,Dividende_je_Aktie!A$3:AM$103,15,FALSE)&lt;&gt;"",VLOOKUP(A86,Dividende_je_Aktie!A$3:AM$103,15,FALSE),""))</f>
        <v>#N/A</v>
      </c>
      <c r="V86" s="13" t="e">
        <f>IF(K86&gt;0,IF(VLOOKUP(A86,Dividende_je_Aktie!A$3:AM$103,16,FALSE)&lt;&gt;"",K86+VLOOKUP(A86,Dividende_je_Aktie!A$3:AM$103,16,FALSE),K86),IF(VLOOKUP(A86,Dividende_je_Aktie!A$3:AM$103,16,FALSE)&lt;&gt;"",VLOOKUP(A86,Dividende_je_Aktie!A$3:AM$103,16,FALSE),""))</f>
        <v>#N/A</v>
      </c>
      <c r="W86" s="13" t="e">
        <f>IF(L86&gt;0,IF(VLOOKUP(A86,Dividende_je_Aktie!A$3:AM$103,17,FALSE)&lt;&gt;"",L86+VLOOKUP(A86,Dividende_je_Aktie!A$3:AM$103,17,FALSE),L86),IF(VLOOKUP(A86,Dividende_je_Aktie!A$3:AM$103,17,FALSE)&lt;&gt;"",VLOOKUP(A86,Dividende_je_Aktie!A$3:AM$103,17,FALSE),""))</f>
        <v>#N/A</v>
      </c>
      <c r="X86" s="13" t="e">
        <f>IF(M86&gt;0,IF(VLOOKUP(A86,Dividende_je_Aktie!A$3:AM$103,18,FALSE)&lt;&gt;"",M86+VLOOKUP(A86,Dividende_je_Aktie!A$3:AM$103,18,FALSE),M86),IF(VLOOKUP(A86,Dividende_je_Aktie!A$3:AM$103,18,FALSE)&lt;&gt;"",VLOOKUP(A86,Dividende_je_Aktie!A$3:AM$103,18,FALSE),""))</f>
        <v>#N/A</v>
      </c>
    </row>
    <row r="87" spans="1:24">
      <c r="A87" s="52"/>
      <c r="B87" s="52"/>
      <c r="C87" s="13" t="e">
        <f>IF(VLOOKUP(A87,Aktien_im_Umlauf_splitbereinigt!A$3:AM$103,4,FALSE)&lt;&gt;"",IF(VLOOKUP(A87,Aktien_im_Umlauf_splitbereinigt!A$3:AM$103,3,FALSE)&lt;&gt;"",IF(VLOOKUP(A87,Schlußkurse!A$5:AU$105,36,FALSE)&gt;0,((VLOOKUP(A87,Aktien_im_Umlauf_splitbereinigt!A$3:AM$103,4,FALSE)-VLOOKUP(A87,Aktien_im_Umlauf_splitbereinigt!A$3:AM$103,3,FALSE))*VLOOKUP(A87,Schlußkurse!A$5:AU$105,36,FALSE))/VLOOKUP(A87,Aktien_im_Umlauf_splitbereinigt!A$3:AM$103,3,FALSE),0),0),0)</f>
        <v>#N/A</v>
      </c>
      <c r="D87" s="97" t="e">
        <f>IF(VLOOKUP(A87,Aktien_im_Umlauf_splitbereinigt!A$3:AM$103,5,FALSE)&lt;&gt;"",IF(VLOOKUP(A87,Aktien_im_Umlauf_splitbereinigt!A$3:AM$103,4,FALSE)&lt;&gt;"",IF(VLOOKUP(A87,Schlußkurse!A$5:AU$105,37,FALSE)&gt;0,((VLOOKUP(A87,Aktien_im_Umlauf_splitbereinigt!A$3:AM$103,5,FALSE)-VLOOKUP(A87,Aktien_im_Umlauf_splitbereinigt!A$3:AM$103,4,FALSE))*VLOOKUP(A87,Schlußkurse!A$5:AU$105,37,FALSE))/VLOOKUP(A87,Aktien_im_Umlauf_splitbereinigt!A$3:AM$103,4,FALSE),0),0),0)</f>
        <v>#N/A</v>
      </c>
      <c r="E87" s="97" t="e">
        <f>IF(VLOOKUP(A87,Aktien_im_Umlauf_splitbereinigt!A$3:AM$103,6,FALSE)&lt;&gt;"",IF(VLOOKUP(A87,Aktien_im_Umlauf_splitbereinigt!A$3:AM$103,5,FALSE)&lt;&gt;"",IF(VLOOKUP(A87,Schlußkurse!A$5:AU$105,38,FALSE)&gt;0,((VLOOKUP(A87,Aktien_im_Umlauf_splitbereinigt!A$3:AM$103,6,FALSE)-VLOOKUP(A87,Aktien_im_Umlauf_splitbereinigt!A$3:AM$103,5,FALSE))*VLOOKUP(A87,Schlußkurse!A$5:AU$105,38,FALSE))/VLOOKUP(A87,Aktien_im_Umlauf_splitbereinigt!A$3:AM$103,5,FALSE),0),0),0)</f>
        <v>#N/A</v>
      </c>
      <c r="F87" s="97" t="e">
        <f>IF(VLOOKUP(A87,Aktien_im_Umlauf_splitbereinigt!A$3:AM$103,7,FALSE)&lt;&gt;"",IF(VLOOKUP(A87,Aktien_im_Umlauf_splitbereinigt!A$3:AM$103,6,FALSE)&lt;&gt;"",IF(VLOOKUP(A87,Schlußkurse!A$5:AU$105,39,FALSE)&gt;0,((VLOOKUP(A87,Aktien_im_Umlauf_splitbereinigt!A$3:AM$103,7,FALSE)-VLOOKUP(A87,Aktien_im_Umlauf_splitbereinigt!A$3:AM$103,6,FALSE))*VLOOKUP(A87,Schlußkurse!A$5:AU$105,39,FALSE))/VLOOKUP(A87,Aktien_im_Umlauf_splitbereinigt!A$3:AM$103,6,FALSE),0),0),0)</f>
        <v>#N/A</v>
      </c>
      <c r="G87" s="97" t="e">
        <f>IF(VLOOKUP(A87,Aktien_im_Umlauf_splitbereinigt!A$3:AM$103,8,FALSE)&lt;&gt;"",IF(VLOOKUP(A87,Aktien_im_Umlauf_splitbereinigt!A$3:AM$103,7,FALSE)&lt;&gt;"",IF(VLOOKUP(A87,Schlußkurse!A$5:AU$105,40,FALSE)&gt;0,((VLOOKUP(A87,Aktien_im_Umlauf_splitbereinigt!A$3:AM$103,8,FALSE)-VLOOKUP(A87,Aktien_im_Umlauf_splitbereinigt!A$3:AM$103,7,FALSE))*VLOOKUP(A87,Schlußkurse!A$5:AU$105,40,FALSE))/VLOOKUP(A87,Aktien_im_Umlauf_splitbereinigt!A$3:AM$103,7,FALSE),0),0),0)</f>
        <v>#N/A</v>
      </c>
      <c r="H87" s="97" t="e">
        <f>IF(VLOOKUP(A87,Aktien_im_Umlauf_splitbereinigt!A$3:AM$103,9,FALSE)&lt;&gt;"",IF(VLOOKUP(A87,Aktien_im_Umlauf_splitbereinigt!A$3:AM$103,8,FALSE)&lt;&gt;"",IF(VLOOKUP(A87,Schlußkurse!A$5:AU$105,41,FALSE)&gt;0,((VLOOKUP(A87,Aktien_im_Umlauf_splitbereinigt!A$3:AM$103,9,FALSE)-VLOOKUP(A87,Aktien_im_Umlauf_splitbereinigt!A$3:AM$103,8,FALSE))*VLOOKUP(A87,Schlußkurse!A$5:AU$105,41,FALSE))/VLOOKUP(A87,Aktien_im_Umlauf_splitbereinigt!A$3:AM$103,8,FALSE),0),0),0)</f>
        <v>#N/A</v>
      </c>
      <c r="I87" s="97" t="e">
        <f>IF(VLOOKUP(A87,Aktien_im_Umlauf_splitbereinigt!A$3:AM$103,10,FALSE)&lt;&gt;"",IF(VLOOKUP(A87,Aktien_im_Umlauf_splitbereinigt!A$3:AM$103,9,FALSE)&lt;&gt;"",IF(VLOOKUP(A87,Schlußkurse!A$5:AU$105,42,FALSE)&gt;0,((VLOOKUP(A87,Aktien_im_Umlauf_splitbereinigt!A$3:AM$103,10,FALSE)-VLOOKUP(A87,Aktien_im_Umlauf_splitbereinigt!A$3:AM$103,9,FALSE))*VLOOKUP(A87,Schlußkurse!A$5:AU$105,42,FALSE))/VLOOKUP(A87,Aktien_im_Umlauf_splitbereinigt!A$3:AM$103,9,FALSE),0),0),0)</f>
        <v>#N/A</v>
      </c>
      <c r="J87" s="97" t="e">
        <f>IF(VLOOKUP(A87,Aktien_im_Umlauf_splitbereinigt!A$3:AM$103,11,FALSE)&lt;&gt;"",IF(VLOOKUP(A87,Aktien_im_Umlauf_splitbereinigt!A$3:AM$103,10,FALSE)&lt;&gt;"",IF(VLOOKUP(A87,Schlußkurse!A$5:AU$105,43,FALSE)&gt;0,((VLOOKUP(A87,Aktien_im_Umlauf_splitbereinigt!A$3:AM$103,11,FALSE)-VLOOKUP(A87,Aktien_im_Umlauf_splitbereinigt!A$3:AM$103,10,FALSE))*VLOOKUP(A87,Schlußkurse!A$5:AU$105,43,FALSE))/VLOOKUP(A87,Aktien_im_Umlauf_splitbereinigt!A$3:AM$103,10,FALSE),0),0),0)</f>
        <v>#N/A</v>
      </c>
      <c r="K87" s="97" t="e">
        <f>IF(VLOOKUP(A87,Aktien_im_Umlauf_splitbereinigt!A$3:AM$103,12,FALSE)&lt;&gt;"",IF(VLOOKUP(A87,Aktien_im_Umlauf_splitbereinigt!A$3:AM$103,11,FALSE)&lt;&gt;"",IF(VLOOKUP(A87,Schlußkurse!A$5:AU$105,44,FALSE)&gt;0,((VLOOKUP(A87,Aktien_im_Umlauf_splitbereinigt!A$3:AM$103,12,FALSE)-VLOOKUP(A87,Aktien_im_Umlauf_splitbereinigt!A$3:AM$103,11,FALSE))*VLOOKUP(A87,Schlußkurse!A$5:AU$105,44,FALSE))/VLOOKUP(A87,Aktien_im_Umlauf_splitbereinigt!A$3:AM$103,11,FALSE),0),0),0)</f>
        <v>#N/A</v>
      </c>
      <c r="L87" s="97" t="e">
        <f>IF(VLOOKUP(A87,Aktien_im_Umlauf_splitbereinigt!A$3:AM$103,13,FALSE)&lt;&gt;"",IF(VLOOKUP(A87,Aktien_im_Umlauf_splitbereinigt!A$3:AM$103,12,FALSE)&lt;&gt;"",IF(VLOOKUP(A87,Schlußkurse!A$5:AU$105,45,FALSE)&gt;0,((VLOOKUP(A87,Aktien_im_Umlauf_splitbereinigt!A$3:AM$103,13,FALSE)-VLOOKUP(A87,Aktien_im_Umlauf_splitbereinigt!A$3:AM$103,12,FALSE))*VLOOKUP(A87,Schlußkurse!A$5:AU$105,45,FALSE))/VLOOKUP(A87,Aktien_im_Umlauf_splitbereinigt!A$3:AM$103,12,FALSE),0),0),0)</f>
        <v>#N/A</v>
      </c>
      <c r="M87" s="97" t="e">
        <f>IF(VLOOKUP(A87,Aktien_im_Umlauf_splitbereinigt!A$3:AM$103,14,FALSE)&lt;&gt;"",IF(VLOOKUP(A87,Aktien_im_Umlauf_splitbereinigt!A$3:AM$103,13,FALSE)&lt;&gt;"",IF(VLOOKUP(A87,Schlußkurse!A$5:AU$105,46,FALSE)&gt;0,((VLOOKUP(A87,Aktien_im_Umlauf_splitbereinigt!A$3:AM$103,14,FALSE)-VLOOKUP(A87,Aktien_im_Umlauf_splitbereinigt!A$3:AM$103,13,FALSE))*VLOOKUP(A87,Schlußkurse!A$5:AU$105,46,FALSE))/VLOOKUP(A87,Aktien_im_Umlauf_splitbereinigt!A$3:AM$103,13,FALSE),0),0),0)</f>
        <v>#N/A</v>
      </c>
      <c r="N87" s="13" t="e">
        <f>IF(C87&gt;0,IF(VLOOKUP(A87,Dividende_je_Aktie!A$3:AM$103,8,FALSE)&lt;&gt;"",C87+VLOOKUP(A87,Dividende_je_Aktie!A$3:AM$103,8,FALSE),C87),IF(VLOOKUP(A87,Dividende_je_Aktie!A$3:AM$103,8,FALSE)&lt;&gt;"",VLOOKUP(A87,Dividende_je_Aktie!A$3:AM$103,8,FALSE),""))</f>
        <v>#N/A</v>
      </c>
      <c r="O87" s="13" t="e">
        <f>IF(D87&gt;0,IF(VLOOKUP(A87,Dividende_je_Aktie!A$3:AM$103,9,FALSE)&lt;&gt;"",D87+VLOOKUP(A87,Dividende_je_Aktie!A$3:AM$103,9,FALSE),D87),IF(VLOOKUP(A87,Dividende_je_Aktie!A$3:AM$103,9,FALSE)&lt;&gt;"",VLOOKUP(A87,Dividende_je_Aktie!A$3:AM$103,9,FALSE),""))</f>
        <v>#N/A</v>
      </c>
      <c r="P87" s="13" t="e">
        <f>IF(E87&gt;0,IF(VLOOKUP(A87,Dividende_je_Aktie!A$3:AM$103,10,FALSE)&lt;&gt;"",E87+VLOOKUP(A87,Dividende_je_Aktie!A$3:AM$103,10,FALSE),E87),IF(VLOOKUP(A87,Dividende_je_Aktie!A$3:AM$103,10,FALSE)&lt;&gt;"",VLOOKUP(A87,Dividende_je_Aktie!A$3:AM$103,10,FALSE),""))</f>
        <v>#N/A</v>
      </c>
      <c r="Q87" s="13" t="e">
        <f>IF(F87&gt;0,IF(VLOOKUP(A87,Dividende_je_Aktie!A$3:AM$103,11,FALSE)&lt;&gt;"",F87+VLOOKUP(A87,Dividende_je_Aktie!A$3:AM$103,11,FALSE),F87),IF(VLOOKUP(A87,Dividende_je_Aktie!A$3:AM$103,11,FALSE)&lt;&gt;"",VLOOKUP(A87,Dividende_je_Aktie!A$3:AM$103,11,FALSE),""))</f>
        <v>#N/A</v>
      </c>
      <c r="R87" s="13" t="e">
        <f>IF(G87&gt;0,IF(VLOOKUP(A87,Dividende_je_Aktie!A$3:AM$103,12,FALSE)&lt;&gt;"",G87+VLOOKUP(A87,Dividende_je_Aktie!A$3:AM$103,12,FALSE),G87),IF(VLOOKUP(A87,Dividende_je_Aktie!A$3:AM$103,12,FALSE)&lt;&gt;"",VLOOKUP(A87,Dividende_je_Aktie!A$3:AM$103,12,FALSE),""))</f>
        <v>#N/A</v>
      </c>
      <c r="S87" s="13" t="e">
        <f>IF(H87&gt;0,IF(VLOOKUP(A87,Dividende_je_Aktie!A$3:AM$103,13,FALSE)&lt;&gt;"",H87+VLOOKUP(A87,Dividende_je_Aktie!A$3:AM$103,13,FALSE),H87),IF(VLOOKUP(A87,Dividende_je_Aktie!A$3:AM$103,13,FALSE)&lt;&gt;"",VLOOKUP(A87,Dividende_je_Aktie!A$3:AM$103,13,FALSE),""))</f>
        <v>#N/A</v>
      </c>
      <c r="T87" s="13" t="e">
        <f>IF(I87&gt;0,IF(VLOOKUP(A87,Dividende_je_Aktie!A$3:AM$103,14,FALSE)&lt;&gt;"",I87+VLOOKUP(A87,Dividende_je_Aktie!A$3:AM$103,14,FALSE),I87),IF(VLOOKUP(A87,Dividende_je_Aktie!A$3:AM$103,14,FALSE)&lt;&gt;"",VLOOKUP(A87,Dividende_je_Aktie!A$3:AM$103,14,FALSE),""))</f>
        <v>#N/A</v>
      </c>
      <c r="U87" s="13" t="e">
        <f>IF(J87&gt;0,IF(VLOOKUP(A87,Dividende_je_Aktie!A$3:AM$103,15,FALSE)&lt;&gt;"",J87+VLOOKUP(A87,Dividende_je_Aktie!A$3:AM$103,15,FALSE),J87),IF(VLOOKUP(A87,Dividende_je_Aktie!A$3:AM$103,15,FALSE)&lt;&gt;"",VLOOKUP(A87,Dividende_je_Aktie!A$3:AM$103,15,FALSE),""))</f>
        <v>#N/A</v>
      </c>
      <c r="V87" s="13" t="e">
        <f>IF(K87&gt;0,IF(VLOOKUP(A87,Dividende_je_Aktie!A$3:AM$103,16,FALSE)&lt;&gt;"",K87+VLOOKUP(A87,Dividende_je_Aktie!A$3:AM$103,16,FALSE),K87),IF(VLOOKUP(A87,Dividende_je_Aktie!A$3:AM$103,16,FALSE)&lt;&gt;"",VLOOKUP(A87,Dividende_je_Aktie!A$3:AM$103,16,FALSE),""))</f>
        <v>#N/A</v>
      </c>
      <c r="W87" s="13" t="e">
        <f>IF(L87&gt;0,IF(VLOOKUP(A87,Dividende_je_Aktie!A$3:AM$103,17,FALSE)&lt;&gt;"",L87+VLOOKUP(A87,Dividende_je_Aktie!A$3:AM$103,17,FALSE),L87),IF(VLOOKUP(A87,Dividende_je_Aktie!A$3:AM$103,17,FALSE)&lt;&gt;"",VLOOKUP(A87,Dividende_je_Aktie!A$3:AM$103,17,FALSE),""))</f>
        <v>#N/A</v>
      </c>
      <c r="X87" s="13" t="e">
        <f>IF(M87&gt;0,IF(VLOOKUP(A87,Dividende_je_Aktie!A$3:AM$103,18,FALSE)&lt;&gt;"",M87+VLOOKUP(A87,Dividende_je_Aktie!A$3:AM$103,18,FALSE),M87),IF(VLOOKUP(A87,Dividende_je_Aktie!A$3:AM$103,18,FALSE)&lt;&gt;"",VLOOKUP(A87,Dividende_je_Aktie!A$3:AM$103,18,FALSE),""))</f>
        <v>#N/A</v>
      </c>
    </row>
    <row r="88" spans="1:24">
      <c r="A88" s="52"/>
      <c r="B88" s="52"/>
      <c r="C88" s="13" t="e">
        <f>IF(VLOOKUP(A88,Aktien_im_Umlauf_splitbereinigt!A$3:AM$103,4,FALSE)&lt;&gt;"",IF(VLOOKUP(A88,Aktien_im_Umlauf_splitbereinigt!A$3:AM$103,3,FALSE)&lt;&gt;"",IF(VLOOKUP(A88,Schlußkurse!A$5:AU$105,36,FALSE)&gt;0,((VLOOKUP(A88,Aktien_im_Umlauf_splitbereinigt!A$3:AM$103,4,FALSE)-VLOOKUP(A88,Aktien_im_Umlauf_splitbereinigt!A$3:AM$103,3,FALSE))*VLOOKUP(A88,Schlußkurse!A$5:AU$105,36,FALSE))/VLOOKUP(A88,Aktien_im_Umlauf_splitbereinigt!A$3:AM$103,3,FALSE),0),0),0)</f>
        <v>#N/A</v>
      </c>
      <c r="D88" s="97" t="e">
        <f>IF(VLOOKUP(A88,Aktien_im_Umlauf_splitbereinigt!A$3:AM$103,5,FALSE)&lt;&gt;"",IF(VLOOKUP(A88,Aktien_im_Umlauf_splitbereinigt!A$3:AM$103,4,FALSE)&lt;&gt;"",IF(VLOOKUP(A88,Schlußkurse!A$5:AU$105,37,FALSE)&gt;0,((VLOOKUP(A88,Aktien_im_Umlauf_splitbereinigt!A$3:AM$103,5,FALSE)-VLOOKUP(A88,Aktien_im_Umlauf_splitbereinigt!A$3:AM$103,4,FALSE))*VLOOKUP(A88,Schlußkurse!A$5:AU$105,37,FALSE))/VLOOKUP(A88,Aktien_im_Umlauf_splitbereinigt!A$3:AM$103,4,FALSE),0),0),0)</f>
        <v>#N/A</v>
      </c>
      <c r="E88" s="97" t="e">
        <f>IF(VLOOKUP(A88,Aktien_im_Umlauf_splitbereinigt!A$3:AM$103,6,FALSE)&lt;&gt;"",IF(VLOOKUP(A88,Aktien_im_Umlauf_splitbereinigt!A$3:AM$103,5,FALSE)&lt;&gt;"",IF(VLOOKUP(A88,Schlußkurse!A$5:AU$105,38,FALSE)&gt;0,((VLOOKUP(A88,Aktien_im_Umlauf_splitbereinigt!A$3:AM$103,6,FALSE)-VLOOKUP(A88,Aktien_im_Umlauf_splitbereinigt!A$3:AM$103,5,FALSE))*VLOOKUP(A88,Schlußkurse!A$5:AU$105,38,FALSE))/VLOOKUP(A88,Aktien_im_Umlauf_splitbereinigt!A$3:AM$103,5,FALSE),0),0),0)</f>
        <v>#N/A</v>
      </c>
      <c r="F88" s="97" t="e">
        <f>IF(VLOOKUP(A88,Aktien_im_Umlauf_splitbereinigt!A$3:AM$103,7,FALSE)&lt;&gt;"",IF(VLOOKUP(A88,Aktien_im_Umlauf_splitbereinigt!A$3:AM$103,6,FALSE)&lt;&gt;"",IF(VLOOKUP(A88,Schlußkurse!A$5:AU$105,39,FALSE)&gt;0,((VLOOKUP(A88,Aktien_im_Umlauf_splitbereinigt!A$3:AM$103,7,FALSE)-VLOOKUP(A88,Aktien_im_Umlauf_splitbereinigt!A$3:AM$103,6,FALSE))*VLOOKUP(A88,Schlußkurse!A$5:AU$105,39,FALSE))/VLOOKUP(A88,Aktien_im_Umlauf_splitbereinigt!A$3:AM$103,6,FALSE),0),0),0)</f>
        <v>#N/A</v>
      </c>
      <c r="G88" s="97" t="e">
        <f>IF(VLOOKUP(A88,Aktien_im_Umlauf_splitbereinigt!A$3:AM$103,8,FALSE)&lt;&gt;"",IF(VLOOKUP(A88,Aktien_im_Umlauf_splitbereinigt!A$3:AM$103,7,FALSE)&lt;&gt;"",IF(VLOOKUP(A88,Schlußkurse!A$5:AU$105,40,FALSE)&gt;0,((VLOOKUP(A88,Aktien_im_Umlauf_splitbereinigt!A$3:AM$103,8,FALSE)-VLOOKUP(A88,Aktien_im_Umlauf_splitbereinigt!A$3:AM$103,7,FALSE))*VLOOKUP(A88,Schlußkurse!A$5:AU$105,40,FALSE))/VLOOKUP(A88,Aktien_im_Umlauf_splitbereinigt!A$3:AM$103,7,FALSE),0),0),0)</f>
        <v>#N/A</v>
      </c>
      <c r="H88" s="97" t="e">
        <f>IF(VLOOKUP(A88,Aktien_im_Umlauf_splitbereinigt!A$3:AM$103,9,FALSE)&lt;&gt;"",IF(VLOOKUP(A88,Aktien_im_Umlauf_splitbereinigt!A$3:AM$103,8,FALSE)&lt;&gt;"",IF(VLOOKUP(A88,Schlußkurse!A$5:AU$105,41,FALSE)&gt;0,((VLOOKUP(A88,Aktien_im_Umlauf_splitbereinigt!A$3:AM$103,9,FALSE)-VLOOKUP(A88,Aktien_im_Umlauf_splitbereinigt!A$3:AM$103,8,FALSE))*VLOOKUP(A88,Schlußkurse!A$5:AU$105,41,FALSE))/VLOOKUP(A88,Aktien_im_Umlauf_splitbereinigt!A$3:AM$103,8,FALSE),0),0),0)</f>
        <v>#N/A</v>
      </c>
      <c r="I88" s="97" t="e">
        <f>IF(VLOOKUP(A88,Aktien_im_Umlauf_splitbereinigt!A$3:AM$103,10,FALSE)&lt;&gt;"",IF(VLOOKUP(A88,Aktien_im_Umlauf_splitbereinigt!A$3:AM$103,9,FALSE)&lt;&gt;"",IF(VLOOKUP(A88,Schlußkurse!A$5:AU$105,42,FALSE)&gt;0,((VLOOKUP(A88,Aktien_im_Umlauf_splitbereinigt!A$3:AM$103,10,FALSE)-VLOOKUP(A88,Aktien_im_Umlauf_splitbereinigt!A$3:AM$103,9,FALSE))*VLOOKUP(A88,Schlußkurse!A$5:AU$105,42,FALSE))/VLOOKUP(A88,Aktien_im_Umlauf_splitbereinigt!A$3:AM$103,9,FALSE),0),0),0)</f>
        <v>#N/A</v>
      </c>
      <c r="J88" s="97" t="e">
        <f>IF(VLOOKUP(A88,Aktien_im_Umlauf_splitbereinigt!A$3:AM$103,11,FALSE)&lt;&gt;"",IF(VLOOKUP(A88,Aktien_im_Umlauf_splitbereinigt!A$3:AM$103,10,FALSE)&lt;&gt;"",IF(VLOOKUP(A88,Schlußkurse!A$5:AU$105,43,FALSE)&gt;0,((VLOOKUP(A88,Aktien_im_Umlauf_splitbereinigt!A$3:AM$103,11,FALSE)-VLOOKUP(A88,Aktien_im_Umlauf_splitbereinigt!A$3:AM$103,10,FALSE))*VLOOKUP(A88,Schlußkurse!A$5:AU$105,43,FALSE))/VLOOKUP(A88,Aktien_im_Umlauf_splitbereinigt!A$3:AM$103,10,FALSE),0),0),0)</f>
        <v>#N/A</v>
      </c>
      <c r="K88" s="97" t="e">
        <f>IF(VLOOKUP(A88,Aktien_im_Umlauf_splitbereinigt!A$3:AM$103,12,FALSE)&lt;&gt;"",IF(VLOOKUP(A88,Aktien_im_Umlauf_splitbereinigt!A$3:AM$103,11,FALSE)&lt;&gt;"",IF(VLOOKUP(A88,Schlußkurse!A$5:AU$105,44,FALSE)&gt;0,((VLOOKUP(A88,Aktien_im_Umlauf_splitbereinigt!A$3:AM$103,12,FALSE)-VLOOKUP(A88,Aktien_im_Umlauf_splitbereinigt!A$3:AM$103,11,FALSE))*VLOOKUP(A88,Schlußkurse!A$5:AU$105,44,FALSE))/VLOOKUP(A88,Aktien_im_Umlauf_splitbereinigt!A$3:AM$103,11,FALSE),0),0),0)</f>
        <v>#N/A</v>
      </c>
      <c r="L88" s="97" t="e">
        <f>IF(VLOOKUP(A88,Aktien_im_Umlauf_splitbereinigt!A$3:AM$103,13,FALSE)&lt;&gt;"",IF(VLOOKUP(A88,Aktien_im_Umlauf_splitbereinigt!A$3:AM$103,12,FALSE)&lt;&gt;"",IF(VLOOKUP(A88,Schlußkurse!A$5:AU$105,45,FALSE)&gt;0,((VLOOKUP(A88,Aktien_im_Umlauf_splitbereinigt!A$3:AM$103,13,FALSE)-VLOOKUP(A88,Aktien_im_Umlauf_splitbereinigt!A$3:AM$103,12,FALSE))*VLOOKUP(A88,Schlußkurse!A$5:AU$105,45,FALSE))/VLOOKUP(A88,Aktien_im_Umlauf_splitbereinigt!A$3:AM$103,12,FALSE),0),0),0)</f>
        <v>#N/A</v>
      </c>
      <c r="M88" s="97" t="e">
        <f>IF(VLOOKUP(A88,Aktien_im_Umlauf_splitbereinigt!A$3:AM$103,14,FALSE)&lt;&gt;"",IF(VLOOKUP(A88,Aktien_im_Umlauf_splitbereinigt!A$3:AM$103,13,FALSE)&lt;&gt;"",IF(VLOOKUP(A88,Schlußkurse!A$5:AU$105,46,FALSE)&gt;0,((VLOOKUP(A88,Aktien_im_Umlauf_splitbereinigt!A$3:AM$103,14,FALSE)-VLOOKUP(A88,Aktien_im_Umlauf_splitbereinigt!A$3:AM$103,13,FALSE))*VLOOKUP(A88,Schlußkurse!A$5:AU$105,46,FALSE))/VLOOKUP(A88,Aktien_im_Umlauf_splitbereinigt!A$3:AM$103,13,FALSE),0),0),0)</f>
        <v>#N/A</v>
      </c>
      <c r="N88" s="13" t="e">
        <f>IF(C88&gt;0,IF(VLOOKUP(A88,Dividende_je_Aktie!A$3:AM$103,8,FALSE)&lt;&gt;"",C88+VLOOKUP(A88,Dividende_je_Aktie!A$3:AM$103,8,FALSE),C88),IF(VLOOKUP(A88,Dividende_je_Aktie!A$3:AM$103,8,FALSE)&lt;&gt;"",VLOOKUP(A88,Dividende_je_Aktie!A$3:AM$103,8,FALSE),""))</f>
        <v>#N/A</v>
      </c>
      <c r="O88" s="13" t="e">
        <f>IF(D88&gt;0,IF(VLOOKUP(A88,Dividende_je_Aktie!A$3:AM$103,9,FALSE)&lt;&gt;"",D88+VLOOKUP(A88,Dividende_je_Aktie!A$3:AM$103,9,FALSE),D88),IF(VLOOKUP(A88,Dividende_je_Aktie!A$3:AM$103,9,FALSE)&lt;&gt;"",VLOOKUP(A88,Dividende_je_Aktie!A$3:AM$103,9,FALSE),""))</f>
        <v>#N/A</v>
      </c>
      <c r="P88" s="13" t="e">
        <f>IF(E88&gt;0,IF(VLOOKUP(A88,Dividende_je_Aktie!A$3:AM$103,10,FALSE)&lt;&gt;"",E88+VLOOKUP(A88,Dividende_je_Aktie!A$3:AM$103,10,FALSE),E88),IF(VLOOKUP(A88,Dividende_je_Aktie!A$3:AM$103,10,FALSE)&lt;&gt;"",VLOOKUP(A88,Dividende_je_Aktie!A$3:AM$103,10,FALSE),""))</f>
        <v>#N/A</v>
      </c>
      <c r="Q88" s="13" t="e">
        <f>IF(F88&gt;0,IF(VLOOKUP(A88,Dividende_je_Aktie!A$3:AM$103,11,FALSE)&lt;&gt;"",F88+VLOOKUP(A88,Dividende_je_Aktie!A$3:AM$103,11,FALSE),F88),IF(VLOOKUP(A88,Dividende_je_Aktie!A$3:AM$103,11,FALSE)&lt;&gt;"",VLOOKUP(A88,Dividende_je_Aktie!A$3:AM$103,11,FALSE),""))</f>
        <v>#N/A</v>
      </c>
      <c r="R88" s="13" t="e">
        <f>IF(G88&gt;0,IF(VLOOKUP(A88,Dividende_je_Aktie!A$3:AM$103,12,FALSE)&lt;&gt;"",G88+VLOOKUP(A88,Dividende_je_Aktie!A$3:AM$103,12,FALSE),G88),IF(VLOOKUP(A88,Dividende_je_Aktie!A$3:AM$103,12,FALSE)&lt;&gt;"",VLOOKUP(A88,Dividende_je_Aktie!A$3:AM$103,12,FALSE),""))</f>
        <v>#N/A</v>
      </c>
      <c r="S88" s="13" t="e">
        <f>IF(H88&gt;0,IF(VLOOKUP(A88,Dividende_je_Aktie!A$3:AM$103,13,FALSE)&lt;&gt;"",H88+VLOOKUP(A88,Dividende_je_Aktie!A$3:AM$103,13,FALSE),H88),IF(VLOOKUP(A88,Dividende_je_Aktie!A$3:AM$103,13,FALSE)&lt;&gt;"",VLOOKUP(A88,Dividende_je_Aktie!A$3:AM$103,13,FALSE),""))</f>
        <v>#N/A</v>
      </c>
      <c r="T88" s="13" t="e">
        <f>IF(I88&gt;0,IF(VLOOKUP(A88,Dividende_je_Aktie!A$3:AM$103,14,FALSE)&lt;&gt;"",I88+VLOOKUP(A88,Dividende_je_Aktie!A$3:AM$103,14,FALSE),I88),IF(VLOOKUP(A88,Dividende_je_Aktie!A$3:AM$103,14,FALSE)&lt;&gt;"",VLOOKUP(A88,Dividende_je_Aktie!A$3:AM$103,14,FALSE),""))</f>
        <v>#N/A</v>
      </c>
      <c r="U88" s="13" t="e">
        <f>IF(J88&gt;0,IF(VLOOKUP(A88,Dividende_je_Aktie!A$3:AM$103,15,FALSE)&lt;&gt;"",J88+VLOOKUP(A88,Dividende_je_Aktie!A$3:AM$103,15,FALSE),J88),IF(VLOOKUP(A88,Dividende_je_Aktie!A$3:AM$103,15,FALSE)&lt;&gt;"",VLOOKUP(A88,Dividende_je_Aktie!A$3:AM$103,15,FALSE),""))</f>
        <v>#N/A</v>
      </c>
      <c r="V88" s="13" t="e">
        <f>IF(K88&gt;0,IF(VLOOKUP(A88,Dividende_je_Aktie!A$3:AM$103,16,FALSE)&lt;&gt;"",K88+VLOOKUP(A88,Dividende_je_Aktie!A$3:AM$103,16,FALSE),K88),IF(VLOOKUP(A88,Dividende_je_Aktie!A$3:AM$103,16,FALSE)&lt;&gt;"",VLOOKUP(A88,Dividende_je_Aktie!A$3:AM$103,16,FALSE),""))</f>
        <v>#N/A</v>
      </c>
      <c r="W88" s="13" t="e">
        <f>IF(L88&gt;0,IF(VLOOKUP(A88,Dividende_je_Aktie!A$3:AM$103,17,FALSE)&lt;&gt;"",L88+VLOOKUP(A88,Dividende_je_Aktie!A$3:AM$103,17,FALSE),L88),IF(VLOOKUP(A88,Dividende_je_Aktie!A$3:AM$103,17,FALSE)&lt;&gt;"",VLOOKUP(A88,Dividende_je_Aktie!A$3:AM$103,17,FALSE),""))</f>
        <v>#N/A</v>
      </c>
      <c r="X88" s="13" t="e">
        <f>IF(M88&gt;0,IF(VLOOKUP(A88,Dividende_je_Aktie!A$3:AM$103,18,FALSE)&lt;&gt;"",M88+VLOOKUP(A88,Dividende_je_Aktie!A$3:AM$103,18,FALSE),M88),IF(VLOOKUP(A88,Dividende_je_Aktie!A$3:AM$103,18,FALSE)&lt;&gt;"",VLOOKUP(A88,Dividende_je_Aktie!A$3:AM$103,18,FALSE),""))</f>
        <v>#N/A</v>
      </c>
    </row>
    <row r="89" spans="1:24">
      <c r="A89" s="52"/>
      <c r="B89" s="52"/>
      <c r="C89" s="13" t="e">
        <f>IF(VLOOKUP(A89,Aktien_im_Umlauf_splitbereinigt!A$3:AM$103,4,FALSE)&lt;&gt;"",IF(VLOOKUP(A89,Aktien_im_Umlauf_splitbereinigt!A$3:AM$103,3,FALSE)&lt;&gt;"",IF(VLOOKUP(A89,Schlußkurse!A$5:AU$105,36,FALSE)&gt;0,((VLOOKUP(A89,Aktien_im_Umlauf_splitbereinigt!A$3:AM$103,4,FALSE)-VLOOKUP(A89,Aktien_im_Umlauf_splitbereinigt!A$3:AM$103,3,FALSE))*VLOOKUP(A89,Schlußkurse!A$5:AU$105,36,FALSE))/VLOOKUP(A89,Aktien_im_Umlauf_splitbereinigt!A$3:AM$103,3,FALSE),0),0),0)</f>
        <v>#N/A</v>
      </c>
      <c r="D89" s="97" t="e">
        <f>IF(VLOOKUP(A89,Aktien_im_Umlauf_splitbereinigt!A$3:AM$103,5,FALSE)&lt;&gt;"",IF(VLOOKUP(A89,Aktien_im_Umlauf_splitbereinigt!A$3:AM$103,4,FALSE)&lt;&gt;"",IF(VLOOKUP(A89,Schlußkurse!A$5:AU$105,37,FALSE)&gt;0,((VLOOKUP(A89,Aktien_im_Umlauf_splitbereinigt!A$3:AM$103,5,FALSE)-VLOOKUP(A89,Aktien_im_Umlauf_splitbereinigt!A$3:AM$103,4,FALSE))*VLOOKUP(A89,Schlußkurse!A$5:AU$105,37,FALSE))/VLOOKUP(A89,Aktien_im_Umlauf_splitbereinigt!A$3:AM$103,4,FALSE),0),0),0)</f>
        <v>#N/A</v>
      </c>
      <c r="E89" s="97" t="e">
        <f>IF(VLOOKUP(A89,Aktien_im_Umlauf_splitbereinigt!A$3:AM$103,6,FALSE)&lt;&gt;"",IF(VLOOKUP(A89,Aktien_im_Umlauf_splitbereinigt!A$3:AM$103,5,FALSE)&lt;&gt;"",IF(VLOOKUP(A89,Schlußkurse!A$5:AU$105,38,FALSE)&gt;0,((VLOOKUP(A89,Aktien_im_Umlauf_splitbereinigt!A$3:AM$103,6,FALSE)-VLOOKUP(A89,Aktien_im_Umlauf_splitbereinigt!A$3:AM$103,5,FALSE))*VLOOKUP(A89,Schlußkurse!A$5:AU$105,38,FALSE))/VLOOKUP(A89,Aktien_im_Umlauf_splitbereinigt!A$3:AM$103,5,FALSE),0),0),0)</f>
        <v>#N/A</v>
      </c>
      <c r="F89" s="97" t="e">
        <f>IF(VLOOKUP(A89,Aktien_im_Umlauf_splitbereinigt!A$3:AM$103,7,FALSE)&lt;&gt;"",IF(VLOOKUP(A89,Aktien_im_Umlauf_splitbereinigt!A$3:AM$103,6,FALSE)&lt;&gt;"",IF(VLOOKUP(A89,Schlußkurse!A$5:AU$105,39,FALSE)&gt;0,((VLOOKUP(A89,Aktien_im_Umlauf_splitbereinigt!A$3:AM$103,7,FALSE)-VLOOKUP(A89,Aktien_im_Umlauf_splitbereinigt!A$3:AM$103,6,FALSE))*VLOOKUP(A89,Schlußkurse!A$5:AU$105,39,FALSE))/VLOOKUP(A89,Aktien_im_Umlauf_splitbereinigt!A$3:AM$103,6,FALSE),0),0),0)</f>
        <v>#N/A</v>
      </c>
      <c r="G89" s="97" t="e">
        <f>IF(VLOOKUP(A89,Aktien_im_Umlauf_splitbereinigt!A$3:AM$103,8,FALSE)&lt;&gt;"",IF(VLOOKUP(A89,Aktien_im_Umlauf_splitbereinigt!A$3:AM$103,7,FALSE)&lt;&gt;"",IF(VLOOKUP(A89,Schlußkurse!A$5:AU$105,40,FALSE)&gt;0,((VLOOKUP(A89,Aktien_im_Umlauf_splitbereinigt!A$3:AM$103,8,FALSE)-VLOOKUP(A89,Aktien_im_Umlauf_splitbereinigt!A$3:AM$103,7,FALSE))*VLOOKUP(A89,Schlußkurse!A$5:AU$105,40,FALSE))/VLOOKUP(A89,Aktien_im_Umlauf_splitbereinigt!A$3:AM$103,7,FALSE),0),0),0)</f>
        <v>#N/A</v>
      </c>
      <c r="H89" s="97" t="e">
        <f>IF(VLOOKUP(A89,Aktien_im_Umlauf_splitbereinigt!A$3:AM$103,9,FALSE)&lt;&gt;"",IF(VLOOKUP(A89,Aktien_im_Umlauf_splitbereinigt!A$3:AM$103,8,FALSE)&lt;&gt;"",IF(VLOOKUP(A89,Schlußkurse!A$5:AU$105,41,FALSE)&gt;0,((VLOOKUP(A89,Aktien_im_Umlauf_splitbereinigt!A$3:AM$103,9,FALSE)-VLOOKUP(A89,Aktien_im_Umlauf_splitbereinigt!A$3:AM$103,8,FALSE))*VLOOKUP(A89,Schlußkurse!A$5:AU$105,41,FALSE))/VLOOKUP(A89,Aktien_im_Umlauf_splitbereinigt!A$3:AM$103,8,FALSE),0),0),0)</f>
        <v>#N/A</v>
      </c>
      <c r="I89" s="97" t="e">
        <f>IF(VLOOKUP(A89,Aktien_im_Umlauf_splitbereinigt!A$3:AM$103,10,FALSE)&lt;&gt;"",IF(VLOOKUP(A89,Aktien_im_Umlauf_splitbereinigt!A$3:AM$103,9,FALSE)&lt;&gt;"",IF(VLOOKUP(A89,Schlußkurse!A$5:AU$105,42,FALSE)&gt;0,((VLOOKUP(A89,Aktien_im_Umlauf_splitbereinigt!A$3:AM$103,10,FALSE)-VLOOKUP(A89,Aktien_im_Umlauf_splitbereinigt!A$3:AM$103,9,FALSE))*VLOOKUP(A89,Schlußkurse!A$5:AU$105,42,FALSE))/VLOOKUP(A89,Aktien_im_Umlauf_splitbereinigt!A$3:AM$103,9,FALSE),0),0),0)</f>
        <v>#N/A</v>
      </c>
      <c r="J89" s="97" t="e">
        <f>IF(VLOOKUP(A89,Aktien_im_Umlauf_splitbereinigt!A$3:AM$103,11,FALSE)&lt;&gt;"",IF(VLOOKUP(A89,Aktien_im_Umlauf_splitbereinigt!A$3:AM$103,10,FALSE)&lt;&gt;"",IF(VLOOKUP(A89,Schlußkurse!A$5:AU$105,43,FALSE)&gt;0,((VLOOKUP(A89,Aktien_im_Umlauf_splitbereinigt!A$3:AM$103,11,FALSE)-VLOOKUP(A89,Aktien_im_Umlauf_splitbereinigt!A$3:AM$103,10,FALSE))*VLOOKUP(A89,Schlußkurse!A$5:AU$105,43,FALSE))/VLOOKUP(A89,Aktien_im_Umlauf_splitbereinigt!A$3:AM$103,10,FALSE),0),0),0)</f>
        <v>#N/A</v>
      </c>
      <c r="K89" s="97" t="e">
        <f>IF(VLOOKUP(A89,Aktien_im_Umlauf_splitbereinigt!A$3:AM$103,12,FALSE)&lt;&gt;"",IF(VLOOKUP(A89,Aktien_im_Umlauf_splitbereinigt!A$3:AM$103,11,FALSE)&lt;&gt;"",IF(VLOOKUP(A89,Schlußkurse!A$5:AU$105,44,FALSE)&gt;0,((VLOOKUP(A89,Aktien_im_Umlauf_splitbereinigt!A$3:AM$103,12,FALSE)-VLOOKUP(A89,Aktien_im_Umlauf_splitbereinigt!A$3:AM$103,11,FALSE))*VLOOKUP(A89,Schlußkurse!A$5:AU$105,44,FALSE))/VLOOKUP(A89,Aktien_im_Umlauf_splitbereinigt!A$3:AM$103,11,FALSE),0),0),0)</f>
        <v>#N/A</v>
      </c>
      <c r="L89" s="97" t="e">
        <f>IF(VLOOKUP(A89,Aktien_im_Umlauf_splitbereinigt!A$3:AM$103,13,FALSE)&lt;&gt;"",IF(VLOOKUP(A89,Aktien_im_Umlauf_splitbereinigt!A$3:AM$103,12,FALSE)&lt;&gt;"",IF(VLOOKUP(A89,Schlußkurse!A$5:AU$105,45,FALSE)&gt;0,((VLOOKUP(A89,Aktien_im_Umlauf_splitbereinigt!A$3:AM$103,13,FALSE)-VLOOKUP(A89,Aktien_im_Umlauf_splitbereinigt!A$3:AM$103,12,FALSE))*VLOOKUP(A89,Schlußkurse!A$5:AU$105,45,FALSE))/VLOOKUP(A89,Aktien_im_Umlauf_splitbereinigt!A$3:AM$103,12,FALSE),0),0),0)</f>
        <v>#N/A</v>
      </c>
      <c r="M89" s="97" t="e">
        <f>IF(VLOOKUP(A89,Aktien_im_Umlauf_splitbereinigt!A$3:AM$103,14,FALSE)&lt;&gt;"",IF(VLOOKUP(A89,Aktien_im_Umlauf_splitbereinigt!A$3:AM$103,13,FALSE)&lt;&gt;"",IF(VLOOKUP(A89,Schlußkurse!A$5:AU$105,46,FALSE)&gt;0,((VLOOKUP(A89,Aktien_im_Umlauf_splitbereinigt!A$3:AM$103,14,FALSE)-VLOOKUP(A89,Aktien_im_Umlauf_splitbereinigt!A$3:AM$103,13,FALSE))*VLOOKUP(A89,Schlußkurse!A$5:AU$105,46,FALSE))/VLOOKUP(A89,Aktien_im_Umlauf_splitbereinigt!A$3:AM$103,13,FALSE),0),0),0)</f>
        <v>#N/A</v>
      </c>
      <c r="N89" s="13" t="e">
        <f>IF(C89&gt;0,IF(VLOOKUP(A89,Dividende_je_Aktie!A$3:AM$103,8,FALSE)&lt;&gt;"",C89+VLOOKUP(A89,Dividende_je_Aktie!A$3:AM$103,8,FALSE),C89),IF(VLOOKUP(A89,Dividende_je_Aktie!A$3:AM$103,8,FALSE)&lt;&gt;"",VLOOKUP(A89,Dividende_je_Aktie!A$3:AM$103,8,FALSE),""))</f>
        <v>#N/A</v>
      </c>
      <c r="O89" s="13" t="e">
        <f>IF(D89&gt;0,IF(VLOOKUP(A89,Dividende_je_Aktie!A$3:AM$103,9,FALSE)&lt;&gt;"",D89+VLOOKUP(A89,Dividende_je_Aktie!A$3:AM$103,9,FALSE),D89),IF(VLOOKUP(A89,Dividende_je_Aktie!A$3:AM$103,9,FALSE)&lt;&gt;"",VLOOKUP(A89,Dividende_je_Aktie!A$3:AM$103,9,FALSE),""))</f>
        <v>#N/A</v>
      </c>
      <c r="P89" s="13" t="e">
        <f>IF(E89&gt;0,IF(VLOOKUP(A89,Dividende_je_Aktie!A$3:AM$103,10,FALSE)&lt;&gt;"",E89+VLOOKUP(A89,Dividende_je_Aktie!A$3:AM$103,10,FALSE),E89),IF(VLOOKUP(A89,Dividende_je_Aktie!A$3:AM$103,10,FALSE)&lt;&gt;"",VLOOKUP(A89,Dividende_je_Aktie!A$3:AM$103,10,FALSE),""))</f>
        <v>#N/A</v>
      </c>
      <c r="Q89" s="13" t="e">
        <f>IF(F89&gt;0,IF(VLOOKUP(A89,Dividende_je_Aktie!A$3:AM$103,11,FALSE)&lt;&gt;"",F89+VLOOKUP(A89,Dividende_je_Aktie!A$3:AM$103,11,FALSE),F89),IF(VLOOKUP(A89,Dividende_je_Aktie!A$3:AM$103,11,FALSE)&lt;&gt;"",VLOOKUP(A89,Dividende_je_Aktie!A$3:AM$103,11,FALSE),""))</f>
        <v>#N/A</v>
      </c>
      <c r="R89" s="13" t="e">
        <f>IF(G89&gt;0,IF(VLOOKUP(A89,Dividende_je_Aktie!A$3:AM$103,12,FALSE)&lt;&gt;"",G89+VLOOKUP(A89,Dividende_je_Aktie!A$3:AM$103,12,FALSE),G89),IF(VLOOKUP(A89,Dividende_je_Aktie!A$3:AM$103,12,FALSE)&lt;&gt;"",VLOOKUP(A89,Dividende_je_Aktie!A$3:AM$103,12,FALSE),""))</f>
        <v>#N/A</v>
      </c>
      <c r="S89" s="13" t="e">
        <f>IF(H89&gt;0,IF(VLOOKUP(A89,Dividende_je_Aktie!A$3:AM$103,13,FALSE)&lt;&gt;"",H89+VLOOKUP(A89,Dividende_je_Aktie!A$3:AM$103,13,FALSE),H89),IF(VLOOKUP(A89,Dividende_je_Aktie!A$3:AM$103,13,FALSE)&lt;&gt;"",VLOOKUP(A89,Dividende_je_Aktie!A$3:AM$103,13,FALSE),""))</f>
        <v>#N/A</v>
      </c>
      <c r="T89" s="13" t="e">
        <f>IF(I89&gt;0,IF(VLOOKUP(A89,Dividende_je_Aktie!A$3:AM$103,14,FALSE)&lt;&gt;"",I89+VLOOKUP(A89,Dividende_je_Aktie!A$3:AM$103,14,FALSE),I89),IF(VLOOKUP(A89,Dividende_je_Aktie!A$3:AM$103,14,FALSE)&lt;&gt;"",VLOOKUP(A89,Dividende_je_Aktie!A$3:AM$103,14,FALSE),""))</f>
        <v>#N/A</v>
      </c>
      <c r="U89" s="13" t="e">
        <f>IF(J89&gt;0,IF(VLOOKUP(A89,Dividende_je_Aktie!A$3:AM$103,15,FALSE)&lt;&gt;"",J89+VLOOKUP(A89,Dividende_je_Aktie!A$3:AM$103,15,FALSE),J89),IF(VLOOKUP(A89,Dividende_je_Aktie!A$3:AM$103,15,FALSE)&lt;&gt;"",VLOOKUP(A89,Dividende_je_Aktie!A$3:AM$103,15,FALSE),""))</f>
        <v>#N/A</v>
      </c>
      <c r="V89" s="13" t="e">
        <f>IF(K89&gt;0,IF(VLOOKUP(A89,Dividende_je_Aktie!A$3:AM$103,16,FALSE)&lt;&gt;"",K89+VLOOKUP(A89,Dividende_je_Aktie!A$3:AM$103,16,FALSE),K89),IF(VLOOKUP(A89,Dividende_je_Aktie!A$3:AM$103,16,FALSE)&lt;&gt;"",VLOOKUP(A89,Dividende_je_Aktie!A$3:AM$103,16,FALSE),""))</f>
        <v>#N/A</v>
      </c>
      <c r="W89" s="13" t="e">
        <f>IF(L89&gt;0,IF(VLOOKUP(A89,Dividende_je_Aktie!A$3:AM$103,17,FALSE)&lt;&gt;"",L89+VLOOKUP(A89,Dividende_je_Aktie!A$3:AM$103,17,FALSE),L89),IF(VLOOKUP(A89,Dividende_je_Aktie!A$3:AM$103,17,FALSE)&lt;&gt;"",VLOOKUP(A89,Dividende_je_Aktie!A$3:AM$103,17,FALSE),""))</f>
        <v>#N/A</v>
      </c>
      <c r="X89" s="13" t="e">
        <f>IF(M89&gt;0,IF(VLOOKUP(A89,Dividende_je_Aktie!A$3:AM$103,18,FALSE)&lt;&gt;"",M89+VLOOKUP(A89,Dividende_je_Aktie!A$3:AM$103,18,FALSE),M89),IF(VLOOKUP(A89,Dividende_je_Aktie!A$3:AM$103,18,FALSE)&lt;&gt;"",VLOOKUP(A89,Dividende_je_Aktie!A$3:AM$103,18,FALSE),""))</f>
        <v>#N/A</v>
      </c>
    </row>
    <row r="90" spans="1:24">
      <c r="A90" s="52"/>
      <c r="B90" s="52"/>
      <c r="C90" s="13" t="e">
        <f>IF(VLOOKUP(A90,Aktien_im_Umlauf_splitbereinigt!A$3:AM$103,4,FALSE)&lt;&gt;"",IF(VLOOKUP(A90,Aktien_im_Umlauf_splitbereinigt!A$3:AM$103,3,FALSE)&lt;&gt;"",IF(VLOOKUP(A90,Schlußkurse!A$5:AU$105,36,FALSE)&gt;0,((VLOOKUP(A90,Aktien_im_Umlauf_splitbereinigt!A$3:AM$103,4,FALSE)-VLOOKUP(A90,Aktien_im_Umlauf_splitbereinigt!A$3:AM$103,3,FALSE))*VLOOKUP(A90,Schlußkurse!A$5:AU$105,36,FALSE))/VLOOKUP(A90,Aktien_im_Umlauf_splitbereinigt!A$3:AM$103,3,FALSE),0),0),0)</f>
        <v>#N/A</v>
      </c>
      <c r="D90" s="97" t="e">
        <f>IF(VLOOKUP(A90,Aktien_im_Umlauf_splitbereinigt!A$3:AM$103,5,FALSE)&lt;&gt;"",IF(VLOOKUP(A90,Aktien_im_Umlauf_splitbereinigt!A$3:AM$103,4,FALSE)&lt;&gt;"",IF(VLOOKUP(A90,Schlußkurse!A$5:AU$105,37,FALSE)&gt;0,((VLOOKUP(A90,Aktien_im_Umlauf_splitbereinigt!A$3:AM$103,5,FALSE)-VLOOKUP(A90,Aktien_im_Umlauf_splitbereinigt!A$3:AM$103,4,FALSE))*VLOOKUP(A90,Schlußkurse!A$5:AU$105,37,FALSE))/VLOOKUP(A90,Aktien_im_Umlauf_splitbereinigt!A$3:AM$103,4,FALSE),0),0),0)</f>
        <v>#N/A</v>
      </c>
      <c r="E90" s="97" t="e">
        <f>IF(VLOOKUP(A90,Aktien_im_Umlauf_splitbereinigt!A$3:AM$103,6,FALSE)&lt;&gt;"",IF(VLOOKUP(A90,Aktien_im_Umlauf_splitbereinigt!A$3:AM$103,5,FALSE)&lt;&gt;"",IF(VLOOKUP(A90,Schlußkurse!A$5:AU$105,38,FALSE)&gt;0,((VLOOKUP(A90,Aktien_im_Umlauf_splitbereinigt!A$3:AM$103,6,FALSE)-VLOOKUP(A90,Aktien_im_Umlauf_splitbereinigt!A$3:AM$103,5,FALSE))*VLOOKUP(A90,Schlußkurse!A$5:AU$105,38,FALSE))/VLOOKUP(A90,Aktien_im_Umlauf_splitbereinigt!A$3:AM$103,5,FALSE),0),0),0)</f>
        <v>#N/A</v>
      </c>
      <c r="F90" s="97" t="e">
        <f>IF(VLOOKUP(A90,Aktien_im_Umlauf_splitbereinigt!A$3:AM$103,7,FALSE)&lt;&gt;"",IF(VLOOKUP(A90,Aktien_im_Umlauf_splitbereinigt!A$3:AM$103,6,FALSE)&lt;&gt;"",IF(VLOOKUP(A90,Schlußkurse!A$5:AU$105,39,FALSE)&gt;0,((VLOOKUP(A90,Aktien_im_Umlauf_splitbereinigt!A$3:AM$103,7,FALSE)-VLOOKUP(A90,Aktien_im_Umlauf_splitbereinigt!A$3:AM$103,6,FALSE))*VLOOKUP(A90,Schlußkurse!A$5:AU$105,39,FALSE))/VLOOKUP(A90,Aktien_im_Umlauf_splitbereinigt!A$3:AM$103,6,FALSE),0),0),0)</f>
        <v>#N/A</v>
      </c>
      <c r="G90" s="97" t="e">
        <f>IF(VLOOKUP(A90,Aktien_im_Umlauf_splitbereinigt!A$3:AM$103,8,FALSE)&lt;&gt;"",IF(VLOOKUP(A90,Aktien_im_Umlauf_splitbereinigt!A$3:AM$103,7,FALSE)&lt;&gt;"",IF(VLOOKUP(A90,Schlußkurse!A$5:AU$105,40,FALSE)&gt;0,((VLOOKUP(A90,Aktien_im_Umlauf_splitbereinigt!A$3:AM$103,8,FALSE)-VLOOKUP(A90,Aktien_im_Umlauf_splitbereinigt!A$3:AM$103,7,FALSE))*VLOOKUP(A90,Schlußkurse!A$5:AU$105,40,FALSE))/VLOOKUP(A90,Aktien_im_Umlauf_splitbereinigt!A$3:AM$103,7,FALSE),0),0),0)</f>
        <v>#N/A</v>
      </c>
      <c r="H90" s="97" t="e">
        <f>IF(VLOOKUP(A90,Aktien_im_Umlauf_splitbereinigt!A$3:AM$103,9,FALSE)&lt;&gt;"",IF(VLOOKUP(A90,Aktien_im_Umlauf_splitbereinigt!A$3:AM$103,8,FALSE)&lt;&gt;"",IF(VLOOKUP(A90,Schlußkurse!A$5:AU$105,41,FALSE)&gt;0,((VLOOKUP(A90,Aktien_im_Umlauf_splitbereinigt!A$3:AM$103,9,FALSE)-VLOOKUP(A90,Aktien_im_Umlauf_splitbereinigt!A$3:AM$103,8,FALSE))*VLOOKUP(A90,Schlußkurse!A$5:AU$105,41,FALSE))/VLOOKUP(A90,Aktien_im_Umlauf_splitbereinigt!A$3:AM$103,8,FALSE),0),0),0)</f>
        <v>#N/A</v>
      </c>
      <c r="I90" s="97" t="e">
        <f>IF(VLOOKUP(A90,Aktien_im_Umlauf_splitbereinigt!A$3:AM$103,10,FALSE)&lt;&gt;"",IF(VLOOKUP(A90,Aktien_im_Umlauf_splitbereinigt!A$3:AM$103,9,FALSE)&lt;&gt;"",IF(VLOOKUP(A90,Schlußkurse!A$5:AU$105,42,FALSE)&gt;0,((VLOOKUP(A90,Aktien_im_Umlauf_splitbereinigt!A$3:AM$103,10,FALSE)-VLOOKUP(A90,Aktien_im_Umlauf_splitbereinigt!A$3:AM$103,9,FALSE))*VLOOKUP(A90,Schlußkurse!A$5:AU$105,42,FALSE))/VLOOKUP(A90,Aktien_im_Umlauf_splitbereinigt!A$3:AM$103,9,FALSE),0),0),0)</f>
        <v>#N/A</v>
      </c>
      <c r="J90" s="97" t="e">
        <f>IF(VLOOKUP(A90,Aktien_im_Umlauf_splitbereinigt!A$3:AM$103,11,FALSE)&lt;&gt;"",IF(VLOOKUP(A90,Aktien_im_Umlauf_splitbereinigt!A$3:AM$103,10,FALSE)&lt;&gt;"",IF(VLOOKUP(A90,Schlußkurse!A$5:AU$105,43,FALSE)&gt;0,((VLOOKUP(A90,Aktien_im_Umlauf_splitbereinigt!A$3:AM$103,11,FALSE)-VLOOKUP(A90,Aktien_im_Umlauf_splitbereinigt!A$3:AM$103,10,FALSE))*VLOOKUP(A90,Schlußkurse!A$5:AU$105,43,FALSE))/VLOOKUP(A90,Aktien_im_Umlauf_splitbereinigt!A$3:AM$103,10,FALSE),0),0),0)</f>
        <v>#N/A</v>
      </c>
      <c r="K90" s="97" t="e">
        <f>IF(VLOOKUP(A90,Aktien_im_Umlauf_splitbereinigt!A$3:AM$103,12,FALSE)&lt;&gt;"",IF(VLOOKUP(A90,Aktien_im_Umlauf_splitbereinigt!A$3:AM$103,11,FALSE)&lt;&gt;"",IF(VLOOKUP(A90,Schlußkurse!A$5:AU$105,44,FALSE)&gt;0,((VLOOKUP(A90,Aktien_im_Umlauf_splitbereinigt!A$3:AM$103,12,FALSE)-VLOOKUP(A90,Aktien_im_Umlauf_splitbereinigt!A$3:AM$103,11,FALSE))*VLOOKUP(A90,Schlußkurse!A$5:AU$105,44,FALSE))/VLOOKUP(A90,Aktien_im_Umlauf_splitbereinigt!A$3:AM$103,11,FALSE),0),0),0)</f>
        <v>#N/A</v>
      </c>
      <c r="L90" s="97" t="e">
        <f>IF(VLOOKUP(A90,Aktien_im_Umlauf_splitbereinigt!A$3:AM$103,13,FALSE)&lt;&gt;"",IF(VLOOKUP(A90,Aktien_im_Umlauf_splitbereinigt!A$3:AM$103,12,FALSE)&lt;&gt;"",IF(VLOOKUP(A90,Schlußkurse!A$5:AU$105,45,FALSE)&gt;0,((VLOOKUP(A90,Aktien_im_Umlauf_splitbereinigt!A$3:AM$103,13,FALSE)-VLOOKUP(A90,Aktien_im_Umlauf_splitbereinigt!A$3:AM$103,12,FALSE))*VLOOKUP(A90,Schlußkurse!A$5:AU$105,45,FALSE))/VLOOKUP(A90,Aktien_im_Umlauf_splitbereinigt!A$3:AM$103,12,FALSE),0),0),0)</f>
        <v>#N/A</v>
      </c>
      <c r="M90" s="97" t="e">
        <f>IF(VLOOKUP(A90,Aktien_im_Umlauf_splitbereinigt!A$3:AM$103,14,FALSE)&lt;&gt;"",IF(VLOOKUP(A90,Aktien_im_Umlauf_splitbereinigt!A$3:AM$103,13,FALSE)&lt;&gt;"",IF(VLOOKUP(A90,Schlußkurse!A$5:AU$105,46,FALSE)&gt;0,((VLOOKUP(A90,Aktien_im_Umlauf_splitbereinigt!A$3:AM$103,14,FALSE)-VLOOKUP(A90,Aktien_im_Umlauf_splitbereinigt!A$3:AM$103,13,FALSE))*VLOOKUP(A90,Schlußkurse!A$5:AU$105,46,FALSE))/VLOOKUP(A90,Aktien_im_Umlauf_splitbereinigt!A$3:AM$103,13,FALSE),0),0),0)</f>
        <v>#N/A</v>
      </c>
      <c r="N90" s="13" t="e">
        <f>IF(C90&gt;0,IF(VLOOKUP(A90,Dividende_je_Aktie!A$3:AM$103,8,FALSE)&lt;&gt;"",C90+VLOOKUP(A90,Dividende_je_Aktie!A$3:AM$103,8,FALSE),C90),IF(VLOOKUP(A90,Dividende_je_Aktie!A$3:AM$103,8,FALSE)&lt;&gt;"",VLOOKUP(A90,Dividende_je_Aktie!A$3:AM$103,8,FALSE),""))</f>
        <v>#N/A</v>
      </c>
      <c r="O90" s="13" t="e">
        <f>IF(D90&gt;0,IF(VLOOKUP(A90,Dividende_je_Aktie!A$3:AM$103,9,FALSE)&lt;&gt;"",D90+VLOOKUP(A90,Dividende_je_Aktie!A$3:AM$103,9,FALSE),D90),IF(VLOOKUP(A90,Dividende_je_Aktie!A$3:AM$103,9,FALSE)&lt;&gt;"",VLOOKUP(A90,Dividende_je_Aktie!A$3:AM$103,9,FALSE),""))</f>
        <v>#N/A</v>
      </c>
      <c r="P90" s="13" t="e">
        <f>IF(E90&gt;0,IF(VLOOKUP(A90,Dividende_je_Aktie!A$3:AM$103,10,FALSE)&lt;&gt;"",E90+VLOOKUP(A90,Dividende_je_Aktie!A$3:AM$103,10,FALSE),E90),IF(VLOOKUP(A90,Dividende_je_Aktie!A$3:AM$103,10,FALSE)&lt;&gt;"",VLOOKUP(A90,Dividende_je_Aktie!A$3:AM$103,10,FALSE),""))</f>
        <v>#N/A</v>
      </c>
      <c r="Q90" s="13" t="e">
        <f>IF(F90&gt;0,IF(VLOOKUP(A90,Dividende_je_Aktie!A$3:AM$103,11,FALSE)&lt;&gt;"",F90+VLOOKUP(A90,Dividende_je_Aktie!A$3:AM$103,11,FALSE),F90),IF(VLOOKUP(A90,Dividende_je_Aktie!A$3:AM$103,11,FALSE)&lt;&gt;"",VLOOKUP(A90,Dividende_je_Aktie!A$3:AM$103,11,FALSE),""))</f>
        <v>#N/A</v>
      </c>
      <c r="R90" s="13" t="e">
        <f>IF(G90&gt;0,IF(VLOOKUP(A90,Dividende_je_Aktie!A$3:AM$103,12,FALSE)&lt;&gt;"",G90+VLOOKUP(A90,Dividende_je_Aktie!A$3:AM$103,12,FALSE),G90),IF(VLOOKUP(A90,Dividende_je_Aktie!A$3:AM$103,12,FALSE)&lt;&gt;"",VLOOKUP(A90,Dividende_je_Aktie!A$3:AM$103,12,FALSE),""))</f>
        <v>#N/A</v>
      </c>
      <c r="S90" s="13" t="e">
        <f>IF(H90&gt;0,IF(VLOOKUP(A90,Dividende_je_Aktie!A$3:AM$103,13,FALSE)&lt;&gt;"",H90+VLOOKUP(A90,Dividende_je_Aktie!A$3:AM$103,13,FALSE),H90),IF(VLOOKUP(A90,Dividende_je_Aktie!A$3:AM$103,13,FALSE)&lt;&gt;"",VLOOKUP(A90,Dividende_je_Aktie!A$3:AM$103,13,FALSE),""))</f>
        <v>#N/A</v>
      </c>
      <c r="T90" s="13" t="e">
        <f>IF(I90&gt;0,IF(VLOOKUP(A90,Dividende_je_Aktie!A$3:AM$103,14,FALSE)&lt;&gt;"",I90+VLOOKUP(A90,Dividende_je_Aktie!A$3:AM$103,14,FALSE),I90),IF(VLOOKUP(A90,Dividende_je_Aktie!A$3:AM$103,14,FALSE)&lt;&gt;"",VLOOKUP(A90,Dividende_je_Aktie!A$3:AM$103,14,FALSE),""))</f>
        <v>#N/A</v>
      </c>
      <c r="U90" s="13" t="e">
        <f>IF(J90&gt;0,IF(VLOOKUP(A90,Dividende_je_Aktie!A$3:AM$103,15,FALSE)&lt;&gt;"",J90+VLOOKUP(A90,Dividende_je_Aktie!A$3:AM$103,15,FALSE),J90),IF(VLOOKUP(A90,Dividende_je_Aktie!A$3:AM$103,15,FALSE)&lt;&gt;"",VLOOKUP(A90,Dividende_je_Aktie!A$3:AM$103,15,FALSE),""))</f>
        <v>#N/A</v>
      </c>
      <c r="V90" s="13" t="e">
        <f>IF(K90&gt;0,IF(VLOOKUP(A90,Dividende_je_Aktie!A$3:AM$103,16,FALSE)&lt;&gt;"",K90+VLOOKUP(A90,Dividende_je_Aktie!A$3:AM$103,16,FALSE),K90),IF(VLOOKUP(A90,Dividende_je_Aktie!A$3:AM$103,16,FALSE)&lt;&gt;"",VLOOKUP(A90,Dividende_je_Aktie!A$3:AM$103,16,FALSE),""))</f>
        <v>#N/A</v>
      </c>
      <c r="W90" s="13" t="e">
        <f>IF(L90&gt;0,IF(VLOOKUP(A90,Dividende_je_Aktie!A$3:AM$103,17,FALSE)&lt;&gt;"",L90+VLOOKUP(A90,Dividende_je_Aktie!A$3:AM$103,17,FALSE),L90),IF(VLOOKUP(A90,Dividende_je_Aktie!A$3:AM$103,17,FALSE)&lt;&gt;"",VLOOKUP(A90,Dividende_je_Aktie!A$3:AM$103,17,FALSE),""))</f>
        <v>#N/A</v>
      </c>
      <c r="X90" s="13" t="e">
        <f>IF(M90&gt;0,IF(VLOOKUP(A90,Dividende_je_Aktie!A$3:AM$103,18,FALSE)&lt;&gt;"",M90+VLOOKUP(A90,Dividende_je_Aktie!A$3:AM$103,18,FALSE),M90),IF(VLOOKUP(A90,Dividende_je_Aktie!A$3:AM$103,18,FALSE)&lt;&gt;"",VLOOKUP(A90,Dividende_je_Aktie!A$3:AM$103,18,FALSE),""))</f>
        <v>#N/A</v>
      </c>
    </row>
    <row r="91" spans="1:24">
      <c r="A91" s="52"/>
      <c r="B91" s="52"/>
      <c r="C91" s="13" t="e">
        <f>IF(VLOOKUP(A91,Aktien_im_Umlauf_splitbereinigt!A$3:AM$103,4,FALSE)&lt;&gt;"",IF(VLOOKUP(A91,Aktien_im_Umlauf_splitbereinigt!A$3:AM$103,3,FALSE)&lt;&gt;"",IF(VLOOKUP(A91,Schlußkurse!A$5:AU$105,36,FALSE)&gt;0,((VLOOKUP(A91,Aktien_im_Umlauf_splitbereinigt!A$3:AM$103,4,FALSE)-VLOOKUP(A91,Aktien_im_Umlauf_splitbereinigt!A$3:AM$103,3,FALSE))*VLOOKUP(A91,Schlußkurse!A$5:AU$105,36,FALSE))/VLOOKUP(A91,Aktien_im_Umlauf_splitbereinigt!A$3:AM$103,3,FALSE),0),0),0)</f>
        <v>#N/A</v>
      </c>
      <c r="D91" s="97" t="e">
        <f>IF(VLOOKUP(A91,Aktien_im_Umlauf_splitbereinigt!A$3:AM$103,5,FALSE)&lt;&gt;"",IF(VLOOKUP(A91,Aktien_im_Umlauf_splitbereinigt!A$3:AM$103,4,FALSE)&lt;&gt;"",IF(VLOOKUP(A91,Schlußkurse!A$5:AU$105,37,FALSE)&gt;0,((VLOOKUP(A91,Aktien_im_Umlauf_splitbereinigt!A$3:AM$103,5,FALSE)-VLOOKUP(A91,Aktien_im_Umlauf_splitbereinigt!A$3:AM$103,4,FALSE))*VLOOKUP(A91,Schlußkurse!A$5:AU$105,37,FALSE))/VLOOKUP(A91,Aktien_im_Umlauf_splitbereinigt!A$3:AM$103,4,FALSE),0),0),0)</f>
        <v>#N/A</v>
      </c>
      <c r="E91" s="97" t="e">
        <f>IF(VLOOKUP(A91,Aktien_im_Umlauf_splitbereinigt!A$3:AM$103,6,FALSE)&lt;&gt;"",IF(VLOOKUP(A91,Aktien_im_Umlauf_splitbereinigt!A$3:AM$103,5,FALSE)&lt;&gt;"",IF(VLOOKUP(A91,Schlußkurse!A$5:AU$105,38,FALSE)&gt;0,((VLOOKUP(A91,Aktien_im_Umlauf_splitbereinigt!A$3:AM$103,6,FALSE)-VLOOKUP(A91,Aktien_im_Umlauf_splitbereinigt!A$3:AM$103,5,FALSE))*VLOOKUP(A91,Schlußkurse!A$5:AU$105,38,FALSE))/VLOOKUP(A91,Aktien_im_Umlauf_splitbereinigt!A$3:AM$103,5,FALSE),0),0),0)</f>
        <v>#N/A</v>
      </c>
      <c r="F91" s="97" t="e">
        <f>IF(VLOOKUP(A91,Aktien_im_Umlauf_splitbereinigt!A$3:AM$103,7,FALSE)&lt;&gt;"",IF(VLOOKUP(A91,Aktien_im_Umlauf_splitbereinigt!A$3:AM$103,6,FALSE)&lt;&gt;"",IF(VLOOKUP(A91,Schlußkurse!A$5:AU$105,39,FALSE)&gt;0,((VLOOKUP(A91,Aktien_im_Umlauf_splitbereinigt!A$3:AM$103,7,FALSE)-VLOOKUP(A91,Aktien_im_Umlauf_splitbereinigt!A$3:AM$103,6,FALSE))*VLOOKUP(A91,Schlußkurse!A$5:AU$105,39,FALSE))/VLOOKUP(A91,Aktien_im_Umlauf_splitbereinigt!A$3:AM$103,6,FALSE),0),0),0)</f>
        <v>#N/A</v>
      </c>
      <c r="G91" s="97" t="e">
        <f>IF(VLOOKUP(A91,Aktien_im_Umlauf_splitbereinigt!A$3:AM$103,8,FALSE)&lt;&gt;"",IF(VLOOKUP(A91,Aktien_im_Umlauf_splitbereinigt!A$3:AM$103,7,FALSE)&lt;&gt;"",IF(VLOOKUP(A91,Schlußkurse!A$5:AU$105,40,FALSE)&gt;0,((VLOOKUP(A91,Aktien_im_Umlauf_splitbereinigt!A$3:AM$103,8,FALSE)-VLOOKUP(A91,Aktien_im_Umlauf_splitbereinigt!A$3:AM$103,7,FALSE))*VLOOKUP(A91,Schlußkurse!A$5:AU$105,40,FALSE))/VLOOKUP(A91,Aktien_im_Umlauf_splitbereinigt!A$3:AM$103,7,FALSE),0),0),0)</f>
        <v>#N/A</v>
      </c>
      <c r="H91" s="97" t="e">
        <f>IF(VLOOKUP(A91,Aktien_im_Umlauf_splitbereinigt!A$3:AM$103,9,FALSE)&lt;&gt;"",IF(VLOOKUP(A91,Aktien_im_Umlauf_splitbereinigt!A$3:AM$103,8,FALSE)&lt;&gt;"",IF(VLOOKUP(A91,Schlußkurse!A$5:AU$105,41,FALSE)&gt;0,((VLOOKUP(A91,Aktien_im_Umlauf_splitbereinigt!A$3:AM$103,9,FALSE)-VLOOKUP(A91,Aktien_im_Umlauf_splitbereinigt!A$3:AM$103,8,FALSE))*VLOOKUP(A91,Schlußkurse!A$5:AU$105,41,FALSE))/VLOOKUP(A91,Aktien_im_Umlauf_splitbereinigt!A$3:AM$103,8,FALSE),0),0),0)</f>
        <v>#N/A</v>
      </c>
      <c r="I91" s="97" t="e">
        <f>IF(VLOOKUP(A91,Aktien_im_Umlauf_splitbereinigt!A$3:AM$103,10,FALSE)&lt;&gt;"",IF(VLOOKUP(A91,Aktien_im_Umlauf_splitbereinigt!A$3:AM$103,9,FALSE)&lt;&gt;"",IF(VLOOKUP(A91,Schlußkurse!A$5:AU$105,42,FALSE)&gt;0,((VLOOKUP(A91,Aktien_im_Umlauf_splitbereinigt!A$3:AM$103,10,FALSE)-VLOOKUP(A91,Aktien_im_Umlauf_splitbereinigt!A$3:AM$103,9,FALSE))*VLOOKUP(A91,Schlußkurse!A$5:AU$105,42,FALSE))/VLOOKUP(A91,Aktien_im_Umlauf_splitbereinigt!A$3:AM$103,9,FALSE),0),0),0)</f>
        <v>#N/A</v>
      </c>
      <c r="J91" s="97" t="e">
        <f>IF(VLOOKUP(A91,Aktien_im_Umlauf_splitbereinigt!A$3:AM$103,11,FALSE)&lt;&gt;"",IF(VLOOKUP(A91,Aktien_im_Umlauf_splitbereinigt!A$3:AM$103,10,FALSE)&lt;&gt;"",IF(VLOOKUP(A91,Schlußkurse!A$5:AU$105,43,FALSE)&gt;0,((VLOOKUP(A91,Aktien_im_Umlauf_splitbereinigt!A$3:AM$103,11,FALSE)-VLOOKUP(A91,Aktien_im_Umlauf_splitbereinigt!A$3:AM$103,10,FALSE))*VLOOKUP(A91,Schlußkurse!A$5:AU$105,43,FALSE))/VLOOKUP(A91,Aktien_im_Umlauf_splitbereinigt!A$3:AM$103,10,FALSE),0),0),0)</f>
        <v>#N/A</v>
      </c>
      <c r="K91" s="97" t="e">
        <f>IF(VLOOKUP(A91,Aktien_im_Umlauf_splitbereinigt!A$3:AM$103,12,FALSE)&lt;&gt;"",IF(VLOOKUP(A91,Aktien_im_Umlauf_splitbereinigt!A$3:AM$103,11,FALSE)&lt;&gt;"",IF(VLOOKUP(A91,Schlußkurse!A$5:AU$105,44,FALSE)&gt;0,((VLOOKUP(A91,Aktien_im_Umlauf_splitbereinigt!A$3:AM$103,12,FALSE)-VLOOKUP(A91,Aktien_im_Umlauf_splitbereinigt!A$3:AM$103,11,FALSE))*VLOOKUP(A91,Schlußkurse!A$5:AU$105,44,FALSE))/VLOOKUP(A91,Aktien_im_Umlauf_splitbereinigt!A$3:AM$103,11,FALSE),0),0),0)</f>
        <v>#N/A</v>
      </c>
      <c r="L91" s="97" t="e">
        <f>IF(VLOOKUP(A91,Aktien_im_Umlauf_splitbereinigt!A$3:AM$103,13,FALSE)&lt;&gt;"",IF(VLOOKUP(A91,Aktien_im_Umlauf_splitbereinigt!A$3:AM$103,12,FALSE)&lt;&gt;"",IF(VLOOKUP(A91,Schlußkurse!A$5:AU$105,45,FALSE)&gt;0,((VLOOKUP(A91,Aktien_im_Umlauf_splitbereinigt!A$3:AM$103,13,FALSE)-VLOOKUP(A91,Aktien_im_Umlauf_splitbereinigt!A$3:AM$103,12,FALSE))*VLOOKUP(A91,Schlußkurse!A$5:AU$105,45,FALSE))/VLOOKUP(A91,Aktien_im_Umlauf_splitbereinigt!A$3:AM$103,12,FALSE),0),0),0)</f>
        <v>#N/A</v>
      </c>
      <c r="M91" s="97" t="e">
        <f>IF(VLOOKUP(A91,Aktien_im_Umlauf_splitbereinigt!A$3:AM$103,14,FALSE)&lt;&gt;"",IF(VLOOKUP(A91,Aktien_im_Umlauf_splitbereinigt!A$3:AM$103,13,FALSE)&lt;&gt;"",IF(VLOOKUP(A91,Schlußkurse!A$5:AU$105,46,FALSE)&gt;0,((VLOOKUP(A91,Aktien_im_Umlauf_splitbereinigt!A$3:AM$103,14,FALSE)-VLOOKUP(A91,Aktien_im_Umlauf_splitbereinigt!A$3:AM$103,13,FALSE))*VLOOKUP(A91,Schlußkurse!A$5:AU$105,46,FALSE))/VLOOKUP(A91,Aktien_im_Umlauf_splitbereinigt!A$3:AM$103,13,FALSE),0),0),0)</f>
        <v>#N/A</v>
      </c>
      <c r="N91" s="13" t="e">
        <f>IF(C91&gt;0,IF(VLOOKUP(A91,Dividende_je_Aktie!A$3:AM$103,8,FALSE)&lt;&gt;"",C91+VLOOKUP(A91,Dividende_je_Aktie!A$3:AM$103,8,FALSE),C91),IF(VLOOKUP(A91,Dividende_je_Aktie!A$3:AM$103,8,FALSE)&lt;&gt;"",VLOOKUP(A91,Dividende_je_Aktie!A$3:AM$103,8,FALSE),""))</f>
        <v>#N/A</v>
      </c>
      <c r="O91" s="13" t="e">
        <f>IF(D91&gt;0,IF(VLOOKUP(A91,Dividende_je_Aktie!A$3:AM$103,9,FALSE)&lt;&gt;"",D91+VLOOKUP(A91,Dividende_je_Aktie!A$3:AM$103,9,FALSE),D91),IF(VLOOKUP(A91,Dividende_je_Aktie!A$3:AM$103,9,FALSE)&lt;&gt;"",VLOOKUP(A91,Dividende_je_Aktie!A$3:AM$103,9,FALSE),""))</f>
        <v>#N/A</v>
      </c>
      <c r="P91" s="13" t="e">
        <f>IF(E91&gt;0,IF(VLOOKUP(A91,Dividende_je_Aktie!A$3:AM$103,10,FALSE)&lt;&gt;"",E91+VLOOKUP(A91,Dividende_je_Aktie!A$3:AM$103,10,FALSE),E91),IF(VLOOKUP(A91,Dividende_je_Aktie!A$3:AM$103,10,FALSE)&lt;&gt;"",VLOOKUP(A91,Dividende_je_Aktie!A$3:AM$103,10,FALSE),""))</f>
        <v>#N/A</v>
      </c>
      <c r="Q91" s="13" t="e">
        <f>IF(F91&gt;0,IF(VLOOKUP(A91,Dividende_je_Aktie!A$3:AM$103,11,FALSE)&lt;&gt;"",F91+VLOOKUP(A91,Dividende_je_Aktie!A$3:AM$103,11,FALSE),F91),IF(VLOOKUP(A91,Dividende_je_Aktie!A$3:AM$103,11,FALSE)&lt;&gt;"",VLOOKUP(A91,Dividende_je_Aktie!A$3:AM$103,11,FALSE),""))</f>
        <v>#N/A</v>
      </c>
      <c r="R91" s="13" t="e">
        <f>IF(G91&gt;0,IF(VLOOKUP(A91,Dividende_je_Aktie!A$3:AM$103,12,FALSE)&lt;&gt;"",G91+VLOOKUP(A91,Dividende_je_Aktie!A$3:AM$103,12,FALSE),G91),IF(VLOOKUP(A91,Dividende_je_Aktie!A$3:AM$103,12,FALSE)&lt;&gt;"",VLOOKUP(A91,Dividende_je_Aktie!A$3:AM$103,12,FALSE),""))</f>
        <v>#N/A</v>
      </c>
      <c r="S91" s="13" t="e">
        <f>IF(H91&gt;0,IF(VLOOKUP(A91,Dividende_je_Aktie!A$3:AM$103,13,FALSE)&lt;&gt;"",H91+VLOOKUP(A91,Dividende_je_Aktie!A$3:AM$103,13,FALSE),H91),IF(VLOOKUP(A91,Dividende_je_Aktie!A$3:AM$103,13,FALSE)&lt;&gt;"",VLOOKUP(A91,Dividende_je_Aktie!A$3:AM$103,13,FALSE),""))</f>
        <v>#N/A</v>
      </c>
      <c r="T91" s="13" t="e">
        <f>IF(I91&gt;0,IF(VLOOKUP(A91,Dividende_je_Aktie!A$3:AM$103,14,FALSE)&lt;&gt;"",I91+VLOOKUP(A91,Dividende_je_Aktie!A$3:AM$103,14,FALSE),I91),IF(VLOOKUP(A91,Dividende_je_Aktie!A$3:AM$103,14,FALSE)&lt;&gt;"",VLOOKUP(A91,Dividende_je_Aktie!A$3:AM$103,14,FALSE),""))</f>
        <v>#N/A</v>
      </c>
      <c r="U91" s="13" t="e">
        <f>IF(J91&gt;0,IF(VLOOKUP(A91,Dividende_je_Aktie!A$3:AM$103,15,FALSE)&lt;&gt;"",J91+VLOOKUP(A91,Dividende_je_Aktie!A$3:AM$103,15,FALSE),J91),IF(VLOOKUP(A91,Dividende_je_Aktie!A$3:AM$103,15,FALSE)&lt;&gt;"",VLOOKUP(A91,Dividende_je_Aktie!A$3:AM$103,15,FALSE),""))</f>
        <v>#N/A</v>
      </c>
      <c r="V91" s="13" t="e">
        <f>IF(K91&gt;0,IF(VLOOKUP(A91,Dividende_je_Aktie!A$3:AM$103,16,FALSE)&lt;&gt;"",K91+VLOOKUP(A91,Dividende_je_Aktie!A$3:AM$103,16,FALSE),K91),IF(VLOOKUP(A91,Dividende_je_Aktie!A$3:AM$103,16,FALSE)&lt;&gt;"",VLOOKUP(A91,Dividende_je_Aktie!A$3:AM$103,16,FALSE),""))</f>
        <v>#N/A</v>
      </c>
      <c r="W91" s="13" t="e">
        <f>IF(L91&gt;0,IF(VLOOKUP(A91,Dividende_je_Aktie!A$3:AM$103,17,FALSE)&lt;&gt;"",L91+VLOOKUP(A91,Dividende_je_Aktie!A$3:AM$103,17,FALSE),L91),IF(VLOOKUP(A91,Dividende_je_Aktie!A$3:AM$103,17,FALSE)&lt;&gt;"",VLOOKUP(A91,Dividende_je_Aktie!A$3:AM$103,17,FALSE),""))</f>
        <v>#N/A</v>
      </c>
      <c r="X91" s="13" t="e">
        <f>IF(M91&gt;0,IF(VLOOKUP(A91,Dividende_je_Aktie!A$3:AM$103,18,FALSE)&lt;&gt;"",M91+VLOOKUP(A91,Dividende_je_Aktie!A$3:AM$103,18,FALSE),M91),IF(VLOOKUP(A91,Dividende_je_Aktie!A$3:AM$103,18,FALSE)&lt;&gt;"",VLOOKUP(A91,Dividende_je_Aktie!A$3:AM$103,18,FALSE),""))</f>
        <v>#N/A</v>
      </c>
    </row>
    <row r="92" spans="1:24">
      <c r="A92" s="52"/>
      <c r="B92" s="52"/>
      <c r="C92" s="13" t="e">
        <f>IF(VLOOKUP(A92,Aktien_im_Umlauf_splitbereinigt!A$3:AM$103,4,FALSE)&lt;&gt;"",IF(VLOOKUP(A92,Aktien_im_Umlauf_splitbereinigt!A$3:AM$103,3,FALSE)&lt;&gt;"",IF(VLOOKUP(A92,Schlußkurse!A$5:AU$105,36,FALSE)&gt;0,((VLOOKUP(A92,Aktien_im_Umlauf_splitbereinigt!A$3:AM$103,4,FALSE)-VLOOKUP(A92,Aktien_im_Umlauf_splitbereinigt!A$3:AM$103,3,FALSE))*VLOOKUP(A92,Schlußkurse!A$5:AU$105,36,FALSE))/VLOOKUP(A92,Aktien_im_Umlauf_splitbereinigt!A$3:AM$103,3,FALSE),0),0),0)</f>
        <v>#N/A</v>
      </c>
      <c r="D92" s="97" t="e">
        <f>IF(VLOOKUP(A92,Aktien_im_Umlauf_splitbereinigt!A$3:AM$103,5,FALSE)&lt;&gt;"",IF(VLOOKUP(A92,Aktien_im_Umlauf_splitbereinigt!A$3:AM$103,4,FALSE)&lt;&gt;"",IF(VLOOKUP(A92,Schlußkurse!A$5:AU$105,37,FALSE)&gt;0,((VLOOKUP(A92,Aktien_im_Umlauf_splitbereinigt!A$3:AM$103,5,FALSE)-VLOOKUP(A92,Aktien_im_Umlauf_splitbereinigt!A$3:AM$103,4,FALSE))*VLOOKUP(A92,Schlußkurse!A$5:AU$105,37,FALSE))/VLOOKUP(A92,Aktien_im_Umlauf_splitbereinigt!A$3:AM$103,4,FALSE),0),0),0)</f>
        <v>#N/A</v>
      </c>
      <c r="E92" s="97" t="e">
        <f>IF(VLOOKUP(A92,Aktien_im_Umlauf_splitbereinigt!A$3:AM$103,6,FALSE)&lt;&gt;"",IF(VLOOKUP(A92,Aktien_im_Umlauf_splitbereinigt!A$3:AM$103,5,FALSE)&lt;&gt;"",IF(VLOOKUP(A92,Schlußkurse!A$5:AU$105,38,FALSE)&gt;0,((VLOOKUP(A92,Aktien_im_Umlauf_splitbereinigt!A$3:AM$103,6,FALSE)-VLOOKUP(A92,Aktien_im_Umlauf_splitbereinigt!A$3:AM$103,5,FALSE))*VLOOKUP(A92,Schlußkurse!A$5:AU$105,38,FALSE))/VLOOKUP(A92,Aktien_im_Umlauf_splitbereinigt!A$3:AM$103,5,FALSE),0),0),0)</f>
        <v>#N/A</v>
      </c>
      <c r="F92" s="97" t="e">
        <f>IF(VLOOKUP(A92,Aktien_im_Umlauf_splitbereinigt!A$3:AM$103,7,FALSE)&lt;&gt;"",IF(VLOOKUP(A92,Aktien_im_Umlauf_splitbereinigt!A$3:AM$103,6,FALSE)&lt;&gt;"",IF(VLOOKUP(A92,Schlußkurse!A$5:AU$105,39,FALSE)&gt;0,((VLOOKUP(A92,Aktien_im_Umlauf_splitbereinigt!A$3:AM$103,7,FALSE)-VLOOKUP(A92,Aktien_im_Umlauf_splitbereinigt!A$3:AM$103,6,FALSE))*VLOOKUP(A92,Schlußkurse!A$5:AU$105,39,FALSE))/VLOOKUP(A92,Aktien_im_Umlauf_splitbereinigt!A$3:AM$103,6,FALSE),0),0),0)</f>
        <v>#N/A</v>
      </c>
      <c r="G92" s="97" t="e">
        <f>IF(VLOOKUP(A92,Aktien_im_Umlauf_splitbereinigt!A$3:AM$103,8,FALSE)&lt;&gt;"",IF(VLOOKUP(A92,Aktien_im_Umlauf_splitbereinigt!A$3:AM$103,7,FALSE)&lt;&gt;"",IF(VLOOKUP(A92,Schlußkurse!A$5:AU$105,40,FALSE)&gt;0,((VLOOKUP(A92,Aktien_im_Umlauf_splitbereinigt!A$3:AM$103,8,FALSE)-VLOOKUP(A92,Aktien_im_Umlauf_splitbereinigt!A$3:AM$103,7,FALSE))*VLOOKUP(A92,Schlußkurse!A$5:AU$105,40,FALSE))/VLOOKUP(A92,Aktien_im_Umlauf_splitbereinigt!A$3:AM$103,7,FALSE),0),0),0)</f>
        <v>#N/A</v>
      </c>
      <c r="H92" s="97" t="e">
        <f>IF(VLOOKUP(A92,Aktien_im_Umlauf_splitbereinigt!A$3:AM$103,9,FALSE)&lt;&gt;"",IF(VLOOKUP(A92,Aktien_im_Umlauf_splitbereinigt!A$3:AM$103,8,FALSE)&lt;&gt;"",IF(VLOOKUP(A92,Schlußkurse!A$5:AU$105,41,FALSE)&gt;0,((VLOOKUP(A92,Aktien_im_Umlauf_splitbereinigt!A$3:AM$103,9,FALSE)-VLOOKUP(A92,Aktien_im_Umlauf_splitbereinigt!A$3:AM$103,8,FALSE))*VLOOKUP(A92,Schlußkurse!A$5:AU$105,41,FALSE))/VLOOKUP(A92,Aktien_im_Umlauf_splitbereinigt!A$3:AM$103,8,FALSE),0),0),0)</f>
        <v>#N/A</v>
      </c>
      <c r="I92" s="97" t="e">
        <f>IF(VLOOKUP(A92,Aktien_im_Umlauf_splitbereinigt!A$3:AM$103,10,FALSE)&lt;&gt;"",IF(VLOOKUP(A92,Aktien_im_Umlauf_splitbereinigt!A$3:AM$103,9,FALSE)&lt;&gt;"",IF(VLOOKUP(A92,Schlußkurse!A$5:AU$105,42,FALSE)&gt;0,((VLOOKUP(A92,Aktien_im_Umlauf_splitbereinigt!A$3:AM$103,10,FALSE)-VLOOKUP(A92,Aktien_im_Umlauf_splitbereinigt!A$3:AM$103,9,FALSE))*VLOOKUP(A92,Schlußkurse!A$5:AU$105,42,FALSE))/VLOOKUP(A92,Aktien_im_Umlauf_splitbereinigt!A$3:AM$103,9,FALSE),0),0),0)</f>
        <v>#N/A</v>
      </c>
      <c r="J92" s="97" t="e">
        <f>IF(VLOOKUP(A92,Aktien_im_Umlauf_splitbereinigt!A$3:AM$103,11,FALSE)&lt;&gt;"",IF(VLOOKUP(A92,Aktien_im_Umlauf_splitbereinigt!A$3:AM$103,10,FALSE)&lt;&gt;"",IF(VLOOKUP(A92,Schlußkurse!A$5:AU$105,43,FALSE)&gt;0,((VLOOKUP(A92,Aktien_im_Umlauf_splitbereinigt!A$3:AM$103,11,FALSE)-VLOOKUP(A92,Aktien_im_Umlauf_splitbereinigt!A$3:AM$103,10,FALSE))*VLOOKUP(A92,Schlußkurse!A$5:AU$105,43,FALSE))/VLOOKUP(A92,Aktien_im_Umlauf_splitbereinigt!A$3:AM$103,10,FALSE),0),0),0)</f>
        <v>#N/A</v>
      </c>
      <c r="K92" s="97" t="e">
        <f>IF(VLOOKUP(A92,Aktien_im_Umlauf_splitbereinigt!A$3:AM$103,12,FALSE)&lt;&gt;"",IF(VLOOKUP(A92,Aktien_im_Umlauf_splitbereinigt!A$3:AM$103,11,FALSE)&lt;&gt;"",IF(VLOOKUP(A92,Schlußkurse!A$5:AU$105,44,FALSE)&gt;0,((VLOOKUP(A92,Aktien_im_Umlauf_splitbereinigt!A$3:AM$103,12,FALSE)-VLOOKUP(A92,Aktien_im_Umlauf_splitbereinigt!A$3:AM$103,11,FALSE))*VLOOKUP(A92,Schlußkurse!A$5:AU$105,44,FALSE))/VLOOKUP(A92,Aktien_im_Umlauf_splitbereinigt!A$3:AM$103,11,FALSE),0),0),0)</f>
        <v>#N/A</v>
      </c>
      <c r="L92" s="97" t="e">
        <f>IF(VLOOKUP(A92,Aktien_im_Umlauf_splitbereinigt!A$3:AM$103,13,FALSE)&lt;&gt;"",IF(VLOOKUP(A92,Aktien_im_Umlauf_splitbereinigt!A$3:AM$103,12,FALSE)&lt;&gt;"",IF(VLOOKUP(A92,Schlußkurse!A$5:AU$105,45,FALSE)&gt;0,((VLOOKUP(A92,Aktien_im_Umlauf_splitbereinigt!A$3:AM$103,13,FALSE)-VLOOKUP(A92,Aktien_im_Umlauf_splitbereinigt!A$3:AM$103,12,FALSE))*VLOOKUP(A92,Schlußkurse!A$5:AU$105,45,FALSE))/VLOOKUP(A92,Aktien_im_Umlauf_splitbereinigt!A$3:AM$103,12,FALSE),0),0),0)</f>
        <v>#N/A</v>
      </c>
      <c r="M92" s="97" t="e">
        <f>IF(VLOOKUP(A92,Aktien_im_Umlauf_splitbereinigt!A$3:AM$103,14,FALSE)&lt;&gt;"",IF(VLOOKUP(A92,Aktien_im_Umlauf_splitbereinigt!A$3:AM$103,13,FALSE)&lt;&gt;"",IF(VLOOKUP(A92,Schlußkurse!A$5:AU$105,46,FALSE)&gt;0,((VLOOKUP(A92,Aktien_im_Umlauf_splitbereinigt!A$3:AM$103,14,FALSE)-VLOOKUP(A92,Aktien_im_Umlauf_splitbereinigt!A$3:AM$103,13,FALSE))*VLOOKUP(A92,Schlußkurse!A$5:AU$105,46,FALSE))/VLOOKUP(A92,Aktien_im_Umlauf_splitbereinigt!A$3:AM$103,13,FALSE),0),0),0)</f>
        <v>#N/A</v>
      </c>
      <c r="N92" s="13" t="e">
        <f>IF(C92&gt;0,IF(VLOOKUP(A92,Dividende_je_Aktie!A$3:AM$103,8,FALSE)&lt;&gt;"",C92+VLOOKUP(A92,Dividende_je_Aktie!A$3:AM$103,8,FALSE),C92),IF(VLOOKUP(A92,Dividende_je_Aktie!A$3:AM$103,8,FALSE)&lt;&gt;"",VLOOKUP(A92,Dividende_je_Aktie!A$3:AM$103,8,FALSE),""))</f>
        <v>#N/A</v>
      </c>
      <c r="O92" s="13" t="e">
        <f>IF(D92&gt;0,IF(VLOOKUP(A92,Dividende_je_Aktie!A$3:AM$103,9,FALSE)&lt;&gt;"",D92+VLOOKUP(A92,Dividende_je_Aktie!A$3:AM$103,9,FALSE),D92),IF(VLOOKUP(A92,Dividende_je_Aktie!A$3:AM$103,9,FALSE)&lt;&gt;"",VLOOKUP(A92,Dividende_je_Aktie!A$3:AM$103,9,FALSE),""))</f>
        <v>#N/A</v>
      </c>
      <c r="P92" s="13" t="e">
        <f>IF(E92&gt;0,IF(VLOOKUP(A92,Dividende_je_Aktie!A$3:AM$103,10,FALSE)&lt;&gt;"",E92+VLOOKUP(A92,Dividende_je_Aktie!A$3:AM$103,10,FALSE),E92),IF(VLOOKUP(A92,Dividende_je_Aktie!A$3:AM$103,10,FALSE)&lt;&gt;"",VLOOKUP(A92,Dividende_je_Aktie!A$3:AM$103,10,FALSE),""))</f>
        <v>#N/A</v>
      </c>
      <c r="Q92" s="13" t="e">
        <f>IF(F92&gt;0,IF(VLOOKUP(A92,Dividende_je_Aktie!A$3:AM$103,11,FALSE)&lt;&gt;"",F92+VLOOKUP(A92,Dividende_je_Aktie!A$3:AM$103,11,FALSE),F92),IF(VLOOKUP(A92,Dividende_je_Aktie!A$3:AM$103,11,FALSE)&lt;&gt;"",VLOOKUP(A92,Dividende_je_Aktie!A$3:AM$103,11,FALSE),""))</f>
        <v>#N/A</v>
      </c>
      <c r="R92" s="13" t="e">
        <f>IF(G92&gt;0,IF(VLOOKUP(A92,Dividende_je_Aktie!A$3:AM$103,12,FALSE)&lt;&gt;"",G92+VLOOKUP(A92,Dividende_je_Aktie!A$3:AM$103,12,FALSE),G92),IF(VLOOKUP(A92,Dividende_je_Aktie!A$3:AM$103,12,FALSE)&lt;&gt;"",VLOOKUP(A92,Dividende_je_Aktie!A$3:AM$103,12,FALSE),""))</f>
        <v>#N/A</v>
      </c>
      <c r="S92" s="13" t="e">
        <f>IF(H92&gt;0,IF(VLOOKUP(A92,Dividende_je_Aktie!A$3:AM$103,13,FALSE)&lt;&gt;"",H92+VLOOKUP(A92,Dividende_je_Aktie!A$3:AM$103,13,FALSE),H92),IF(VLOOKUP(A92,Dividende_je_Aktie!A$3:AM$103,13,FALSE)&lt;&gt;"",VLOOKUP(A92,Dividende_je_Aktie!A$3:AM$103,13,FALSE),""))</f>
        <v>#N/A</v>
      </c>
      <c r="T92" s="13" t="e">
        <f>IF(I92&gt;0,IF(VLOOKUP(A92,Dividende_je_Aktie!A$3:AM$103,14,FALSE)&lt;&gt;"",I92+VLOOKUP(A92,Dividende_je_Aktie!A$3:AM$103,14,FALSE),I92),IF(VLOOKUP(A92,Dividende_je_Aktie!A$3:AM$103,14,FALSE)&lt;&gt;"",VLOOKUP(A92,Dividende_je_Aktie!A$3:AM$103,14,FALSE),""))</f>
        <v>#N/A</v>
      </c>
      <c r="U92" s="13" t="e">
        <f>IF(J92&gt;0,IF(VLOOKUP(A92,Dividende_je_Aktie!A$3:AM$103,15,FALSE)&lt;&gt;"",J92+VLOOKUP(A92,Dividende_je_Aktie!A$3:AM$103,15,FALSE),J92),IF(VLOOKUP(A92,Dividende_je_Aktie!A$3:AM$103,15,FALSE)&lt;&gt;"",VLOOKUP(A92,Dividende_je_Aktie!A$3:AM$103,15,FALSE),""))</f>
        <v>#N/A</v>
      </c>
      <c r="V92" s="13" t="e">
        <f>IF(K92&gt;0,IF(VLOOKUP(A92,Dividende_je_Aktie!A$3:AM$103,16,FALSE)&lt;&gt;"",K92+VLOOKUP(A92,Dividende_je_Aktie!A$3:AM$103,16,FALSE),K92),IF(VLOOKUP(A92,Dividende_je_Aktie!A$3:AM$103,16,FALSE)&lt;&gt;"",VLOOKUP(A92,Dividende_je_Aktie!A$3:AM$103,16,FALSE),""))</f>
        <v>#N/A</v>
      </c>
      <c r="W92" s="13" t="e">
        <f>IF(L92&gt;0,IF(VLOOKUP(A92,Dividende_je_Aktie!A$3:AM$103,17,FALSE)&lt;&gt;"",L92+VLOOKUP(A92,Dividende_je_Aktie!A$3:AM$103,17,FALSE),L92),IF(VLOOKUP(A92,Dividende_je_Aktie!A$3:AM$103,17,FALSE)&lt;&gt;"",VLOOKUP(A92,Dividende_je_Aktie!A$3:AM$103,17,FALSE),""))</f>
        <v>#N/A</v>
      </c>
      <c r="X92" s="13" t="e">
        <f>IF(M92&gt;0,IF(VLOOKUP(A92,Dividende_je_Aktie!A$3:AM$103,18,FALSE)&lt;&gt;"",M92+VLOOKUP(A92,Dividende_je_Aktie!A$3:AM$103,18,FALSE),M92),IF(VLOOKUP(A92,Dividende_je_Aktie!A$3:AM$103,18,FALSE)&lt;&gt;"",VLOOKUP(A92,Dividende_je_Aktie!A$3:AM$103,18,FALSE),""))</f>
        <v>#N/A</v>
      </c>
    </row>
    <row r="93" spans="1:24">
      <c r="A93" s="52"/>
      <c r="B93" s="52"/>
      <c r="C93" s="13" t="e">
        <f>IF(VLOOKUP(A93,Aktien_im_Umlauf_splitbereinigt!A$3:AM$103,4,FALSE)&lt;&gt;"",IF(VLOOKUP(A93,Aktien_im_Umlauf_splitbereinigt!A$3:AM$103,3,FALSE)&lt;&gt;"",IF(VLOOKUP(A93,Schlußkurse!A$5:AU$105,36,FALSE)&gt;0,((VLOOKUP(A93,Aktien_im_Umlauf_splitbereinigt!A$3:AM$103,4,FALSE)-VLOOKUP(A93,Aktien_im_Umlauf_splitbereinigt!A$3:AM$103,3,FALSE))*VLOOKUP(A93,Schlußkurse!A$5:AU$105,36,FALSE))/VLOOKUP(A93,Aktien_im_Umlauf_splitbereinigt!A$3:AM$103,3,FALSE),0),0),0)</f>
        <v>#N/A</v>
      </c>
      <c r="D93" s="97" t="e">
        <f>IF(VLOOKUP(A93,Aktien_im_Umlauf_splitbereinigt!A$3:AM$103,5,FALSE)&lt;&gt;"",IF(VLOOKUP(A93,Aktien_im_Umlauf_splitbereinigt!A$3:AM$103,4,FALSE)&lt;&gt;"",IF(VLOOKUP(A93,Schlußkurse!A$5:AU$105,37,FALSE)&gt;0,((VLOOKUP(A93,Aktien_im_Umlauf_splitbereinigt!A$3:AM$103,5,FALSE)-VLOOKUP(A93,Aktien_im_Umlauf_splitbereinigt!A$3:AM$103,4,FALSE))*VLOOKUP(A93,Schlußkurse!A$5:AU$105,37,FALSE))/VLOOKUP(A93,Aktien_im_Umlauf_splitbereinigt!A$3:AM$103,4,FALSE),0),0),0)</f>
        <v>#N/A</v>
      </c>
      <c r="E93" s="97" t="e">
        <f>IF(VLOOKUP(A93,Aktien_im_Umlauf_splitbereinigt!A$3:AM$103,6,FALSE)&lt;&gt;"",IF(VLOOKUP(A93,Aktien_im_Umlauf_splitbereinigt!A$3:AM$103,5,FALSE)&lt;&gt;"",IF(VLOOKUP(A93,Schlußkurse!A$5:AU$105,38,FALSE)&gt;0,((VLOOKUP(A93,Aktien_im_Umlauf_splitbereinigt!A$3:AM$103,6,FALSE)-VLOOKUP(A93,Aktien_im_Umlauf_splitbereinigt!A$3:AM$103,5,FALSE))*VLOOKUP(A93,Schlußkurse!A$5:AU$105,38,FALSE))/VLOOKUP(A93,Aktien_im_Umlauf_splitbereinigt!A$3:AM$103,5,FALSE),0),0),0)</f>
        <v>#N/A</v>
      </c>
      <c r="F93" s="97" t="e">
        <f>IF(VLOOKUP(A93,Aktien_im_Umlauf_splitbereinigt!A$3:AM$103,7,FALSE)&lt;&gt;"",IF(VLOOKUP(A93,Aktien_im_Umlauf_splitbereinigt!A$3:AM$103,6,FALSE)&lt;&gt;"",IF(VLOOKUP(A93,Schlußkurse!A$5:AU$105,39,FALSE)&gt;0,((VLOOKUP(A93,Aktien_im_Umlauf_splitbereinigt!A$3:AM$103,7,FALSE)-VLOOKUP(A93,Aktien_im_Umlauf_splitbereinigt!A$3:AM$103,6,FALSE))*VLOOKUP(A93,Schlußkurse!A$5:AU$105,39,FALSE))/VLOOKUP(A93,Aktien_im_Umlauf_splitbereinigt!A$3:AM$103,6,FALSE),0),0),0)</f>
        <v>#N/A</v>
      </c>
      <c r="G93" s="97" t="e">
        <f>IF(VLOOKUP(A93,Aktien_im_Umlauf_splitbereinigt!A$3:AM$103,8,FALSE)&lt;&gt;"",IF(VLOOKUP(A93,Aktien_im_Umlauf_splitbereinigt!A$3:AM$103,7,FALSE)&lt;&gt;"",IF(VLOOKUP(A93,Schlußkurse!A$5:AU$105,40,FALSE)&gt;0,((VLOOKUP(A93,Aktien_im_Umlauf_splitbereinigt!A$3:AM$103,8,FALSE)-VLOOKUP(A93,Aktien_im_Umlauf_splitbereinigt!A$3:AM$103,7,FALSE))*VLOOKUP(A93,Schlußkurse!A$5:AU$105,40,FALSE))/VLOOKUP(A93,Aktien_im_Umlauf_splitbereinigt!A$3:AM$103,7,FALSE),0),0),0)</f>
        <v>#N/A</v>
      </c>
      <c r="H93" s="97" t="e">
        <f>IF(VLOOKUP(A93,Aktien_im_Umlauf_splitbereinigt!A$3:AM$103,9,FALSE)&lt;&gt;"",IF(VLOOKUP(A93,Aktien_im_Umlauf_splitbereinigt!A$3:AM$103,8,FALSE)&lt;&gt;"",IF(VLOOKUP(A93,Schlußkurse!A$5:AU$105,41,FALSE)&gt;0,((VLOOKUP(A93,Aktien_im_Umlauf_splitbereinigt!A$3:AM$103,9,FALSE)-VLOOKUP(A93,Aktien_im_Umlauf_splitbereinigt!A$3:AM$103,8,FALSE))*VLOOKUP(A93,Schlußkurse!A$5:AU$105,41,FALSE))/VLOOKUP(A93,Aktien_im_Umlauf_splitbereinigt!A$3:AM$103,8,FALSE),0),0),0)</f>
        <v>#N/A</v>
      </c>
      <c r="I93" s="97" t="e">
        <f>IF(VLOOKUP(A93,Aktien_im_Umlauf_splitbereinigt!A$3:AM$103,10,FALSE)&lt;&gt;"",IF(VLOOKUP(A93,Aktien_im_Umlauf_splitbereinigt!A$3:AM$103,9,FALSE)&lt;&gt;"",IF(VLOOKUP(A93,Schlußkurse!A$5:AU$105,42,FALSE)&gt;0,((VLOOKUP(A93,Aktien_im_Umlauf_splitbereinigt!A$3:AM$103,10,FALSE)-VLOOKUP(A93,Aktien_im_Umlauf_splitbereinigt!A$3:AM$103,9,FALSE))*VLOOKUP(A93,Schlußkurse!A$5:AU$105,42,FALSE))/VLOOKUP(A93,Aktien_im_Umlauf_splitbereinigt!A$3:AM$103,9,FALSE),0),0),0)</f>
        <v>#N/A</v>
      </c>
      <c r="J93" s="97" t="e">
        <f>IF(VLOOKUP(A93,Aktien_im_Umlauf_splitbereinigt!A$3:AM$103,11,FALSE)&lt;&gt;"",IF(VLOOKUP(A93,Aktien_im_Umlauf_splitbereinigt!A$3:AM$103,10,FALSE)&lt;&gt;"",IF(VLOOKUP(A93,Schlußkurse!A$5:AU$105,43,FALSE)&gt;0,((VLOOKUP(A93,Aktien_im_Umlauf_splitbereinigt!A$3:AM$103,11,FALSE)-VLOOKUP(A93,Aktien_im_Umlauf_splitbereinigt!A$3:AM$103,10,FALSE))*VLOOKUP(A93,Schlußkurse!A$5:AU$105,43,FALSE))/VLOOKUP(A93,Aktien_im_Umlauf_splitbereinigt!A$3:AM$103,10,FALSE),0),0),0)</f>
        <v>#N/A</v>
      </c>
      <c r="K93" s="97" t="e">
        <f>IF(VLOOKUP(A93,Aktien_im_Umlauf_splitbereinigt!A$3:AM$103,12,FALSE)&lt;&gt;"",IF(VLOOKUP(A93,Aktien_im_Umlauf_splitbereinigt!A$3:AM$103,11,FALSE)&lt;&gt;"",IF(VLOOKUP(A93,Schlußkurse!A$5:AU$105,44,FALSE)&gt;0,((VLOOKUP(A93,Aktien_im_Umlauf_splitbereinigt!A$3:AM$103,12,FALSE)-VLOOKUP(A93,Aktien_im_Umlauf_splitbereinigt!A$3:AM$103,11,FALSE))*VLOOKUP(A93,Schlußkurse!A$5:AU$105,44,FALSE))/VLOOKUP(A93,Aktien_im_Umlauf_splitbereinigt!A$3:AM$103,11,FALSE),0),0),0)</f>
        <v>#N/A</v>
      </c>
      <c r="L93" s="97" t="e">
        <f>IF(VLOOKUP(A93,Aktien_im_Umlauf_splitbereinigt!A$3:AM$103,13,FALSE)&lt;&gt;"",IF(VLOOKUP(A93,Aktien_im_Umlauf_splitbereinigt!A$3:AM$103,12,FALSE)&lt;&gt;"",IF(VLOOKUP(A93,Schlußkurse!A$5:AU$105,45,FALSE)&gt;0,((VLOOKUP(A93,Aktien_im_Umlauf_splitbereinigt!A$3:AM$103,13,FALSE)-VLOOKUP(A93,Aktien_im_Umlauf_splitbereinigt!A$3:AM$103,12,FALSE))*VLOOKUP(A93,Schlußkurse!A$5:AU$105,45,FALSE))/VLOOKUP(A93,Aktien_im_Umlauf_splitbereinigt!A$3:AM$103,12,FALSE),0),0),0)</f>
        <v>#N/A</v>
      </c>
      <c r="M93" s="97" t="e">
        <f>IF(VLOOKUP(A93,Aktien_im_Umlauf_splitbereinigt!A$3:AM$103,14,FALSE)&lt;&gt;"",IF(VLOOKUP(A93,Aktien_im_Umlauf_splitbereinigt!A$3:AM$103,13,FALSE)&lt;&gt;"",IF(VLOOKUP(A93,Schlußkurse!A$5:AU$105,46,FALSE)&gt;0,((VLOOKUP(A93,Aktien_im_Umlauf_splitbereinigt!A$3:AM$103,14,FALSE)-VLOOKUP(A93,Aktien_im_Umlauf_splitbereinigt!A$3:AM$103,13,FALSE))*VLOOKUP(A93,Schlußkurse!A$5:AU$105,46,FALSE))/VLOOKUP(A93,Aktien_im_Umlauf_splitbereinigt!A$3:AM$103,13,FALSE),0),0),0)</f>
        <v>#N/A</v>
      </c>
      <c r="N93" s="13" t="e">
        <f>IF(C93&gt;0,IF(VLOOKUP(A93,Dividende_je_Aktie!A$3:AM$103,8,FALSE)&lt;&gt;"",C93+VLOOKUP(A93,Dividende_je_Aktie!A$3:AM$103,8,FALSE),C93),IF(VLOOKUP(A93,Dividende_je_Aktie!A$3:AM$103,8,FALSE)&lt;&gt;"",VLOOKUP(A93,Dividende_je_Aktie!A$3:AM$103,8,FALSE),""))</f>
        <v>#N/A</v>
      </c>
      <c r="O93" s="13" t="e">
        <f>IF(D93&gt;0,IF(VLOOKUP(A93,Dividende_je_Aktie!A$3:AM$103,9,FALSE)&lt;&gt;"",D93+VLOOKUP(A93,Dividende_je_Aktie!A$3:AM$103,9,FALSE),D93),IF(VLOOKUP(A93,Dividende_je_Aktie!A$3:AM$103,9,FALSE)&lt;&gt;"",VLOOKUP(A93,Dividende_je_Aktie!A$3:AM$103,9,FALSE),""))</f>
        <v>#N/A</v>
      </c>
      <c r="P93" s="13" t="e">
        <f>IF(E93&gt;0,IF(VLOOKUP(A93,Dividende_je_Aktie!A$3:AM$103,10,FALSE)&lt;&gt;"",E93+VLOOKUP(A93,Dividende_je_Aktie!A$3:AM$103,10,FALSE),E93),IF(VLOOKUP(A93,Dividende_je_Aktie!A$3:AM$103,10,FALSE)&lt;&gt;"",VLOOKUP(A93,Dividende_je_Aktie!A$3:AM$103,10,FALSE),""))</f>
        <v>#N/A</v>
      </c>
      <c r="Q93" s="13" t="e">
        <f>IF(F93&gt;0,IF(VLOOKUP(A93,Dividende_je_Aktie!A$3:AM$103,11,FALSE)&lt;&gt;"",F93+VLOOKUP(A93,Dividende_je_Aktie!A$3:AM$103,11,FALSE),F93),IF(VLOOKUP(A93,Dividende_je_Aktie!A$3:AM$103,11,FALSE)&lt;&gt;"",VLOOKUP(A93,Dividende_je_Aktie!A$3:AM$103,11,FALSE),""))</f>
        <v>#N/A</v>
      </c>
      <c r="R93" s="13" t="e">
        <f>IF(G93&gt;0,IF(VLOOKUP(A93,Dividende_je_Aktie!A$3:AM$103,12,FALSE)&lt;&gt;"",G93+VLOOKUP(A93,Dividende_je_Aktie!A$3:AM$103,12,FALSE),G93),IF(VLOOKUP(A93,Dividende_je_Aktie!A$3:AM$103,12,FALSE)&lt;&gt;"",VLOOKUP(A93,Dividende_je_Aktie!A$3:AM$103,12,FALSE),""))</f>
        <v>#N/A</v>
      </c>
      <c r="S93" s="13" t="e">
        <f>IF(H93&gt;0,IF(VLOOKUP(A93,Dividende_je_Aktie!A$3:AM$103,13,FALSE)&lt;&gt;"",H93+VLOOKUP(A93,Dividende_je_Aktie!A$3:AM$103,13,FALSE),H93),IF(VLOOKUP(A93,Dividende_je_Aktie!A$3:AM$103,13,FALSE)&lt;&gt;"",VLOOKUP(A93,Dividende_je_Aktie!A$3:AM$103,13,FALSE),""))</f>
        <v>#N/A</v>
      </c>
      <c r="T93" s="13" t="e">
        <f>IF(I93&gt;0,IF(VLOOKUP(A93,Dividende_je_Aktie!A$3:AM$103,14,FALSE)&lt;&gt;"",I93+VLOOKUP(A93,Dividende_je_Aktie!A$3:AM$103,14,FALSE),I93),IF(VLOOKUP(A93,Dividende_je_Aktie!A$3:AM$103,14,FALSE)&lt;&gt;"",VLOOKUP(A93,Dividende_je_Aktie!A$3:AM$103,14,FALSE),""))</f>
        <v>#N/A</v>
      </c>
      <c r="U93" s="13" t="e">
        <f>IF(J93&gt;0,IF(VLOOKUP(A93,Dividende_je_Aktie!A$3:AM$103,15,FALSE)&lt;&gt;"",J93+VLOOKUP(A93,Dividende_je_Aktie!A$3:AM$103,15,FALSE),J93),IF(VLOOKUP(A93,Dividende_je_Aktie!A$3:AM$103,15,FALSE)&lt;&gt;"",VLOOKUP(A93,Dividende_je_Aktie!A$3:AM$103,15,FALSE),""))</f>
        <v>#N/A</v>
      </c>
      <c r="V93" s="13" t="e">
        <f>IF(K93&gt;0,IF(VLOOKUP(A93,Dividende_je_Aktie!A$3:AM$103,16,FALSE)&lt;&gt;"",K93+VLOOKUP(A93,Dividende_je_Aktie!A$3:AM$103,16,FALSE),K93),IF(VLOOKUP(A93,Dividende_je_Aktie!A$3:AM$103,16,FALSE)&lt;&gt;"",VLOOKUP(A93,Dividende_je_Aktie!A$3:AM$103,16,FALSE),""))</f>
        <v>#N/A</v>
      </c>
      <c r="W93" s="13" t="e">
        <f>IF(L93&gt;0,IF(VLOOKUP(A93,Dividende_je_Aktie!A$3:AM$103,17,FALSE)&lt;&gt;"",L93+VLOOKUP(A93,Dividende_je_Aktie!A$3:AM$103,17,FALSE),L93),IF(VLOOKUP(A93,Dividende_je_Aktie!A$3:AM$103,17,FALSE)&lt;&gt;"",VLOOKUP(A93,Dividende_je_Aktie!A$3:AM$103,17,FALSE),""))</f>
        <v>#N/A</v>
      </c>
      <c r="X93" s="13" t="e">
        <f>IF(M93&gt;0,IF(VLOOKUP(A93,Dividende_je_Aktie!A$3:AM$103,18,FALSE)&lt;&gt;"",M93+VLOOKUP(A93,Dividende_je_Aktie!A$3:AM$103,18,FALSE),M93),IF(VLOOKUP(A93,Dividende_je_Aktie!A$3:AM$103,18,FALSE)&lt;&gt;"",VLOOKUP(A93,Dividende_je_Aktie!A$3:AM$103,18,FALSE),""))</f>
        <v>#N/A</v>
      </c>
    </row>
    <row r="94" spans="1:24">
      <c r="A94" s="52"/>
      <c r="B94" s="52"/>
      <c r="C94" s="13" t="e">
        <f>IF(VLOOKUP(A94,Aktien_im_Umlauf_splitbereinigt!A$3:AM$103,4,FALSE)&lt;&gt;"",IF(VLOOKUP(A94,Aktien_im_Umlauf_splitbereinigt!A$3:AM$103,3,FALSE)&lt;&gt;"",IF(VLOOKUP(A94,Schlußkurse!A$5:AU$105,36,FALSE)&gt;0,((VLOOKUP(A94,Aktien_im_Umlauf_splitbereinigt!A$3:AM$103,4,FALSE)-VLOOKUP(A94,Aktien_im_Umlauf_splitbereinigt!A$3:AM$103,3,FALSE))*VLOOKUP(A94,Schlußkurse!A$5:AU$105,36,FALSE))/VLOOKUP(A94,Aktien_im_Umlauf_splitbereinigt!A$3:AM$103,3,FALSE),0),0),0)</f>
        <v>#N/A</v>
      </c>
      <c r="D94" s="97" t="e">
        <f>IF(VLOOKUP(A94,Aktien_im_Umlauf_splitbereinigt!A$3:AM$103,5,FALSE)&lt;&gt;"",IF(VLOOKUP(A94,Aktien_im_Umlauf_splitbereinigt!A$3:AM$103,4,FALSE)&lt;&gt;"",IF(VLOOKUP(A94,Schlußkurse!A$5:AU$105,37,FALSE)&gt;0,((VLOOKUP(A94,Aktien_im_Umlauf_splitbereinigt!A$3:AM$103,5,FALSE)-VLOOKUP(A94,Aktien_im_Umlauf_splitbereinigt!A$3:AM$103,4,FALSE))*VLOOKUP(A94,Schlußkurse!A$5:AU$105,37,FALSE))/VLOOKUP(A94,Aktien_im_Umlauf_splitbereinigt!A$3:AM$103,4,FALSE),0),0),0)</f>
        <v>#N/A</v>
      </c>
      <c r="E94" s="97" t="e">
        <f>IF(VLOOKUP(A94,Aktien_im_Umlauf_splitbereinigt!A$3:AM$103,6,FALSE)&lt;&gt;"",IF(VLOOKUP(A94,Aktien_im_Umlauf_splitbereinigt!A$3:AM$103,5,FALSE)&lt;&gt;"",IF(VLOOKUP(A94,Schlußkurse!A$5:AU$105,38,FALSE)&gt;0,((VLOOKUP(A94,Aktien_im_Umlauf_splitbereinigt!A$3:AM$103,6,FALSE)-VLOOKUP(A94,Aktien_im_Umlauf_splitbereinigt!A$3:AM$103,5,FALSE))*VLOOKUP(A94,Schlußkurse!A$5:AU$105,38,FALSE))/VLOOKUP(A94,Aktien_im_Umlauf_splitbereinigt!A$3:AM$103,5,FALSE),0),0),0)</f>
        <v>#N/A</v>
      </c>
      <c r="F94" s="97" t="e">
        <f>IF(VLOOKUP(A94,Aktien_im_Umlauf_splitbereinigt!A$3:AM$103,7,FALSE)&lt;&gt;"",IF(VLOOKUP(A94,Aktien_im_Umlauf_splitbereinigt!A$3:AM$103,6,FALSE)&lt;&gt;"",IF(VLOOKUP(A94,Schlußkurse!A$5:AU$105,39,FALSE)&gt;0,((VLOOKUP(A94,Aktien_im_Umlauf_splitbereinigt!A$3:AM$103,7,FALSE)-VLOOKUP(A94,Aktien_im_Umlauf_splitbereinigt!A$3:AM$103,6,FALSE))*VLOOKUP(A94,Schlußkurse!A$5:AU$105,39,FALSE))/VLOOKUP(A94,Aktien_im_Umlauf_splitbereinigt!A$3:AM$103,6,FALSE),0),0),0)</f>
        <v>#N/A</v>
      </c>
      <c r="G94" s="97" t="e">
        <f>IF(VLOOKUP(A94,Aktien_im_Umlauf_splitbereinigt!A$3:AM$103,8,FALSE)&lt;&gt;"",IF(VLOOKUP(A94,Aktien_im_Umlauf_splitbereinigt!A$3:AM$103,7,FALSE)&lt;&gt;"",IF(VLOOKUP(A94,Schlußkurse!A$5:AU$105,40,FALSE)&gt;0,((VLOOKUP(A94,Aktien_im_Umlauf_splitbereinigt!A$3:AM$103,8,FALSE)-VLOOKUP(A94,Aktien_im_Umlauf_splitbereinigt!A$3:AM$103,7,FALSE))*VLOOKUP(A94,Schlußkurse!A$5:AU$105,40,FALSE))/VLOOKUP(A94,Aktien_im_Umlauf_splitbereinigt!A$3:AM$103,7,FALSE),0),0),0)</f>
        <v>#N/A</v>
      </c>
      <c r="H94" s="97" t="e">
        <f>IF(VLOOKUP(A94,Aktien_im_Umlauf_splitbereinigt!A$3:AM$103,9,FALSE)&lt;&gt;"",IF(VLOOKUP(A94,Aktien_im_Umlauf_splitbereinigt!A$3:AM$103,8,FALSE)&lt;&gt;"",IF(VLOOKUP(A94,Schlußkurse!A$5:AU$105,41,FALSE)&gt;0,((VLOOKUP(A94,Aktien_im_Umlauf_splitbereinigt!A$3:AM$103,9,FALSE)-VLOOKUP(A94,Aktien_im_Umlauf_splitbereinigt!A$3:AM$103,8,FALSE))*VLOOKUP(A94,Schlußkurse!A$5:AU$105,41,FALSE))/VLOOKUP(A94,Aktien_im_Umlauf_splitbereinigt!A$3:AM$103,8,FALSE),0),0),0)</f>
        <v>#N/A</v>
      </c>
      <c r="I94" s="97" t="e">
        <f>IF(VLOOKUP(A94,Aktien_im_Umlauf_splitbereinigt!A$3:AM$103,10,FALSE)&lt;&gt;"",IF(VLOOKUP(A94,Aktien_im_Umlauf_splitbereinigt!A$3:AM$103,9,FALSE)&lt;&gt;"",IF(VLOOKUP(A94,Schlußkurse!A$5:AU$105,42,FALSE)&gt;0,((VLOOKUP(A94,Aktien_im_Umlauf_splitbereinigt!A$3:AM$103,10,FALSE)-VLOOKUP(A94,Aktien_im_Umlauf_splitbereinigt!A$3:AM$103,9,FALSE))*VLOOKUP(A94,Schlußkurse!A$5:AU$105,42,FALSE))/VLOOKUP(A94,Aktien_im_Umlauf_splitbereinigt!A$3:AM$103,9,FALSE),0),0),0)</f>
        <v>#N/A</v>
      </c>
      <c r="J94" s="97" t="e">
        <f>IF(VLOOKUP(A94,Aktien_im_Umlauf_splitbereinigt!A$3:AM$103,11,FALSE)&lt;&gt;"",IF(VLOOKUP(A94,Aktien_im_Umlauf_splitbereinigt!A$3:AM$103,10,FALSE)&lt;&gt;"",IF(VLOOKUP(A94,Schlußkurse!A$5:AU$105,43,FALSE)&gt;0,((VLOOKUP(A94,Aktien_im_Umlauf_splitbereinigt!A$3:AM$103,11,FALSE)-VLOOKUP(A94,Aktien_im_Umlauf_splitbereinigt!A$3:AM$103,10,FALSE))*VLOOKUP(A94,Schlußkurse!A$5:AU$105,43,FALSE))/VLOOKUP(A94,Aktien_im_Umlauf_splitbereinigt!A$3:AM$103,10,FALSE),0),0),0)</f>
        <v>#N/A</v>
      </c>
      <c r="K94" s="97" t="e">
        <f>IF(VLOOKUP(A94,Aktien_im_Umlauf_splitbereinigt!A$3:AM$103,12,FALSE)&lt;&gt;"",IF(VLOOKUP(A94,Aktien_im_Umlauf_splitbereinigt!A$3:AM$103,11,FALSE)&lt;&gt;"",IF(VLOOKUP(A94,Schlußkurse!A$5:AU$105,44,FALSE)&gt;0,((VLOOKUP(A94,Aktien_im_Umlauf_splitbereinigt!A$3:AM$103,12,FALSE)-VLOOKUP(A94,Aktien_im_Umlauf_splitbereinigt!A$3:AM$103,11,FALSE))*VLOOKUP(A94,Schlußkurse!A$5:AU$105,44,FALSE))/VLOOKUP(A94,Aktien_im_Umlauf_splitbereinigt!A$3:AM$103,11,FALSE),0),0),0)</f>
        <v>#N/A</v>
      </c>
      <c r="L94" s="97" t="e">
        <f>IF(VLOOKUP(A94,Aktien_im_Umlauf_splitbereinigt!A$3:AM$103,13,FALSE)&lt;&gt;"",IF(VLOOKUP(A94,Aktien_im_Umlauf_splitbereinigt!A$3:AM$103,12,FALSE)&lt;&gt;"",IF(VLOOKUP(A94,Schlußkurse!A$5:AU$105,45,FALSE)&gt;0,((VLOOKUP(A94,Aktien_im_Umlauf_splitbereinigt!A$3:AM$103,13,FALSE)-VLOOKUP(A94,Aktien_im_Umlauf_splitbereinigt!A$3:AM$103,12,FALSE))*VLOOKUP(A94,Schlußkurse!A$5:AU$105,45,FALSE))/VLOOKUP(A94,Aktien_im_Umlauf_splitbereinigt!A$3:AM$103,12,FALSE),0),0),0)</f>
        <v>#N/A</v>
      </c>
      <c r="M94" s="97" t="e">
        <f>IF(VLOOKUP(A94,Aktien_im_Umlauf_splitbereinigt!A$3:AM$103,14,FALSE)&lt;&gt;"",IF(VLOOKUP(A94,Aktien_im_Umlauf_splitbereinigt!A$3:AM$103,13,FALSE)&lt;&gt;"",IF(VLOOKUP(A94,Schlußkurse!A$5:AU$105,46,FALSE)&gt;0,((VLOOKUP(A94,Aktien_im_Umlauf_splitbereinigt!A$3:AM$103,14,FALSE)-VLOOKUP(A94,Aktien_im_Umlauf_splitbereinigt!A$3:AM$103,13,FALSE))*VLOOKUP(A94,Schlußkurse!A$5:AU$105,46,FALSE))/VLOOKUP(A94,Aktien_im_Umlauf_splitbereinigt!A$3:AM$103,13,FALSE),0),0),0)</f>
        <v>#N/A</v>
      </c>
      <c r="N94" s="13" t="e">
        <f>IF(C94&gt;0,IF(VLOOKUP(A94,Dividende_je_Aktie!A$3:AM$103,8,FALSE)&lt;&gt;"",C94+VLOOKUP(A94,Dividende_je_Aktie!A$3:AM$103,8,FALSE),C94),IF(VLOOKUP(A94,Dividende_je_Aktie!A$3:AM$103,8,FALSE)&lt;&gt;"",VLOOKUP(A94,Dividende_je_Aktie!A$3:AM$103,8,FALSE),""))</f>
        <v>#N/A</v>
      </c>
      <c r="O94" s="13" t="e">
        <f>IF(D94&gt;0,IF(VLOOKUP(A94,Dividende_je_Aktie!A$3:AM$103,9,FALSE)&lt;&gt;"",D94+VLOOKUP(A94,Dividende_je_Aktie!A$3:AM$103,9,FALSE),D94),IF(VLOOKUP(A94,Dividende_je_Aktie!A$3:AM$103,9,FALSE)&lt;&gt;"",VLOOKUP(A94,Dividende_je_Aktie!A$3:AM$103,9,FALSE),""))</f>
        <v>#N/A</v>
      </c>
      <c r="P94" s="13" t="e">
        <f>IF(E94&gt;0,IF(VLOOKUP(A94,Dividende_je_Aktie!A$3:AM$103,10,FALSE)&lt;&gt;"",E94+VLOOKUP(A94,Dividende_je_Aktie!A$3:AM$103,10,FALSE),E94),IF(VLOOKUP(A94,Dividende_je_Aktie!A$3:AM$103,10,FALSE)&lt;&gt;"",VLOOKUP(A94,Dividende_je_Aktie!A$3:AM$103,10,FALSE),""))</f>
        <v>#N/A</v>
      </c>
      <c r="Q94" s="13" t="e">
        <f>IF(F94&gt;0,IF(VLOOKUP(A94,Dividende_je_Aktie!A$3:AM$103,11,FALSE)&lt;&gt;"",F94+VLOOKUP(A94,Dividende_je_Aktie!A$3:AM$103,11,FALSE),F94),IF(VLOOKUP(A94,Dividende_je_Aktie!A$3:AM$103,11,FALSE)&lt;&gt;"",VLOOKUP(A94,Dividende_je_Aktie!A$3:AM$103,11,FALSE),""))</f>
        <v>#N/A</v>
      </c>
      <c r="R94" s="13" t="e">
        <f>IF(G94&gt;0,IF(VLOOKUP(A94,Dividende_je_Aktie!A$3:AM$103,12,FALSE)&lt;&gt;"",G94+VLOOKUP(A94,Dividende_je_Aktie!A$3:AM$103,12,FALSE),G94),IF(VLOOKUP(A94,Dividende_je_Aktie!A$3:AM$103,12,FALSE)&lt;&gt;"",VLOOKUP(A94,Dividende_je_Aktie!A$3:AM$103,12,FALSE),""))</f>
        <v>#N/A</v>
      </c>
      <c r="S94" s="13" t="e">
        <f>IF(H94&gt;0,IF(VLOOKUP(A94,Dividende_je_Aktie!A$3:AM$103,13,FALSE)&lt;&gt;"",H94+VLOOKUP(A94,Dividende_je_Aktie!A$3:AM$103,13,FALSE),H94),IF(VLOOKUP(A94,Dividende_je_Aktie!A$3:AM$103,13,FALSE)&lt;&gt;"",VLOOKUP(A94,Dividende_je_Aktie!A$3:AM$103,13,FALSE),""))</f>
        <v>#N/A</v>
      </c>
      <c r="T94" s="13" t="e">
        <f>IF(I94&gt;0,IF(VLOOKUP(A94,Dividende_je_Aktie!A$3:AM$103,14,FALSE)&lt;&gt;"",I94+VLOOKUP(A94,Dividende_je_Aktie!A$3:AM$103,14,FALSE),I94),IF(VLOOKUP(A94,Dividende_je_Aktie!A$3:AM$103,14,FALSE)&lt;&gt;"",VLOOKUP(A94,Dividende_je_Aktie!A$3:AM$103,14,FALSE),""))</f>
        <v>#N/A</v>
      </c>
      <c r="U94" s="13" t="e">
        <f>IF(J94&gt;0,IF(VLOOKUP(A94,Dividende_je_Aktie!A$3:AM$103,15,FALSE)&lt;&gt;"",J94+VLOOKUP(A94,Dividende_je_Aktie!A$3:AM$103,15,FALSE),J94),IF(VLOOKUP(A94,Dividende_je_Aktie!A$3:AM$103,15,FALSE)&lt;&gt;"",VLOOKUP(A94,Dividende_je_Aktie!A$3:AM$103,15,FALSE),""))</f>
        <v>#N/A</v>
      </c>
      <c r="V94" s="13" t="e">
        <f>IF(K94&gt;0,IF(VLOOKUP(A94,Dividende_je_Aktie!A$3:AM$103,16,FALSE)&lt;&gt;"",K94+VLOOKUP(A94,Dividende_je_Aktie!A$3:AM$103,16,FALSE),K94),IF(VLOOKUP(A94,Dividende_je_Aktie!A$3:AM$103,16,FALSE)&lt;&gt;"",VLOOKUP(A94,Dividende_je_Aktie!A$3:AM$103,16,FALSE),""))</f>
        <v>#N/A</v>
      </c>
      <c r="W94" s="13" t="e">
        <f>IF(L94&gt;0,IF(VLOOKUP(A94,Dividende_je_Aktie!A$3:AM$103,17,FALSE)&lt;&gt;"",L94+VLOOKUP(A94,Dividende_je_Aktie!A$3:AM$103,17,FALSE),L94),IF(VLOOKUP(A94,Dividende_je_Aktie!A$3:AM$103,17,FALSE)&lt;&gt;"",VLOOKUP(A94,Dividende_je_Aktie!A$3:AM$103,17,FALSE),""))</f>
        <v>#N/A</v>
      </c>
      <c r="X94" s="13" t="e">
        <f>IF(M94&gt;0,IF(VLOOKUP(A94,Dividende_je_Aktie!A$3:AM$103,18,FALSE)&lt;&gt;"",M94+VLOOKUP(A94,Dividende_je_Aktie!A$3:AM$103,18,FALSE),M94),IF(VLOOKUP(A94,Dividende_je_Aktie!A$3:AM$103,18,FALSE)&lt;&gt;"",VLOOKUP(A94,Dividende_je_Aktie!A$3:AM$103,18,FALSE),""))</f>
        <v>#N/A</v>
      </c>
    </row>
    <row r="95" spans="1:24">
      <c r="A95" s="52"/>
      <c r="B95" s="52"/>
      <c r="C95" s="13" t="e">
        <f>IF(VLOOKUP(A95,Aktien_im_Umlauf_splitbereinigt!A$3:AM$103,4,FALSE)&lt;&gt;"",IF(VLOOKUP(A95,Aktien_im_Umlauf_splitbereinigt!A$3:AM$103,3,FALSE)&lt;&gt;"",IF(VLOOKUP(A95,Schlußkurse!A$5:AU$105,36,FALSE)&gt;0,((VLOOKUP(A95,Aktien_im_Umlauf_splitbereinigt!A$3:AM$103,4,FALSE)-VLOOKUP(A95,Aktien_im_Umlauf_splitbereinigt!A$3:AM$103,3,FALSE))*VLOOKUP(A95,Schlußkurse!A$5:AU$105,36,FALSE))/VLOOKUP(A95,Aktien_im_Umlauf_splitbereinigt!A$3:AM$103,3,FALSE),0),0),0)</f>
        <v>#N/A</v>
      </c>
      <c r="D95" s="97" t="e">
        <f>IF(VLOOKUP(A95,Aktien_im_Umlauf_splitbereinigt!A$3:AM$103,5,FALSE)&lt;&gt;"",IF(VLOOKUP(A95,Aktien_im_Umlauf_splitbereinigt!A$3:AM$103,4,FALSE)&lt;&gt;"",IF(VLOOKUP(A95,Schlußkurse!A$5:AU$105,37,FALSE)&gt;0,((VLOOKUP(A95,Aktien_im_Umlauf_splitbereinigt!A$3:AM$103,5,FALSE)-VLOOKUP(A95,Aktien_im_Umlauf_splitbereinigt!A$3:AM$103,4,FALSE))*VLOOKUP(A95,Schlußkurse!A$5:AU$105,37,FALSE))/VLOOKUP(A95,Aktien_im_Umlauf_splitbereinigt!A$3:AM$103,4,FALSE),0),0),0)</f>
        <v>#N/A</v>
      </c>
      <c r="E95" s="97" t="e">
        <f>IF(VLOOKUP(A95,Aktien_im_Umlauf_splitbereinigt!A$3:AM$103,6,FALSE)&lt;&gt;"",IF(VLOOKUP(A95,Aktien_im_Umlauf_splitbereinigt!A$3:AM$103,5,FALSE)&lt;&gt;"",IF(VLOOKUP(A95,Schlußkurse!A$5:AU$105,38,FALSE)&gt;0,((VLOOKUP(A95,Aktien_im_Umlauf_splitbereinigt!A$3:AM$103,6,FALSE)-VLOOKUP(A95,Aktien_im_Umlauf_splitbereinigt!A$3:AM$103,5,FALSE))*VLOOKUP(A95,Schlußkurse!A$5:AU$105,38,FALSE))/VLOOKUP(A95,Aktien_im_Umlauf_splitbereinigt!A$3:AM$103,5,FALSE),0),0),0)</f>
        <v>#N/A</v>
      </c>
      <c r="F95" s="97" t="e">
        <f>IF(VLOOKUP(A95,Aktien_im_Umlauf_splitbereinigt!A$3:AM$103,7,FALSE)&lt;&gt;"",IF(VLOOKUP(A95,Aktien_im_Umlauf_splitbereinigt!A$3:AM$103,6,FALSE)&lt;&gt;"",IF(VLOOKUP(A95,Schlußkurse!A$5:AU$105,39,FALSE)&gt;0,((VLOOKUP(A95,Aktien_im_Umlauf_splitbereinigt!A$3:AM$103,7,FALSE)-VLOOKUP(A95,Aktien_im_Umlauf_splitbereinigt!A$3:AM$103,6,FALSE))*VLOOKUP(A95,Schlußkurse!A$5:AU$105,39,FALSE))/VLOOKUP(A95,Aktien_im_Umlauf_splitbereinigt!A$3:AM$103,6,FALSE),0),0),0)</f>
        <v>#N/A</v>
      </c>
      <c r="G95" s="97" t="e">
        <f>IF(VLOOKUP(A95,Aktien_im_Umlauf_splitbereinigt!A$3:AM$103,8,FALSE)&lt;&gt;"",IF(VLOOKUP(A95,Aktien_im_Umlauf_splitbereinigt!A$3:AM$103,7,FALSE)&lt;&gt;"",IF(VLOOKUP(A95,Schlußkurse!A$5:AU$105,40,FALSE)&gt;0,((VLOOKUP(A95,Aktien_im_Umlauf_splitbereinigt!A$3:AM$103,8,FALSE)-VLOOKUP(A95,Aktien_im_Umlauf_splitbereinigt!A$3:AM$103,7,FALSE))*VLOOKUP(A95,Schlußkurse!A$5:AU$105,40,FALSE))/VLOOKUP(A95,Aktien_im_Umlauf_splitbereinigt!A$3:AM$103,7,FALSE),0),0),0)</f>
        <v>#N/A</v>
      </c>
      <c r="H95" s="97" t="e">
        <f>IF(VLOOKUP(A95,Aktien_im_Umlauf_splitbereinigt!A$3:AM$103,9,FALSE)&lt;&gt;"",IF(VLOOKUP(A95,Aktien_im_Umlauf_splitbereinigt!A$3:AM$103,8,FALSE)&lt;&gt;"",IF(VLOOKUP(A95,Schlußkurse!A$5:AU$105,41,FALSE)&gt;0,((VLOOKUP(A95,Aktien_im_Umlauf_splitbereinigt!A$3:AM$103,9,FALSE)-VLOOKUP(A95,Aktien_im_Umlauf_splitbereinigt!A$3:AM$103,8,FALSE))*VLOOKUP(A95,Schlußkurse!A$5:AU$105,41,FALSE))/VLOOKUP(A95,Aktien_im_Umlauf_splitbereinigt!A$3:AM$103,8,FALSE),0),0),0)</f>
        <v>#N/A</v>
      </c>
      <c r="I95" s="97" t="e">
        <f>IF(VLOOKUP(A95,Aktien_im_Umlauf_splitbereinigt!A$3:AM$103,10,FALSE)&lt;&gt;"",IF(VLOOKUP(A95,Aktien_im_Umlauf_splitbereinigt!A$3:AM$103,9,FALSE)&lt;&gt;"",IF(VLOOKUP(A95,Schlußkurse!A$5:AU$105,42,FALSE)&gt;0,((VLOOKUP(A95,Aktien_im_Umlauf_splitbereinigt!A$3:AM$103,10,FALSE)-VLOOKUP(A95,Aktien_im_Umlauf_splitbereinigt!A$3:AM$103,9,FALSE))*VLOOKUP(A95,Schlußkurse!A$5:AU$105,42,FALSE))/VLOOKUP(A95,Aktien_im_Umlauf_splitbereinigt!A$3:AM$103,9,FALSE),0),0),0)</f>
        <v>#N/A</v>
      </c>
      <c r="J95" s="97" t="e">
        <f>IF(VLOOKUP(A95,Aktien_im_Umlauf_splitbereinigt!A$3:AM$103,11,FALSE)&lt;&gt;"",IF(VLOOKUP(A95,Aktien_im_Umlauf_splitbereinigt!A$3:AM$103,10,FALSE)&lt;&gt;"",IF(VLOOKUP(A95,Schlußkurse!A$5:AU$105,43,FALSE)&gt;0,((VLOOKUP(A95,Aktien_im_Umlauf_splitbereinigt!A$3:AM$103,11,FALSE)-VLOOKUP(A95,Aktien_im_Umlauf_splitbereinigt!A$3:AM$103,10,FALSE))*VLOOKUP(A95,Schlußkurse!A$5:AU$105,43,FALSE))/VLOOKUP(A95,Aktien_im_Umlauf_splitbereinigt!A$3:AM$103,10,FALSE),0),0),0)</f>
        <v>#N/A</v>
      </c>
      <c r="K95" s="97" t="e">
        <f>IF(VLOOKUP(A95,Aktien_im_Umlauf_splitbereinigt!A$3:AM$103,12,FALSE)&lt;&gt;"",IF(VLOOKUP(A95,Aktien_im_Umlauf_splitbereinigt!A$3:AM$103,11,FALSE)&lt;&gt;"",IF(VLOOKUP(A95,Schlußkurse!A$5:AU$105,44,FALSE)&gt;0,((VLOOKUP(A95,Aktien_im_Umlauf_splitbereinigt!A$3:AM$103,12,FALSE)-VLOOKUP(A95,Aktien_im_Umlauf_splitbereinigt!A$3:AM$103,11,FALSE))*VLOOKUP(A95,Schlußkurse!A$5:AU$105,44,FALSE))/VLOOKUP(A95,Aktien_im_Umlauf_splitbereinigt!A$3:AM$103,11,FALSE),0),0),0)</f>
        <v>#N/A</v>
      </c>
      <c r="L95" s="97" t="e">
        <f>IF(VLOOKUP(A95,Aktien_im_Umlauf_splitbereinigt!A$3:AM$103,13,FALSE)&lt;&gt;"",IF(VLOOKUP(A95,Aktien_im_Umlauf_splitbereinigt!A$3:AM$103,12,FALSE)&lt;&gt;"",IF(VLOOKUP(A95,Schlußkurse!A$5:AU$105,45,FALSE)&gt;0,((VLOOKUP(A95,Aktien_im_Umlauf_splitbereinigt!A$3:AM$103,13,FALSE)-VLOOKUP(A95,Aktien_im_Umlauf_splitbereinigt!A$3:AM$103,12,FALSE))*VLOOKUP(A95,Schlußkurse!A$5:AU$105,45,FALSE))/VLOOKUP(A95,Aktien_im_Umlauf_splitbereinigt!A$3:AM$103,12,FALSE),0),0),0)</f>
        <v>#N/A</v>
      </c>
      <c r="M95" s="97" t="e">
        <f>IF(VLOOKUP(A95,Aktien_im_Umlauf_splitbereinigt!A$3:AM$103,14,FALSE)&lt;&gt;"",IF(VLOOKUP(A95,Aktien_im_Umlauf_splitbereinigt!A$3:AM$103,13,FALSE)&lt;&gt;"",IF(VLOOKUP(A95,Schlußkurse!A$5:AU$105,46,FALSE)&gt;0,((VLOOKUP(A95,Aktien_im_Umlauf_splitbereinigt!A$3:AM$103,14,FALSE)-VLOOKUP(A95,Aktien_im_Umlauf_splitbereinigt!A$3:AM$103,13,FALSE))*VLOOKUP(A95,Schlußkurse!A$5:AU$105,46,FALSE))/VLOOKUP(A95,Aktien_im_Umlauf_splitbereinigt!A$3:AM$103,13,FALSE),0),0),0)</f>
        <v>#N/A</v>
      </c>
      <c r="N95" s="13" t="e">
        <f>IF(C95&gt;0,IF(VLOOKUP(A95,Dividende_je_Aktie!A$3:AM$103,8,FALSE)&lt;&gt;"",C95+VLOOKUP(A95,Dividende_je_Aktie!A$3:AM$103,8,FALSE),C95),IF(VLOOKUP(A95,Dividende_je_Aktie!A$3:AM$103,8,FALSE)&lt;&gt;"",VLOOKUP(A95,Dividende_je_Aktie!A$3:AM$103,8,FALSE),""))</f>
        <v>#N/A</v>
      </c>
      <c r="O95" s="13" t="e">
        <f>IF(D95&gt;0,IF(VLOOKUP(A95,Dividende_je_Aktie!A$3:AM$103,9,FALSE)&lt;&gt;"",D95+VLOOKUP(A95,Dividende_je_Aktie!A$3:AM$103,9,FALSE),D95),IF(VLOOKUP(A95,Dividende_je_Aktie!A$3:AM$103,9,FALSE)&lt;&gt;"",VLOOKUP(A95,Dividende_je_Aktie!A$3:AM$103,9,FALSE),""))</f>
        <v>#N/A</v>
      </c>
      <c r="P95" s="13" t="e">
        <f>IF(E95&gt;0,IF(VLOOKUP(A95,Dividende_je_Aktie!A$3:AM$103,10,FALSE)&lt;&gt;"",E95+VLOOKUP(A95,Dividende_je_Aktie!A$3:AM$103,10,FALSE),E95),IF(VLOOKUP(A95,Dividende_je_Aktie!A$3:AM$103,10,FALSE)&lt;&gt;"",VLOOKUP(A95,Dividende_je_Aktie!A$3:AM$103,10,FALSE),""))</f>
        <v>#N/A</v>
      </c>
      <c r="Q95" s="13" t="e">
        <f>IF(F95&gt;0,IF(VLOOKUP(A95,Dividende_je_Aktie!A$3:AM$103,11,FALSE)&lt;&gt;"",F95+VLOOKUP(A95,Dividende_je_Aktie!A$3:AM$103,11,FALSE),F95),IF(VLOOKUP(A95,Dividende_je_Aktie!A$3:AM$103,11,FALSE)&lt;&gt;"",VLOOKUP(A95,Dividende_je_Aktie!A$3:AM$103,11,FALSE),""))</f>
        <v>#N/A</v>
      </c>
      <c r="R95" s="13" t="e">
        <f>IF(G95&gt;0,IF(VLOOKUP(A95,Dividende_je_Aktie!A$3:AM$103,12,FALSE)&lt;&gt;"",G95+VLOOKUP(A95,Dividende_je_Aktie!A$3:AM$103,12,FALSE),G95),IF(VLOOKUP(A95,Dividende_je_Aktie!A$3:AM$103,12,FALSE)&lt;&gt;"",VLOOKUP(A95,Dividende_je_Aktie!A$3:AM$103,12,FALSE),""))</f>
        <v>#N/A</v>
      </c>
      <c r="S95" s="13" t="e">
        <f>IF(H95&gt;0,IF(VLOOKUP(A95,Dividende_je_Aktie!A$3:AM$103,13,FALSE)&lt;&gt;"",H95+VLOOKUP(A95,Dividende_je_Aktie!A$3:AM$103,13,FALSE),H95),IF(VLOOKUP(A95,Dividende_je_Aktie!A$3:AM$103,13,FALSE)&lt;&gt;"",VLOOKUP(A95,Dividende_je_Aktie!A$3:AM$103,13,FALSE),""))</f>
        <v>#N/A</v>
      </c>
      <c r="T95" s="13" t="e">
        <f>IF(I95&gt;0,IF(VLOOKUP(A95,Dividende_je_Aktie!A$3:AM$103,14,FALSE)&lt;&gt;"",I95+VLOOKUP(A95,Dividende_je_Aktie!A$3:AM$103,14,FALSE),I95),IF(VLOOKUP(A95,Dividende_je_Aktie!A$3:AM$103,14,FALSE)&lt;&gt;"",VLOOKUP(A95,Dividende_je_Aktie!A$3:AM$103,14,FALSE),""))</f>
        <v>#N/A</v>
      </c>
      <c r="U95" s="13" t="e">
        <f>IF(J95&gt;0,IF(VLOOKUP(A95,Dividende_je_Aktie!A$3:AM$103,15,FALSE)&lt;&gt;"",J95+VLOOKUP(A95,Dividende_je_Aktie!A$3:AM$103,15,FALSE),J95),IF(VLOOKUP(A95,Dividende_je_Aktie!A$3:AM$103,15,FALSE)&lt;&gt;"",VLOOKUP(A95,Dividende_je_Aktie!A$3:AM$103,15,FALSE),""))</f>
        <v>#N/A</v>
      </c>
      <c r="V95" s="13" t="e">
        <f>IF(K95&gt;0,IF(VLOOKUP(A95,Dividende_je_Aktie!A$3:AM$103,16,FALSE)&lt;&gt;"",K95+VLOOKUP(A95,Dividende_je_Aktie!A$3:AM$103,16,FALSE),K95),IF(VLOOKUP(A95,Dividende_je_Aktie!A$3:AM$103,16,FALSE)&lt;&gt;"",VLOOKUP(A95,Dividende_je_Aktie!A$3:AM$103,16,FALSE),""))</f>
        <v>#N/A</v>
      </c>
      <c r="W95" s="13" t="e">
        <f>IF(L95&gt;0,IF(VLOOKUP(A95,Dividende_je_Aktie!A$3:AM$103,17,FALSE)&lt;&gt;"",L95+VLOOKUP(A95,Dividende_je_Aktie!A$3:AM$103,17,FALSE),L95),IF(VLOOKUP(A95,Dividende_je_Aktie!A$3:AM$103,17,FALSE)&lt;&gt;"",VLOOKUP(A95,Dividende_je_Aktie!A$3:AM$103,17,FALSE),""))</f>
        <v>#N/A</v>
      </c>
      <c r="X95" s="13" t="e">
        <f>IF(M95&gt;0,IF(VLOOKUP(A95,Dividende_je_Aktie!A$3:AM$103,18,FALSE)&lt;&gt;"",M95+VLOOKUP(A95,Dividende_je_Aktie!A$3:AM$103,18,FALSE),M95),IF(VLOOKUP(A95,Dividende_je_Aktie!A$3:AM$103,18,FALSE)&lt;&gt;"",VLOOKUP(A95,Dividende_je_Aktie!A$3:AM$103,18,FALSE),""))</f>
        <v>#N/A</v>
      </c>
    </row>
    <row r="96" spans="1:24">
      <c r="A96" s="52"/>
      <c r="B96" s="52"/>
      <c r="C96" s="13" t="e">
        <f>IF(VLOOKUP(A96,Aktien_im_Umlauf_splitbereinigt!A$3:AM$103,4,FALSE)&lt;&gt;"",IF(VLOOKUP(A96,Aktien_im_Umlauf_splitbereinigt!A$3:AM$103,3,FALSE)&lt;&gt;"",IF(VLOOKUP(A96,Schlußkurse!A$5:AU$105,36,FALSE)&gt;0,((VLOOKUP(A96,Aktien_im_Umlauf_splitbereinigt!A$3:AM$103,4,FALSE)-VLOOKUP(A96,Aktien_im_Umlauf_splitbereinigt!A$3:AM$103,3,FALSE))*VLOOKUP(A96,Schlußkurse!A$5:AU$105,36,FALSE))/VLOOKUP(A96,Aktien_im_Umlauf_splitbereinigt!A$3:AM$103,3,FALSE),0),0),0)</f>
        <v>#N/A</v>
      </c>
      <c r="D96" s="97" t="e">
        <f>IF(VLOOKUP(A96,Aktien_im_Umlauf_splitbereinigt!A$3:AM$103,5,FALSE)&lt;&gt;"",IF(VLOOKUP(A96,Aktien_im_Umlauf_splitbereinigt!A$3:AM$103,4,FALSE)&lt;&gt;"",IF(VLOOKUP(A96,Schlußkurse!A$5:AU$105,37,FALSE)&gt;0,((VLOOKUP(A96,Aktien_im_Umlauf_splitbereinigt!A$3:AM$103,5,FALSE)-VLOOKUP(A96,Aktien_im_Umlauf_splitbereinigt!A$3:AM$103,4,FALSE))*VLOOKUP(A96,Schlußkurse!A$5:AU$105,37,FALSE))/VLOOKUP(A96,Aktien_im_Umlauf_splitbereinigt!A$3:AM$103,4,FALSE),0),0),0)</f>
        <v>#N/A</v>
      </c>
      <c r="E96" s="97" t="e">
        <f>IF(VLOOKUP(A96,Aktien_im_Umlauf_splitbereinigt!A$3:AM$103,6,FALSE)&lt;&gt;"",IF(VLOOKUP(A96,Aktien_im_Umlauf_splitbereinigt!A$3:AM$103,5,FALSE)&lt;&gt;"",IF(VLOOKUP(A96,Schlußkurse!A$5:AU$105,38,FALSE)&gt;0,((VLOOKUP(A96,Aktien_im_Umlauf_splitbereinigt!A$3:AM$103,6,FALSE)-VLOOKUP(A96,Aktien_im_Umlauf_splitbereinigt!A$3:AM$103,5,FALSE))*VLOOKUP(A96,Schlußkurse!A$5:AU$105,38,FALSE))/VLOOKUP(A96,Aktien_im_Umlauf_splitbereinigt!A$3:AM$103,5,FALSE),0),0),0)</f>
        <v>#N/A</v>
      </c>
      <c r="F96" s="97" t="e">
        <f>IF(VLOOKUP(A96,Aktien_im_Umlauf_splitbereinigt!A$3:AM$103,7,FALSE)&lt;&gt;"",IF(VLOOKUP(A96,Aktien_im_Umlauf_splitbereinigt!A$3:AM$103,6,FALSE)&lt;&gt;"",IF(VLOOKUP(A96,Schlußkurse!A$5:AU$105,39,FALSE)&gt;0,((VLOOKUP(A96,Aktien_im_Umlauf_splitbereinigt!A$3:AM$103,7,FALSE)-VLOOKUP(A96,Aktien_im_Umlauf_splitbereinigt!A$3:AM$103,6,FALSE))*VLOOKUP(A96,Schlußkurse!A$5:AU$105,39,FALSE))/VLOOKUP(A96,Aktien_im_Umlauf_splitbereinigt!A$3:AM$103,6,FALSE),0),0),0)</f>
        <v>#N/A</v>
      </c>
      <c r="G96" s="97" t="e">
        <f>IF(VLOOKUP(A96,Aktien_im_Umlauf_splitbereinigt!A$3:AM$103,8,FALSE)&lt;&gt;"",IF(VLOOKUP(A96,Aktien_im_Umlauf_splitbereinigt!A$3:AM$103,7,FALSE)&lt;&gt;"",IF(VLOOKUP(A96,Schlußkurse!A$5:AU$105,40,FALSE)&gt;0,((VLOOKUP(A96,Aktien_im_Umlauf_splitbereinigt!A$3:AM$103,8,FALSE)-VLOOKUP(A96,Aktien_im_Umlauf_splitbereinigt!A$3:AM$103,7,FALSE))*VLOOKUP(A96,Schlußkurse!A$5:AU$105,40,FALSE))/VLOOKUP(A96,Aktien_im_Umlauf_splitbereinigt!A$3:AM$103,7,FALSE),0),0),0)</f>
        <v>#N/A</v>
      </c>
      <c r="H96" s="97" t="e">
        <f>IF(VLOOKUP(A96,Aktien_im_Umlauf_splitbereinigt!A$3:AM$103,9,FALSE)&lt;&gt;"",IF(VLOOKUP(A96,Aktien_im_Umlauf_splitbereinigt!A$3:AM$103,8,FALSE)&lt;&gt;"",IF(VLOOKUP(A96,Schlußkurse!A$5:AU$105,41,FALSE)&gt;0,((VLOOKUP(A96,Aktien_im_Umlauf_splitbereinigt!A$3:AM$103,9,FALSE)-VLOOKUP(A96,Aktien_im_Umlauf_splitbereinigt!A$3:AM$103,8,FALSE))*VLOOKUP(A96,Schlußkurse!A$5:AU$105,41,FALSE))/VLOOKUP(A96,Aktien_im_Umlauf_splitbereinigt!A$3:AM$103,8,FALSE),0),0),0)</f>
        <v>#N/A</v>
      </c>
      <c r="I96" s="97" t="e">
        <f>IF(VLOOKUP(A96,Aktien_im_Umlauf_splitbereinigt!A$3:AM$103,10,FALSE)&lt;&gt;"",IF(VLOOKUP(A96,Aktien_im_Umlauf_splitbereinigt!A$3:AM$103,9,FALSE)&lt;&gt;"",IF(VLOOKUP(A96,Schlußkurse!A$5:AU$105,42,FALSE)&gt;0,((VLOOKUP(A96,Aktien_im_Umlauf_splitbereinigt!A$3:AM$103,10,FALSE)-VLOOKUP(A96,Aktien_im_Umlauf_splitbereinigt!A$3:AM$103,9,FALSE))*VLOOKUP(A96,Schlußkurse!A$5:AU$105,42,FALSE))/VLOOKUP(A96,Aktien_im_Umlauf_splitbereinigt!A$3:AM$103,9,FALSE),0),0),0)</f>
        <v>#N/A</v>
      </c>
      <c r="J96" s="97" t="e">
        <f>IF(VLOOKUP(A96,Aktien_im_Umlauf_splitbereinigt!A$3:AM$103,11,FALSE)&lt;&gt;"",IF(VLOOKUP(A96,Aktien_im_Umlauf_splitbereinigt!A$3:AM$103,10,FALSE)&lt;&gt;"",IF(VLOOKUP(A96,Schlußkurse!A$5:AU$105,43,FALSE)&gt;0,((VLOOKUP(A96,Aktien_im_Umlauf_splitbereinigt!A$3:AM$103,11,FALSE)-VLOOKUP(A96,Aktien_im_Umlauf_splitbereinigt!A$3:AM$103,10,FALSE))*VLOOKUP(A96,Schlußkurse!A$5:AU$105,43,FALSE))/VLOOKUP(A96,Aktien_im_Umlauf_splitbereinigt!A$3:AM$103,10,FALSE),0),0),0)</f>
        <v>#N/A</v>
      </c>
      <c r="K96" s="97" t="e">
        <f>IF(VLOOKUP(A96,Aktien_im_Umlauf_splitbereinigt!A$3:AM$103,12,FALSE)&lt;&gt;"",IF(VLOOKUP(A96,Aktien_im_Umlauf_splitbereinigt!A$3:AM$103,11,FALSE)&lt;&gt;"",IF(VLOOKUP(A96,Schlußkurse!A$5:AU$105,44,FALSE)&gt;0,((VLOOKUP(A96,Aktien_im_Umlauf_splitbereinigt!A$3:AM$103,12,FALSE)-VLOOKUP(A96,Aktien_im_Umlauf_splitbereinigt!A$3:AM$103,11,FALSE))*VLOOKUP(A96,Schlußkurse!A$5:AU$105,44,FALSE))/VLOOKUP(A96,Aktien_im_Umlauf_splitbereinigt!A$3:AM$103,11,FALSE),0),0),0)</f>
        <v>#N/A</v>
      </c>
      <c r="L96" s="97" t="e">
        <f>IF(VLOOKUP(A96,Aktien_im_Umlauf_splitbereinigt!A$3:AM$103,13,FALSE)&lt;&gt;"",IF(VLOOKUP(A96,Aktien_im_Umlauf_splitbereinigt!A$3:AM$103,12,FALSE)&lt;&gt;"",IF(VLOOKUP(A96,Schlußkurse!A$5:AU$105,45,FALSE)&gt;0,((VLOOKUP(A96,Aktien_im_Umlauf_splitbereinigt!A$3:AM$103,13,FALSE)-VLOOKUP(A96,Aktien_im_Umlauf_splitbereinigt!A$3:AM$103,12,FALSE))*VLOOKUP(A96,Schlußkurse!A$5:AU$105,45,FALSE))/VLOOKUP(A96,Aktien_im_Umlauf_splitbereinigt!A$3:AM$103,12,FALSE),0),0),0)</f>
        <v>#N/A</v>
      </c>
      <c r="M96" s="97" t="e">
        <f>IF(VLOOKUP(A96,Aktien_im_Umlauf_splitbereinigt!A$3:AM$103,14,FALSE)&lt;&gt;"",IF(VLOOKUP(A96,Aktien_im_Umlauf_splitbereinigt!A$3:AM$103,13,FALSE)&lt;&gt;"",IF(VLOOKUP(A96,Schlußkurse!A$5:AU$105,46,FALSE)&gt;0,((VLOOKUP(A96,Aktien_im_Umlauf_splitbereinigt!A$3:AM$103,14,FALSE)-VLOOKUP(A96,Aktien_im_Umlauf_splitbereinigt!A$3:AM$103,13,FALSE))*VLOOKUP(A96,Schlußkurse!A$5:AU$105,46,FALSE))/VLOOKUP(A96,Aktien_im_Umlauf_splitbereinigt!A$3:AM$103,13,FALSE),0),0),0)</f>
        <v>#N/A</v>
      </c>
      <c r="N96" s="13" t="e">
        <f>IF(C96&gt;0,IF(VLOOKUP(A96,Dividende_je_Aktie!A$3:AM$103,8,FALSE)&lt;&gt;"",C96+VLOOKUP(A96,Dividende_je_Aktie!A$3:AM$103,8,FALSE),C96),IF(VLOOKUP(A96,Dividende_je_Aktie!A$3:AM$103,8,FALSE)&lt;&gt;"",VLOOKUP(A96,Dividende_je_Aktie!A$3:AM$103,8,FALSE),""))</f>
        <v>#N/A</v>
      </c>
      <c r="O96" s="13" t="e">
        <f>IF(D96&gt;0,IF(VLOOKUP(A96,Dividende_je_Aktie!A$3:AM$103,9,FALSE)&lt;&gt;"",D96+VLOOKUP(A96,Dividende_je_Aktie!A$3:AM$103,9,FALSE),D96),IF(VLOOKUP(A96,Dividende_je_Aktie!A$3:AM$103,9,FALSE)&lt;&gt;"",VLOOKUP(A96,Dividende_je_Aktie!A$3:AM$103,9,FALSE),""))</f>
        <v>#N/A</v>
      </c>
      <c r="P96" s="13" t="e">
        <f>IF(E96&gt;0,IF(VLOOKUP(A96,Dividende_je_Aktie!A$3:AM$103,10,FALSE)&lt;&gt;"",E96+VLOOKUP(A96,Dividende_je_Aktie!A$3:AM$103,10,FALSE),E96),IF(VLOOKUP(A96,Dividende_je_Aktie!A$3:AM$103,10,FALSE)&lt;&gt;"",VLOOKUP(A96,Dividende_je_Aktie!A$3:AM$103,10,FALSE),""))</f>
        <v>#N/A</v>
      </c>
      <c r="Q96" s="13" t="e">
        <f>IF(F96&gt;0,IF(VLOOKUP(A96,Dividende_je_Aktie!A$3:AM$103,11,FALSE)&lt;&gt;"",F96+VLOOKUP(A96,Dividende_je_Aktie!A$3:AM$103,11,FALSE),F96),IF(VLOOKUP(A96,Dividende_je_Aktie!A$3:AM$103,11,FALSE)&lt;&gt;"",VLOOKUP(A96,Dividende_je_Aktie!A$3:AM$103,11,FALSE),""))</f>
        <v>#N/A</v>
      </c>
      <c r="R96" s="13" t="e">
        <f>IF(G96&gt;0,IF(VLOOKUP(A96,Dividende_je_Aktie!A$3:AM$103,12,FALSE)&lt;&gt;"",G96+VLOOKUP(A96,Dividende_je_Aktie!A$3:AM$103,12,FALSE),G96),IF(VLOOKUP(A96,Dividende_je_Aktie!A$3:AM$103,12,FALSE)&lt;&gt;"",VLOOKUP(A96,Dividende_je_Aktie!A$3:AM$103,12,FALSE),""))</f>
        <v>#N/A</v>
      </c>
      <c r="S96" s="13" t="e">
        <f>IF(H96&gt;0,IF(VLOOKUP(A96,Dividende_je_Aktie!A$3:AM$103,13,FALSE)&lt;&gt;"",H96+VLOOKUP(A96,Dividende_je_Aktie!A$3:AM$103,13,FALSE),H96),IF(VLOOKUP(A96,Dividende_je_Aktie!A$3:AM$103,13,FALSE)&lt;&gt;"",VLOOKUP(A96,Dividende_je_Aktie!A$3:AM$103,13,FALSE),""))</f>
        <v>#N/A</v>
      </c>
      <c r="T96" s="13" t="e">
        <f>IF(I96&gt;0,IF(VLOOKUP(A96,Dividende_je_Aktie!A$3:AM$103,14,FALSE)&lt;&gt;"",I96+VLOOKUP(A96,Dividende_je_Aktie!A$3:AM$103,14,FALSE),I96),IF(VLOOKUP(A96,Dividende_je_Aktie!A$3:AM$103,14,FALSE)&lt;&gt;"",VLOOKUP(A96,Dividende_je_Aktie!A$3:AM$103,14,FALSE),""))</f>
        <v>#N/A</v>
      </c>
      <c r="U96" s="13" t="e">
        <f>IF(J96&gt;0,IF(VLOOKUP(A96,Dividende_je_Aktie!A$3:AM$103,15,FALSE)&lt;&gt;"",J96+VLOOKUP(A96,Dividende_je_Aktie!A$3:AM$103,15,FALSE),J96),IF(VLOOKUP(A96,Dividende_je_Aktie!A$3:AM$103,15,FALSE)&lt;&gt;"",VLOOKUP(A96,Dividende_je_Aktie!A$3:AM$103,15,FALSE),""))</f>
        <v>#N/A</v>
      </c>
      <c r="V96" s="13" t="e">
        <f>IF(K96&gt;0,IF(VLOOKUP(A96,Dividende_je_Aktie!A$3:AM$103,16,FALSE)&lt;&gt;"",K96+VLOOKUP(A96,Dividende_je_Aktie!A$3:AM$103,16,FALSE),K96),IF(VLOOKUP(A96,Dividende_je_Aktie!A$3:AM$103,16,FALSE)&lt;&gt;"",VLOOKUP(A96,Dividende_je_Aktie!A$3:AM$103,16,FALSE),""))</f>
        <v>#N/A</v>
      </c>
      <c r="W96" s="13" t="e">
        <f>IF(L96&gt;0,IF(VLOOKUP(A96,Dividende_je_Aktie!A$3:AM$103,17,FALSE)&lt;&gt;"",L96+VLOOKUP(A96,Dividende_je_Aktie!A$3:AM$103,17,FALSE),L96),IF(VLOOKUP(A96,Dividende_je_Aktie!A$3:AM$103,17,FALSE)&lt;&gt;"",VLOOKUP(A96,Dividende_je_Aktie!A$3:AM$103,17,FALSE),""))</f>
        <v>#N/A</v>
      </c>
      <c r="X96" s="13" t="e">
        <f>IF(M96&gt;0,IF(VLOOKUP(A96,Dividende_je_Aktie!A$3:AM$103,18,FALSE)&lt;&gt;"",M96+VLOOKUP(A96,Dividende_je_Aktie!A$3:AM$103,18,FALSE),M96),IF(VLOOKUP(A96,Dividende_je_Aktie!A$3:AM$103,18,FALSE)&lt;&gt;"",VLOOKUP(A96,Dividende_je_Aktie!A$3:AM$103,18,FALSE),""))</f>
        <v>#N/A</v>
      </c>
    </row>
    <row r="97" spans="1:24">
      <c r="A97" s="52"/>
      <c r="B97" s="52"/>
      <c r="C97" s="13" t="e">
        <f>IF(VLOOKUP(A97,Aktien_im_Umlauf_splitbereinigt!A$3:AM$103,4,FALSE)&lt;&gt;"",IF(VLOOKUP(A97,Aktien_im_Umlauf_splitbereinigt!A$3:AM$103,3,FALSE)&lt;&gt;"",IF(VLOOKUP(A97,Schlußkurse!A$5:AU$105,36,FALSE)&gt;0,((VLOOKUP(A97,Aktien_im_Umlauf_splitbereinigt!A$3:AM$103,4,FALSE)-VLOOKUP(A97,Aktien_im_Umlauf_splitbereinigt!A$3:AM$103,3,FALSE))*VLOOKUP(A97,Schlußkurse!A$5:AU$105,36,FALSE))/VLOOKUP(A97,Aktien_im_Umlauf_splitbereinigt!A$3:AM$103,3,FALSE),0),0),0)</f>
        <v>#N/A</v>
      </c>
      <c r="D97" s="97" t="e">
        <f>IF(VLOOKUP(A97,Aktien_im_Umlauf_splitbereinigt!A$3:AM$103,5,FALSE)&lt;&gt;"",IF(VLOOKUP(A97,Aktien_im_Umlauf_splitbereinigt!A$3:AM$103,4,FALSE)&lt;&gt;"",IF(VLOOKUP(A97,Schlußkurse!A$5:AU$105,37,FALSE)&gt;0,((VLOOKUP(A97,Aktien_im_Umlauf_splitbereinigt!A$3:AM$103,5,FALSE)-VLOOKUP(A97,Aktien_im_Umlauf_splitbereinigt!A$3:AM$103,4,FALSE))*VLOOKUP(A97,Schlußkurse!A$5:AU$105,37,FALSE))/VLOOKUP(A97,Aktien_im_Umlauf_splitbereinigt!A$3:AM$103,4,FALSE),0),0),0)</f>
        <v>#N/A</v>
      </c>
      <c r="E97" s="97" t="e">
        <f>IF(VLOOKUP(A97,Aktien_im_Umlauf_splitbereinigt!A$3:AM$103,6,FALSE)&lt;&gt;"",IF(VLOOKUP(A97,Aktien_im_Umlauf_splitbereinigt!A$3:AM$103,5,FALSE)&lt;&gt;"",IF(VLOOKUP(A97,Schlußkurse!A$5:AU$105,38,FALSE)&gt;0,((VLOOKUP(A97,Aktien_im_Umlauf_splitbereinigt!A$3:AM$103,6,FALSE)-VLOOKUP(A97,Aktien_im_Umlauf_splitbereinigt!A$3:AM$103,5,FALSE))*VLOOKUP(A97,Schlußkurse!A$5:AU$105,38,FALSE))/VLOOKUP(A97,Aktien_im_Umlauf_splitbereinigt!A$3:AM$103,5,FALSE),0),0),0)</f>
        <v>#N/A</v>
      </c>
      <c r="F97" s="97" t="e">
        <f>IF(VLOOKUP(A97,Aktien_im_Umlauf_splitbereinigt!A$3:AM$103,7,FALSE)&lt;&gt;"",IF(VLOOKUP(A97,Aktien_im_Umlauf_splitbereinigt!A$3:AM$103,6,FALSE)&lt;&gt;"",IF(VLOOKUP(A97,Schlußkurse!A$5:AU$105,39,FALSE)&gt;0,((VLOOKUP(A97,Aktien_im_Umlauf_splitbereinigt!A$3:AM$103,7,FALSE)-VLOOKUP(A97,Aktien_im_Umlauf_splitbereinigt!A$3:AM$103,6,FALSE))*VLOOKUP(A97,Schlußkurse!A$5:AU$105,39,FALSE))/VLOOKUP(A97,Aktien_im_Umlauf_splitbereinigt!A$3:AM$103,6,FALSE),0),0),0)</f>
        <v>#N/A</v>
      </c>
      <c r="G97" s="97" t="e">
        <f>IF(VLOOKUP(A97,Aktien_im_Umlauf_splitbereinigt!A$3:AM$103,8,FALSE)&lt;&gt;"",IF(VLOOKUP(A97,Aktien_im_Umlauf_splitbereinigt!A$3:AM$103,7,FALSE)&lt;&gt;"",IF(VLOOKUP(A97,Schlußkurse!A$5:AU$105,40,FALSE)&gt;0,((VLOOKUP(A97,Aktien_im_Umlauf_splitbereinigt!A$3:AM$103,8,FALSE)-VLOOKUP(A97,Aktien_im_Umlauf_splitbereinigt!A$3:AM$103,7,FALSE))*VLOOKUP(A97,Schlußkurse!A$5:AU$105,40,FALSE))/VLOOKUP(A97,Aktien_im_Umlauf_splitbereinigt!A$3:AM$103,7,FALSE),0),0),0)</f>
        <v>#N/A</v>
      </c>
      <c r="H97" s="97" t="e">
        <f>IF(VLOOKUP(A97,Aktien_im_Umlauf_splitbereinigt!A$3:AM$103,9,FALSE)&lt;&gt;"",IF(VLOOKUP(A97,Aktien_im_Umlauf_splitbereinigt!A$3:AM$103,8,FALSE)&lt;&gt;"",IF(VLOOKUP(A97,Schlußkurse!A$5:AU$105,41,FALSE)&gt;0,((VLOOKUP(A97,Aktien_im_Umlauf_splitbereinigt!A$3:AM$103,9,FALSE)-VLOOKUP(A97,Aktien_im_Umlauf_splitbereinigt!A$3:AM$103,8,FALSE))*VLOOKUP(A97,Schlußkurse!A$5:AU$105,41,FALSE))/VLOOKUP(A97,Aktien_im_Umlauf_splitbereinigt!A$3:AM$103,8,FALSE),0),0),0)</f>
        <v>#N/A</v>
      </c>
      <c r="I97" s="97" t="e">
        <f>IF(VLOOKUP(A97,Aktien_im_Umlauf_splitbereinigt!A$3:AM$103,10,FALSE)&lt;&gt;"",IF(VLOOKUP(A97,Aktien_im_Umlauf_splitbereinigt!A$3:AM$103,9,FALSE)&lt;&gt;"",IF(VLOOKUP(A97,Schlußkurse!A$5:AU$105,42,FALSE)&gt;0,((VLOOKUP(A97,Aktien_im_Umlauf_splitbereinigt!A$3:AM$103,10,FALSE)-VLOOKUP(A97,Aktien_im_Umlauf_splitbereinigt!A$3:AM$103,9,FALSE))*VLOOKUP(A97,Schlußkurse!A$5:AU$105,42,FALSE))/VLOOKUP(A97,Aktien_im_Umlauf_splitbereinigt!A$3:AM$103,9,FALSE),0),0),0)</f>
        <v>#N/A</v>
      </c>
      <c r="J97" s="97" t="e">
        <f>IF(VLOOKUP(A97,Aktien_im_Umlauf_splitbereinigt!A$3:AM$103,11,FALSE)&lt;&gt;"",IF(VLOOKUP(A97,Aktien_im_Umlauf_splitbereinigt!A$3:AM$103,10,FALSE)&lt;&gt;"",IF(VLOOKUP(A97,Schlußkurse!A$5:AU$105,43,FALSE)&gt;0,((VLOOKUP(A97,Aktien_im_Umlauf_splitbereinigt!A$3:AM$103,11,FALSE)-VLOOKUP(A97,Aktien_im_Umlauf_splitbereinigt!A$3:AM$103,10,FALSE))*VLOOKUP(A97,Schlußkurse!A$5:AU$105,43,FALSE))/VLOOKUP(A97,Aktien_im_Umlauf_splitbereinigt!A$3:AM$103,10,FALSE),0),0),0)</f>
        <v>#N/A</v>
      </c>
      <c r="K97" s="97" t="e">
        <f>IF(VLOOKUP(A97,Aktien_im_Umlauf_splitbereinigt!A$3:AM$103,12,FALSE)&lt;&gt;"",IF(VLOOKUP(A97,Aktien_im_Umlauf_splitbereinigt!A$3:AM$103,11,FALSE)&lt;&gt;"",IF(VLOOKUP(A97,Schlußkurse!A$5:AU$105,44,FALSE)&gt;0,((VLOOKUP(A97,Aktien_im_Umlauf_splitbereinigt!A$3:AM$103,12,FALSE)-VLOOKUP(A97,Aktien_im_Umlauf_splitbereinigt!A$3:AM$103,11,FALSE))*VLOOKUP(A97,Schlußkurse!A$5:AU$105,44,FALSE))/VLOOKUP(A97,Aktien_im_Umlauf_splitbereinigt!A$3:AM$103,11,FALSE),0),0),0)</f>
        <v>#N/A</v>
      </c>
      <c r="L97" s="97" t="e">
        <f>IF(VLOOKUP(A97,Aktien_im_Umlauf_splitbereinigt!A$3:AM$103,13,FALSE)&lt;&gt;"",IF(VLOOKUP(A97,Aktien_im_Umlauf_splitbereinigt!A$3:AM$103,12,FALSE)&lt;&gt;"",IF(VLOOKUP(A97,Schlußkurse!A$5:AU$105,45,FALSE)&gt;0,((VLOOKUP(A97,Aktien_im_Umlauf_splitbereinigt!A$3:AM$103,13,FALSE)-VLOOKUP(A97,Aktien_im_Umlauf_splitbereinigt!A$3:AM$103,12,FALSE))*VLOOKUP(A97,Schlußkurse!A$5:AU$105,45,FALSE))/VLOOKUP(A97,Aktien_im_Umlauf_splitbereinigt!A$3:AM$103,12,FALSE),0),0),0)</f>
        <v>#N/A</v>
      </c>
      <c r="M97" s="97" t="e">
        <f>IF(VLOOKUP(A97,Aktien_im_Umlauf_splitbereinigt!A$3:AM$103,14,FALSE)&lt;&gt;"",IF(VLOOKUP(A97,Aktien_im_Umlauf_splitbereinigt!A$3:AM$103,13,FALSE)&lt;&gt;"",IF(VLOOKUP(A97,Schlußkurse!A$5:AU$105,46,FALSE)&gt;0,((VLOOKUP(A97,Aktien_im_Umlauf_splitbereinigt!A$3:AM$103,14,FALSE)-VLOOKUP(A97,Aktien_im_Umlauf_splitbereinigt!A$3:AM$103,13,FALSE))*VLOOKUP(A97,Schlußkurse!A$5:AU$105,46,FALSE))/VLOOKUP(A97,Aktien_im_Umlauf_splitbereinigt!A$3:AM$103,13,FALSE),0),0),0)</f>
        <v>#N/A</v>
      </c>
      <c r="N97" s="13" t="e">
        <f>IF(C97&gt;0,IF(VLOOKUP(A97,Dividende_je_Aktie!A$3:AM$103,8,FALSE)&lt;&gt;"",C97+VLOOKUP(A97,Dividende_je_Aktie!A$3:AM$103,8,FALSE),C97),IF(VLOOKUP(A97,Dividende_je_Aktie!A$3:AM$103,8,FALSE)&lt;&gt;"",VLOOKUP(A97,Dividende_je_Aktie!A$3:AM$103,8,FALSE),""))</f>
        <v>#N/A</v>
      </c>
      <c r="O97" s="13" t="e">
        <f>IF(D97&gt;0,IF(VLOOKUP(A97,Dividende_je_Aktie!A$3:AM$103,9,FALSE)&lt;&gt;"",D97+VLOOKUP(A97,Dividende_je_Aktie!A$3:AM$103,9,FALSE),D97),IF(VLOOKUP(A97,Dividende_je_Aktie!A$3:AM$103,9,FALSE)&lt;&gt;"",VLOOKUP(A97,Dividende_je_Aktie!A$3:AM$103,9,FALSE),""))</f>
        <v>#N/A</v>
      </c>
      <c r="P97" s="13" t="e">
        <f>IF(E97&gt;0,IF(VLOOKUP(A97,Dividende_je_Aktie!A$3:AM$103,10,FALSE)&lt;&gt;"",E97+VLOOKUP(A97,Dividende_je_Aktie!A$3:AM$103,10,FALSE),E97),IF(VLOOKUP(A97,Dividende_je_Aktie!A$3:AM$103,10,FALSE)&lt;&gt;"",VLOOKUP(A97,Dividende_je_Aktie!A$3:AM$103,10,FALSE),""))</f>
        <v>#N/A</v>
      </c>
      <c r="Q97" s="13" t="e">
        <f>IF(F97&gt;0,IF(VLOOKUP(A97,Dividende_je_Aktie!A$3:AM$103,11,FALSE)&lt;&gt;"",F97+VLOOKUP(A97,Dividende_je_Aktie!A$3:AM$103,11,FALSE),F97),IF(VLOOKUP(A97,Dividende_je_Aktie!A$3:AM$103,11,FALSE)&lt;&gt;"",VLOOKUP(A97,Dividende_je_Aktie!A$3:AM$103,11,FALSE),""))</f>
        <v>#N/A</v>
      </c>
      <c r="R97" s="13" t="e">
        <f>IF(G97&gt;0,IF(VLOOKUP(A97,Dividende_je_Aktie!A$3:AM$103,12,FALSE)&lt;&gt;"",G97+VLOOKUP(A97,Dividende_je_Aktie!A$3:AM$103,12,FALSE),G97),IF(VLOOKUP(A97,Dividende_je_Aktie!A$3:AM$103,12,FALSE)&lt;&gt;"",VLOOKUP(A97,Dividende_je_Aktie!A$3:AM$103,12,FALSE),""))</f>
        <v>#N/A</v>
      </c>
      <c r="S97" s="13" t="e">
        <f>IF(H97&gt;0,IF(VLOOKUP(A97,Dividende_je_Aktie!A$3:AM$103,13,FALSE)&lt;&gt;"",H97+VLOOKUP(A97,Dividende_je_Aktie!A$3:AM$103,13,FALSE),H97),IF(VLOOKUP(A97,Dividende_je_Aktie!A$3:AM$103,13,FALSE)&lt;&gt;"",VLOOKUP(A97,Dividende_je_Aktie!A$3:AM$103,13,FALSE),""))</f>
        <v>#N/A</v>
      </c>
      <c r="T97" s="13" t="e">
        <f>IF(I97&gt;0,IF(VLOOKUP(A97,Dividende_je_Aktie!A$3:AM$103,14,FALSE)&lt;&gt;"",I97+VLOOKUP(A97,Dividende_je_Aktie!A$3:AM$103,14,FALSE),I97),IF(VLOOKUP(A97,Dividende_je_Aktie!A$3:AM$103,14,FALSE)&lt;&gt;"",VLOOKUP(A97,Dividende_je_Aktie!A$3:AM$103,14,FALSE),""))</f>
        <v>#N/A</v>
      </c>
      <c r="U97" s="13" t="e">
        <f>IF(J97&gt;0,IF(VLOOKUP(A97,Dividende_je_Aktie!A$3:AM$103,15,FALSE)&lt;&gt;"",J97+VLOOKUP(A97,Dividende_je_Aktie!A$3:AM$103,15,FALSE),J97),IF(VLOOKUP(A97,Dividende_je_Aktie!A$3:AM$103,15,FALSE)&lt;&gt;"",VLOOKUP(A97,Dividende_je_Aktie!A$3:AM$103,15,FALSE),""))</f>
        <v>#N/A</v>
      </c>
      <c r="V97" s="13" t="e">
        <f>IF(K97&gt;0,IF(VLOOKUP(A97,Dividende_je_Aktie!A$3:AM$103,16,FALSE)&lt;&gt;"",K97+VLOOKUP(A97,Dividende_je_Aktie!A$3:AM$103,16,FALSE),K97),IF(VLOOKUP(A97,Dividende_je_Aktie!A$3:AM$103,16,FALSE)&lt;&gt;"",VLOOKUP(A97,Dividende_je_Aktie!A$3:AM$103,16,FALSE),""))</f>
        <v>#N/A</v>
      </c>
      <c r="W97" s="13" t="e">
        <f>IF(L97&gt;0,IF(VLOOKUP(A97,Dividende_je_Aktie!A$3:AM$103,17,FALSE)&lt;&gt;"",L97+VLOOKUP(A97,Dividende_je_Aktie!A$3:AM$103,17,FALSE),L97),IF(VLOOKUP(A97,Dividende_je_Aktie!A$3:AM$103,17,FALSE)&lt;&gt;"",VLOOKUP(A97,Dividende_je_Aktie!A$3:AM$103,17,FALSE),""))</f>
        <v>#N/A</v>
      </c>
      <c r="X97" s="13" t="e">
        <f>IF(M97&gt;0,IF(VLOOKUP(A97,Dividende_je_Aktie!A$3:AM$103,18,FALSE)&lt;&gt;"",M97+VLOOKUP(A97,Dividende_je_Aktie!A$3:AM$103,18,FALSE),M97),IF(VLOOKUP(A97,Dividende_je_Aktie!A$3:AM$103,18,FALSE)&lt;&gt;"",VLOOKUP(A97,Dividende_je_Aktie!A$3:AM$103,18,FALSE),""))</f>
        <v>#N/A</v>
      </c>
    </row>
    <row r="98" spans="1:24">
      <c r="A98" s="52"/>
      <c r="B98" s="52"/>
      <c r="C98" s="13" t="e">
        <f>IF(VLOOKUP(A98,Aktien_im_Umlauf_splitbereinigt!A$3:AM$103,4,FALSE)&lt;&gt;"",IF(VLOOKUP(A98,Aktien_im_Umlauf_splitbereinigt!A$3:AM$103,3,FALSE)&lt;&gt;"",IF(VLOOKUP(A98,Schlußkurse!A$5:AU$105,36,FALSE)&gt;0,((VLOOKUP(A98,Aktien_im_Umlauf_splitbereinigt!A$3:AM$103,4,FALSE)-VLOOKUP(A98,Aktien_im_Umlauf_splitbereinigt!A$3:AM$103,3,FALSE))*VLOOKUP(A98,Schlußkurse!A$5:AU$105,36,FALSE))/VLOOKUP(A98,Aktien_im_Umlauf_splitbereinigt!A$3:AM$103,3,FALSE),0),0),0)</f>
        <v>#N/A</v>
      </c>
      <c r="D98" s="97" t="e">
        <f>IF(VLOOKUP(A98,Aktien_im_Umlauf_splitbereinigt!A$3:AM$103,5,FALSE)&lt;&gt;"",IF(VLOOKUP(A98,Aktien_im_Umlauf_splitbereinigt!A$3:AM$103,4,FALSE)&lt;&gt;"",IF(VLOOKUP(A98,Schlußkurse!A$5:AU$105,37,FALSE)&gt;0,((VLOOKUP(A98,Aktien_im_Umlauf_splitbereinigt!A$3:AM$103,5,FALSE)-VLOOKUP(A98,Aktien_im_Umlauf_splitbereinigt!A$3:AM$103,4,FALSE))*VLOOKUP(A98,Schlußkurse!A$5:AU$105,37,FALSE))/VLOOKUP(A98,Aktien_im_Umlauf_splitbereinigt!A$3:AM$103,4,FALSE),0),0),0)</f>
        <v>#N/A</v>
      </c>
      <c r="E98" s="97" t="e">
        <f>IF(VLOOKUP(A98,Aktien_im_Umlauf_splitbereinigt!A$3:AM$103,6,FALSE)&lt;&gt;"",IF(VLOOKUP(A98,Aktien_im_Umlauf_splitbereinigt!A$3:AM$103,5,FALSE)&lt;&gt;"",IF(VLOOKUP(A98,Schlußkurse!A$5:AU$105,38,FALSE)&gt;0,((VLOOKUP(A98,Aktien_im_Umlauf_splitbereinigt!A$3:AM$103,6,FALSE)-VLOOKUP(A98,Aktien_im_Umlauf_splitbereinigt!A$3:AM$103,5,FALSE))*VLOOKUP(A98,Schlußkurse!A$5:AU$105,38,FALSE))/VLOOKUP(A98,Aktien_im_Umlauf_splitbereinigt!A$3:AM$103,5,FALSE),0),0),0)</f>
        <v>#N/A</v>
      </c>
      <c r="F98" s="97" t="e">
        <f>IF(VLOOKUP(A98,Aktien_im_Umlauf_splitbereinigt!A$3:AM$103,7,FALSE)&lt;&gt;"",IF(VLOOKUP(A98,Aktien_im_Umlauf_splitbereinigt!A$3:AM$103,6,FALSE)&lt;&gt;"",IF(VLOOKUP(A98,Schlußkurse!A$5:AU$105,39,FALSE)&gt;0,((VLOOKUP(A98,Aktien_im_Umlauf_splitbereinigt!A$3:AM$103,7,FALSE)-VLOOKUP(A98,Aktien_im_Umlauf_splitbereinigt!A$3:AM$103,6,FALSE))*VLOOKUP(A98,Schlußkurse!A$5:AU$105,39,FALSE))/VLOOKUP(A98,Aktien_im_Umlauf_splitbereinigt!A$3:AM$103,6,FALSE),0),0),0)</f>
        <v>#N/A</v>
      </c>
      <c r="G98" s="97" t="e">
        <f>IF(VLOOKUP(A98,Aktien_im_Umlauf_splitbereinigt!A$3:AM$103,8,FALSE)&lt;&gt;"",IF(VLOOKUP(A98,Aktien_im_Umlauf_splitbereinigt!A$3:AM$103,7,FALSE)&lt;&gt;"",IF(VLOOKUP(A98,Schlußkurse!A$5:AU$105,40,FALSE)&gt;0,((VLOOKUP(A98,Aktien_im_Umlauf_splitbereinigt!A$3:AM$103,8,FALSE)-VLOOKUP(A98,Aktien_im_Umlauf_splitbereinigt!A$3:AM$103,7,FALSE))*VLOOKUP(A98,Schlußkurse!A$5:AU$105,40,FALSE))/VLOOKUP(A98,Aktien_im_Umlauf_splitbereinigt!A$3:AM$103,7,FALSE),0),0),0)</f>
        <v>#N/A</v>
      </c>
      <c r="H98" s="97" t="e">
        <f>IF(VLOOKUP(A98,Aktien_im_Umlauf_splitbereinigt!A$3:AM$103,9,FALSE)&lt;&gt;"",IF(VLOOKUP(A98,Aktien_im_Umlauf_splitbereinigt!A$3:AM$103,8,FALSE)&lt;&gt;"",IF(VLOOKUP(A98,Schlußkurse!A$5:AU$105,41,FALSE)&gt;0,((VLOOKUP(A98,Aktien_im_Umlauf_splitbereinigt!A$3:AM$103,9,FALSE)-VLOOKUP(A98,Aktien_im_Umlauf_splitbereinigt!A$3:AM$103,8,FALSE))*VLOOKUP(A98,Schlußkurse!A$5:AU$105,41,FALSE))/VLOOKUP(A98,Aktien_im_Umlauf_splitbereinigt!A$3:AM$103,8,FALSE),0),0),0)</f>
        <v>#N/A</v>
      </c>
      <c r="I98" s="97" t="e">
        <f>IF(VLOOKUP(A98,Aktien_im_Umlauf_splitbereinigt!A$3:AM$103,10,FALSE)&lt;&gt;"",IF(VLOOKUP(A98,Aktien_im_Umlauf_splitbereinigt!A$3:AM$103,9,FALSE)&lt;&gt;"",IF(VLOOKUP(A98,Schlußkurse!A$5:AU$105,42,FALSE)&gt;0,((VLOOKUP(A98,Aktien_im_Umlauf_splitbereinigt!A$3:AM$103,10,FALSE)-VLOOKUP(A98,Aktien_im_Umlauf_splitbereinigt!A$3:AM$103,9,FALSE))*VLOOKUP(A98,Schlußkurse!A$5:AU$105,42,FALSE))/VLOOKUP(A98,Aktien_im_Umlauf_splitbereinigt!A$3:AM$103,9,FALSE),0),0),0)</f>
        <v>#N/A</v>
      </c>
      <c r="J98" s="97" t="e">
        <f>IF(VLOOKUP(A98,Aktien_im_Umlauf_splitbereinigt!A$3:AM$103,11,FALSE)&lt;&gt;"",IF(VLOOKUP(A98,Aktien_im_Umlauf_splitbereinigt!A$3:AM$103,10,FALSE)&lt;&gt;"",IF(VLOOKUP(A98,Schlußkurse!A$5:AU$105,43,FALSE)&gt;0,((VLOOKUP(A98,Aktien_im_Umlauf_splitbereinigt!A$3:AM$103,11,FALSE)-VLOOKUP(A98,Aktien_im_Umlauf_splitbereinigt!A$3:AM$103,10,FALSE))*VLOOKUP(A98,Schlußkurse!A$5:AU$105,43,FALSE))/VLOOKUP(A98,Aktien_im_Umlauf_splitbereinigt!A$3:AM$103,10,FALSE),0),0),0)</f>
        <v>#N/A</v>
      </c>
      <c r="K98" s="97" t="e">
        <f>IF(VLOOKUP(A98,Aktien_im_Umlauf_splitbereinigt!A$3:AM$103,12,FALSE)&lt;&gt;"",IF(VLOOKUP(A98,Aktien_im_Umlauf_splitbereinigt!A$3:AM$103,11,FALSE)&lt;&gt;"",IF(VLOOKUP(A98,Schlußkurse!A$5:AU$105,44,FALSE)&gt;0,((VLOOKUP(A98,Aktien_im_Umlauf_splitbereinigt!A$3:AM$103,12,FALSE)-VLOOKUP(A98,Aktien_im_Umlauf_splitbereinigt!A$3:AM$103,11,FALSE))*VLOOKUP(A98,Schlußkurse!A$5:AU$105,44,FALSE))/VLOOKUP(A98,Aktien_im_Umlauf_splitbereinigt!A$3:AM$103,11,FALSE),0),0),0)</f>
        <v>#N/A</v>
      </c>
      <c r="L98" s="97" t="e">
        <f>IF(VLOOKUP(A98,Aktien_im_Umlauf_splitbereinigt!A$3:AM$103,13,FALSE)&lt;&gt;"",IF(VLOOKUP(A98,Aktien_im_Umlauf_splitbereinigt!A$3:AM$103,12,FALSE)&lt;&gt;"",IF(VLOOKUP(A98,Schlußkurse!A$5:AU$105,45,FALSE)&gt;0,((VLOOKUP(A98,Aktien_im_Umlauf_splitbereinigt!A$3:AM$103,13,FALSE)-VLOOKUP(A98,Aktien_im_Umlauf_splitbereinigt!A$3:AM$103,12,FALSE))*VLOOKUP(A98,Schlußkurse!A$5:AU$105,45,FALSE))/VLOOKUP(A98,Aktien_im_Umlauf_splitbereinigt!A$3:AM$103,12,FALSE),0),0),0)</f>
        <v>#N/A</v>
      </c>
      <c r="M98" s="97" t="e">
        <f>IF(VLOOKUP(A98,Aktien_im_Umlauf_splitbereinigt!A$3:AM$103,14,FALSE)&lt;&gt;"",IF(VLOOKUP(A98,Aktien_im_Umlauf_splitbereinigt!A$3:AM$103,13,FALSE)&lt;&gt;"",IF(VLOOKUP(A98,Schlußkurse!A$5:AU$105,46,FALSE)&gt;0,((VLOOKUP(A98,Aktien_im_Umlauf_splitbereinigt!A$3:AM$103,14,FALSE)-VLOOKUP(A98,Aktien_im_Umlauf_splitbereinigt!A$3:AM$103,13,FALSE))*VLOOKUP(A98,Schlußkurse!A$5:AU$105,46,FALSE))/VLOOKUP(A98,Aktien_im_Umlauf_splitbereinigt!A$3:AM$103,13,FALSE),0),0),0)</f>
        <v>#N/A</v>
      </c>
      <c r="N98" s="13" t="e">
        <f>IF(C98&gt;0,IF(VLOOKUP(A98,Dividende_je_Aktie!A$3:AM$103,8,FALSE)&lt;&gt;"",C98+VLOOKUP(A98,Dividende_je_Aktie!A$3:AM$103,8,FALSE),C98),IF(VLOOKUP(A98,Dividende_je_Aktie!A$3:AM$103,8,FALSE)&lt;&gt;"",VLOOKUP(A98,Dividende_je_Aktie!A$3:AM$103,8,FALSE),""))</f>
        <v>#N/A</v>
      </c>
      <c r="O98" s="13" t="e">
        <f>IF(D98&gt;0,IF(VLOOKUP(A98,Dividende_je_Aktie!A$3:AM$103,9,FALSE)&lt;&gt;"",D98+VLOOKUP(A98,Dividende_je_Aktie!A$3:AM$103,9,FALSE),D98),IF(VLOOKUP(A98,Dividende_je_Aktie!A$3:AM$103,9,FALSE)&lt;&gt;"",VLOOKUP(A98,Dividende_je_Aktie!A$3:AM$103,9,FALSE),""))</f>
        <v>#N/A</v>
      </c>
      <c r="P98" s="13" t="e">
        <f>IF(E98&gt;0,IF(VLOOKUP(A98,Dividende_je_Aktie!A$3:AM$103,10,FALSE)&lt;&gt;"",E98+VLOOKUP(A98,Dividende_je_Aktie!A$3:AM$103,10,FALSE),E98),IF(VLOOKUP(A98,Dividende_je_Aktie!A$3:AM$103,10,FALSE)&lt;&gt;"",VLOOKUP(A98,Dividende_je_Aktie!A$3:AM$103,10,FALSE),""))</f>
        <v>#N/A</v>
      </c>
      <c r="Q98" s="13" t="e">
        <f>IF(F98&gt;0,IF(VLOOKUP(A98,Dividende_je_Aktie!A$3:AM$103,11,FALSE)&lt;&gt;"",F98+VLOOKUP(A98,Dividende_je_Aktie!A$3:AM$103,11,FALSE),F98),IF(VLOOKUP(A98,Dividende_je_Aktie!A$3:AM$103,11,FALSE)&lt;&gt;"",VLOOKUP(A98,Dividende_je_Aktie!A$3:AM$103,11,FALSE),""))</f>
        <v>#N/A</v>
      </c>
      <c r="R98" s="13" t="e">
        <f>IF(G98&gt;0,IF(VLOOKUP(A98,Dividende_je_Aktie!A$3:AM$103,12,FALSE)&lt;&gt;"",G98+VLOOKUP(A98,Dividende_je_Aktie!A$3:AM$103,12,FALSE),G98),IF(VLOOKUP(A98,Dividende_je_Aktie!A$3:AM$103,12,FALSE)&lt;&gt;"",VLOOKUP(A98,Dividende_je_Aktie!A$3:AM$103,12,FALSE),""))</f>
        <v>#N/A</v>
      </c>
      <c r="S98" s="13" t="e">
        <f>IF(H98&gt;0,IF(VLOOKUP(A98,Dividende_je_Aktie!A$3:AM$103,13,FALSE)&lt;&gt;"",H98+VLOOKUP(A98,Dividende_je_Aktie!A$3:AM$103,13,FALSE),H98),IF(VLOOKUP(A98,Dividende_je_Aktie!A$3:AM$103,13,FALSE)&lt;&gt;"",VLOOKUP(A98,Dividende_je_Aktie!A$3:AM$103,13,FALSE),""))</f>
        <v>#N/A</v>
      </c>
      <c r="T98" s="13" t="e">
        <f>IF(I98&gt;0,IF(VLOOKUP(A98,Dividende_je_Aktie!A$3:AM$103,14,FALSE)&lt;&gt;"",I98+VLOOKUP(A98,Dividende_je_Aktie!A$3:AM$103,14,FALSE),I98),IF(VLOOKUP(A98,Dividende_je_Aktie!A$3:AM$103,14,FALSE)&lt;&gt;"",VLOOKUP(A98,Dividende_je_Aktie!A$3:AM$103,14,FALSE),""))</f>
        <v>#N/A</v>
      </c>
      <c r="U98" s="13" t="e">
        <f>IF(J98&gt;0,IF(VLOOKUP(A98,Dividende_je_Aktie!A$3:AM$103,15,FALSE)&lt;&gt;"",J98+VLOOKUP(A98,Dividende_je_Aktie!A$3:AM$103,15,FALSE),J98),IF(VLOOKUP(A98,Dividende_je_Aktie!A$3:AM$103,15,FALSE)&lt;&gt;"",VLOOKUP(A98,Dividende_je_Aktie!A$3:AM$103,15,FALSE),""))</f>
        <v>#N/A</v>
      </c>
      <c r="V98" s="13" t="e">
        <f>IF(K98&gt;0,IF(VLOOKUP(A98,Dividende_je_Aktie!A$3:AM$103,16,FALSE)&lt;&gt;"",K98+VLOOKUP(A98,Dividende_je_Aktie!A$3:AM$103,16,FALSE),K98),IF(VLOOKUP(A98,Dividende_je_Aktie!A$3:AM$103,16,FALSE)&lt;&gt;"",VLOOKUP(A98,Dividende_je_Aktie!A$3:AM$103,16,FALSE),""))</f>
        <v>#N/A</v>
      </c>
      <c r="W98" s="13" t="e">
        <f>IF(L98&gt;0,IF(VLOOKUP(A98,Dividende_je_Aktie!A$3:AM$103,17,FALSE)&lt;&gt;"",L98+VLOOKUP(A98,Dividende_je_Aktie!A$3:AM$103,17,FALSE),L98),IF(VLOOKUP(A98,Dividende_je_Aktie!A$3:AM$103,17,FALSE)&lt;&gt;"",VLOOKUP(A98,Dividende_je_Aktie!A$3:AM$103,17,FALSE),""))</f>
        <v>#N/A</v>
      </c>
      <c r="X98" s="13" t="e">
        <f>IF(M98&gt;0,IF(VLOOKUP(A98,Dividende_je_Aktie!A$3:AM$103,18,FALSE)&lt;&gt;"",M98+VLOOKUP(A98,Dividende_je_Aktie!A$3:AM$103,18,FALSE),M98),IF(VLOOKUP(A98,Dividende_je_Aktie!A$3:AM$103,18,FALSE)&lt;&gt;"",VLOOKUP(A98,Dividende_je_Aktie!A$3:AM$103,18,FALSE),""))</f>
        <v>#N/A</v>
      </c>
    </row>
    <row r="99" spans="1:24">
      <c r="A99" s="52"/>
      <c r="B99" s="52"/>
      <c r="C99" s="13" t="e">
        <f>IF(VLOOKUP(A99,Aktien_im_Umlauf_splitbereinigt!A$3:AM$103,4,FALSE)&lt;&gt;"",IF(VLOOKUP(A99,Aktien_im_Umlauf_splitbereinigt!A$3:AM$103,3,FALSE)&lt;&gt;"",IF(VLOOKUP(A99,Schlußkurse!A$5:AU$105,36,FALSE)&gt;0,((VLOOKUP(A99,Aktien_im_Umlauf_splitbereinigt!A$3:AM$103,4,FALSE)-VLOOKUP(A99,Aktien_im_Umlauf_splitbereinigt!A$3:AM$103,3,FALSE))*VLOOKUP(A99,Schlußkurse!A$5:AU$105,36,FALSE))/VLOOKUP(A99,Aktien_im_Umlauf_splitbereinigt!A$3:AM$103,3,FALSE),0),0),0)</f>
        <v>#N/A</v>
      </c>
      <c r="D99" s="97" t="e">
        <f>IF(VLOOKUP(A99,Aktien_im_Umlauf_splitbereinigt!A$3:AM$103,5,FALSE)&lt;&gt;"",IF(VLOOKUP(A99,Aktien_im_Umlauf_splitbereinigt!A$3:AM$103,4,FALSE)&lt;&gt;"",IF(VLOOKUP(A99,Schlußkurse!A$5:AU$105,37,FALSE)&gt;0,((VLOOKUP(A99,Aktien_im_Umlauf_splitbereinigt!A$3:AM$103,5,FALSE)-VLOOKUP(A99,Aktien_im_Umlauf_splitbereinigt!A$3:AM$103,4,FALSE))*VLOOKUP(A99,Schlußkurse!A$5:AU$105,37,FALSE))/VLOOKUP(A99,Aktien_im_Umlauf_splitbereinigt!A$3:AM$103,4,FALSE),0),0),0)</f>
        <v>#N/A</v>
      </c>
      <c r="E99" s="97" t="e">
        <f>IF(VLOOKUP(A99,Aktien_im_Umlauf_splitbereinigt!A$3:AM$103,6,FALSE)&lt;&gt;"",IF(VLOOKUP(A99,Aktien_im_Umlauf_splitbereinigt!A$3:AM$103,5,FALSE)&lt;&gt;"",IF(VLOOKUP(A99,Schlußkurse!A$5:AU$105,38,FALSE)&gt;0,((VLOOKUP(A99,Aktien_im_Umlauf_splitbereinigt!A$3:AM$103,6,FALSE)-VLOOKUP(A99,Aktien_im_Umlauf_splitbereinigt!A$3:AM$103,5,FALSE))*VLOOKUP(A99,Schlußkurse!A$5:AU$105,38,FALSE))/VLOOKUP(A99,Aktien_im_Umlauf_splitbereinigt!A$3:AM$103,5,FALSE),0),0),0)</f>
        <v>#N/A</v>
      </c>
      <c r="F99" s="97" t="e">
        <f>IF(VLOOKUP(A99,Aktien_im_Umlauf_splitbereinigt!A$3:AM$103,7,FALSE)&lt;&gt;"",IF(VLOOKUP(A99,Aktien_im_Umlauf_splitbereinigt!A$3:AM$103,6,FALSE)&lt;&gt;"",IF(VLOOKUP(A99,Schlußkurse!A$5:AU$105,39,FALSE)&gt;0,((VLOOKUP(A99,Aktien_im_Umlauf_splitbereinigt!A$3:AM$103,7,FALSE)-VLOOKUP(A99,Aktien_im_Umlauf_splitbereinigt!A$3:AM$103,6,FALSE))*VLOOKUP(A99,Schlußkurse!A$5:AU$105,39,FALSE))/VLOOKUP(A99,Aktien_im_Umlauf_splitbereinigt!A$3:AM$103,6,FALSE),0),0),0)</f>
        <v>#N/A</v>
      </c>
      <c r="G99" s="97" t="e">
        <f>IF(VLOOKUP(A99,Aktien_im_Umlauf_splitbereinigt!A$3:AM$103,8,FALSE)&lt;&gt;"",IF(VLOOKUP(A99,Aktien_im_Umlauf_splitbereinigt!A$3:AM$103,7,FALSE)&lt;&gt;"",IF(VLOOKUP(A99,Schlußkurse!A$5:AU$105,40,FALSE)&gt;0,((VLOOKUP(A99,Aktien_im_Umlauf_splitbereinigt!A$3:AM$103,8,FALSE)-VLOOKUP(A99,Aktien_im_Umlauf_splitbereinigt!A$3:AM$103,7,FALSE))*VLOOKUP(A99,Schlußkurse!A$5:AU$105,40,FALSE))/VLOOKUP(A99,Aktien_im_Umlauf_splitbereinigt!A$3:AM$103,7,FALSE),0),0),0)</f>
        <v>#N/A</v>
      </c>
      <c r="H99" s="97" t="e">
        <f>IF(VLOOKUP(A99,Aktien_im_Umlauf_splitbereinigt!A$3:AM$103,9,FALSE)&lt;&gt;"",IF(VLOOKUP(A99,Aktien_im_Umlauf_splitbereinigt!A$3:AM$103,8,FALSE)&lt;&gt;"",IF(VLOOKUP(A99,Schlußkurse!A$5:AU$105,41,FALSE)&gt;0,((VLOOKUP(A99,Aktien_im_Umlauf_splitbereinigt!A$3:AM$103,9,FALSE)-VLOOKUP(A99,Aktien_im_Umlauf_splitbereinigt!A$3:AM$103,8,FALSE))*VLOOKUP(A99,Schlußkurse!A$5:AU$105,41,FALSE))/VLOOKUP(A99,Aktien_im_Umlauf_splitbereinigt!A$3:AM$103,8,FALSE),0),0),0)</f>
        <v>#N/A</v>
      </c>
      <c r="I99" s="97" t="e">
        <f>IF(VLOOKUP(A99,Aktien_im_Umlauf_splitbereinigt!A$3:AM$103,10,FALSE)&lt;&gt;"",IF(VLOOKUP(A99,Aktien_im_Umlauf_splitbereinigt!A$3:AM$103,9,FALSE)&lt;&gt;"",IF(VLOOKUP(A99,Schlußkurse!A$5:AU$105,42,FALSE)&gt;0,((VLOOKUP(A99,Aktien_im_Umlauf_splitbereinigt!A$3:AM$103,10,FALSE)-VLOOKUP(A99,Aktien_im_Umlauf_splitbereinigt!A$3:AM$103,9,FALSE))*VLOOKUP(A99,Schlußkurse!A$5:AU$105,42,FALSE))/VLOOKUP(A99,Aktien_im_Umlauf_splitbereinigt!A$3:AM$103,9,FALSE),0),0),0)</f>
        <v>#N/A</v>
      </c>
      <c r="J99" s="97" t="e">
        <f>IF(VLOOKUP(A99,Aktien_im_Umlauf_splitbereinigt!A$3:AM$103,11,FALSE)&lt;&gt;"",IF(VLOOKUP(A99,Aktien_im_Umlauf_splitbereinigt!A$3:AM$103,10,FALSE)&lt;&gt;"",IF(VLOOKUP(A99,Schlußkurse!A$5:AU$105,43,FALSE)&gt;0,((VLOOKUP(A99,Aktien_im_Umlauf_splitbereinigt!A$3:AM$103,11,FALSE)-VLOOKUP(A99,Aktien_im_Umlauf_splitbereinigt!A$3:AM$103,10,FALSE))*VLOOKUP(A99,Schlußkurse!A$5:AU$105,43,FALSE))/VLOOKUP(A99,Aktien_im_Umlauf_splitbereinigt!A$3:AM$103,10,FALSE),0),0),0)</f>
        <v>#N/A</v>
      </c>
      <c r="K99" s="97" t="e">
        <f>IF(VLOOKUP(A99,Aktien_im_Umlauf_splitbereinigt!A$3:AM$103,12,FALSE)&lt;&gt;"",IF(VLOOKUP(A99,Aktien_im_Umlauf_splitbereinigt!A$3:AM$103,11,FALSE)&lt;&gt;"",IF(VLOOKUP(A99,Schlußkurse!A$5:AU$105,44,FALSE)&gt;0,((VLOOKUP(A99,Aktien_im_Umlauf_splitbereinigt!A$3:AM$103,12,FALSE)-VLOOKUP(A99,Aktien_im_Umlauf_splitbereinigt!A$3:AM$103,11,FALSE))*VLOOKUP(A99,Schlußkurse!A$5:AU$105,44,FALSE))/VLOOKUP(A99,Aktien_im_Umlauf_splitbereinigt!A$3:AM$103,11,FALSE),0),0),0)</f>
        <v>#N/A</v>
      </c>
      <c r="L99" s="97" t="e">
        <f>IF(VLOOKUP(A99,Aktien_im_Umlauf_splitbereinigt!A$3:AM$103,13,FALSE)&lt;&gt;"",IF(VLOOKUP(A99,Aktien_im_Umlauf_splitbereinigt!A$3:AM$103,12,FALSE)&lt;&gt;"",IF(VLOOKUP(A99,Schlußkurse!A$5:AU$105,45,FALSE)&gt;0,((VLOOKUP(A99,Aktien_im_Umlauf_splitbereinigt!A$3:AM$103,13,FALSE)-VLOOKUP(A99,Aktien_im_Umlauf_splitbereinigt!A$3:AM$103,12,FALSE))*VLOOKUP(A99,Schlußkurse!A$5:AU$105,45,FALSE))/VLOOKUP(A99,Aktien_im_Umlauf_splitbereinigt!A$3:AM$103,12,FALSE),0),0),0)</f>
        <v>#N/A</v>
      </c>
      <c r="M99" s="97" t="e">
        <f>IF(VLOOKUP(A99,Aktien_im_Umlauf_splitbereinigt!A$3:AM$103,14,FALSE)&lt;&gt;"",IF(VLOOKUP(A99,Aktien_im_Umlauf_splitbereinigt!A$3:AM$103,13,FALSE)&lt;&gt;"",IF(VLOOKUP(A99,Schlußkurse!A$5:AU$105,46,FALSE)&gt;0,((VLOOKUP(A99,Aktien_im_Umlauf_splitbereinigt!A$3:AM$103,14,FALSE)-VLOOKUP(A99,Aktien_im_Umlauf_splitbereinigt!A$3:AM$103,13,FALSE))*VLOOKUP(A99,Schlußkurse!A$5:AU$105,46,FALSE))/VLOOKUP(A99,Aktien_im_Umlauf_splitbereinigt!A$3:AM$103,13,FALSE),0),0),0)</f>
        <v>#N/A</v>
      </c>
      <c r="N99" s="13" t="e">
        <f>IF(C99&gt;0,IF(VLOOKUP(A99,Dividende_je_Aktie!A$3:AM$103,8,FALSE)&lt;&gt;"",C99+VLOOKUP(A99,Dividende_je_Aktie!A$3:AM$103,8,FALSE),C99),IF(VLOOKUP(A99,Dividende_je_Aktie!A$3:AM$103,8,FALSE)&lt;&gt;"",VLOOKUP(A99,Dividende_je_Aktie!A$3:AM$103,8,FALSE),""))</f>
        <v>#N/A</v>
      </c>
      <c r="O99" s="13" t="e">
        <f>IF(D99&gt;0,IF(VLOOKUP(A99,Dividende_je_Aktie!A$3:AM$103,9,FALSE)&lt;&gt;"",D99+VLOOKUP(A99,Dividende_je_Aktie!A$3:AM$103,9,FALSE),D99),IF(VLOOKUP(A99,Dividende_je_Aktie!A$3:AM$103,9,FALSE)&lt;&gt;"",VLOOKUP(A99,Dividende_je_Aktie!A$3:AM$103,9,FALSE),""))</f>
        <v>#N/A</v>
      </c>
      <c r="P99" s="13" t="e">
        <f>IF(E99&gt;0,IF(VLOOKUP(A99,Dividende_je_Aktie!A$3:AM$103,10,FALSE)&lt;&gt;"",E99+VLOOKUP(A99,Dividende_je_Aktie!A$3:AM$103,10,FALSE),E99),IF(VLOOKUP(A99,Dividende_je_Aktie!A$3:AM$103,10,FALSE)&lt;&gt;"",VLOOKUP(A99,Dividende_je_Aktie!A$3:AM$103,10,FALSE),""))</f>
        <v>#N/A</v>
      </c>
      <c r="Q99" s="13" t="e">
        <f>IF(F99&gt;0,IF(VLOOKUP(A99,Dividende_je_Aktie!A$3:AM$103,11,FALSE)&lt;&gt;"",F99+VLOOKUP(A99,Dividende_je_Aktie!A$3:AM$103,11,FALSE),F99),IF(VLOOKUP(A99,Dividende_je_Aktie!A$3:AM$103,11,FALSE)&lt;&gt;"",VLOOKUP(A99,Dividende_je_Aktie!A$3:AM$103,11,FALSE),""))</f>
        <v>#N/A</v>
      </c>
      <c r="R99" s="13" t="e">
        <f>IF(G99&gt;0,IF(VLOOKUP(A99,Dividende_je_Aktie!A$3:AM$103,12,FALSE)&lt;&gt;"",G99+VLOOKUP(A99,Dividende_je_Aktie!A$3:AM$103,12,FALSE),G99),IF(VLOOKUP(A99,Dividende_je_Aktie!A$3:AM$103,12,FALSE)&lt;&gt;"",VLOOKUP(A99,Dividende_je_Aktie!A$3:AM$103,12,FALSE),""))</f>
        <v>#N/A</v>
      </c>
      <c r="S99" s="13" t="e">
        <f>IF(H99&gt;0,IF(VLOOKUP(A99,Dividende_je_Aktie!A$3:AM$103,13,FALSE)&lt;&gt;"",H99+VLOOKUP(A99,Dividende_je_Aktie!A$3:AM$103,13,FALSE),H99),IF(VLOOKUP(A99,Dividende_je_Aktie!A$3:AM$103,13,FALSE)&lt;&gt;"",VLOOKUP(A99,Dividende_je_Aktie!A$3:AM$103,13,FALSE),""))</f>
        <v>#N/A</v>
      </c>
      <c r="T99" s="13" t="e">
        <f>IF(I99&gt;0,IF(VLOOKUP(A99,Dividende_je_Aktie!A$3:AM$103,14,FALSE)&lt;&gt;"",I99+VLOOKUP(A99,Dividende_je_Aktie!A$3:AM$103,14,FALSE),I99),IF(VLOOKUP(A99,Dividende_je_Aktie!A$3:AM$103,14,FALSE)&lt;&gt;"",VLOOKUP(A99,Dividende_je_Aktie!A$3:AM$103,14,FALSE),""))</f>
        <v>#N/A</v>
      </c>
      <c r="U99" s="13" t="e">
        <f>IF(J99&gt;0,IF(VLOOKUP(A99,Dividende_je_Aktie!A$3:AM$103,15,FALSE)&lt;&gt;"",J99+VLOOKUP(A99,Dividende_je_Aktie!A$3:AM$103,15,FALSE),J99),IF(VLOOKUP(A99,Dividende_je_Aktie!A$3:AM$103,15,FALSE)&lt;&gt;"",VLOOKUP(A99,Dividende_je_Aktie!A$3:AM$103,15,FALSE),""))</f>
        <v>#N/A</v>
      </c>
      <c r="V99" s="13" t="e">
        <f>IF(K99&gt;0,IF(VLOOKUP(A99,Dividende_je_Aktie!A$3:AM$103,16,FALSE)&lt;&gt;"",K99+VLOOKUP(A99,Dividende_je_Aktie!A$3:AM$103,16,FALSE),K99),IF(VLOOKUP(A99,Dividende_je_Aktie!A$3:AM$103,16,FALSE)&lt;&gt;"",VLOOKUP(A99,Dividende_je_Aktie!A$3:AM$103,16,FALSE),""))</f>
        <v>#N/A</v>
      </c>
      <c r="W99" s="13" t="e">
        <f>IF(L99&gt;0,IF(VLOOKUP(A99,Dividende_je_Aktie!A$3:AM$103,17,FALSE)&lt;&gt;"",L99+VLOOKUP(A99,Dividende_je_Aktie!A$3:AM$103,17,FALSE),L99),IF(VLOOKUP(A99,Dividende_je_Aktie!A$3:AM$103,17,FALSE)&lt;&gt;"",VLOOKUP(A99,Dividende_je_Aktie!A$3:AM$103,17,FALSE),""))</f>
        <v>#N/A</v>
      </c>
      <c r="X99" s="13" t="e">
        <f>IF(M99&gt;0,IF(VLOOKUP(A99,Dividende_je_Aktie!A$3:AM$103,18,FALSE)&lt;&gt;"",M99+VLOOKUP(A99,Dividende_je_Aktie!A$3:AM$103,18,FALSE),M99),IF(VLOOKUP(A99,Dividende_je_Aktie!A$3:AM$103,18,FALSE)&lt;&gt;"",VLOOKUP(A99,Dividende_je_Aktie!A$3:AM$103,18,FALSE),""))</f>
        <v>#N/A</v>
      </c>
    </row>
    <row r="100" spans="1:24">
      <c r="A100" s="52"/>
      <c r="B100" s="52"/>
      <c r="C100" s="13" t="e">
        <f>IF(VLOOKUP(A100,Aktien_im_Umlauf_splitbereinigt!A$3:AM$103,4,FALSE)&lt;&gt;"",IF(VLOOKUP(A100,Aktien_im_Umlauf_splitbereinigt!A$3:AM$103,3,FALSE)&lt;&gt;"",IF(VLOOKUP(A100,Schlußkurse!A$5:AU$105,36,FALSE)&gt;0,((VLOOKUP(A100,Aktien_im_Umlauf_splitbereinigt!A$3:AM$103,4,FALSE)-VLOOKUP(A100,Aktien_im_Umlauf_splitbereinigt!A$3:AM$103,3,FALSE))*VLOOKUP(A100,Schlußkurse!A$5:AU$105,36,FALSE))/VLOOKUP(A100,Aktien_im_Umlauf_splitbereinigt!A$3:AM$103,3,FALSE),0),0),0)</f>
        <v>#N/A</v>
      </c>
      <c r="D100" s="97" t="e">
        <f>IF(VLOOKUP(A100,Aktien_im_Umlauf_splitbereinigt!A$3:AM$103,5,FALSE)&lt;&gt;"",IF(VLOOKUP(A100,Aktien_im_Umlauf_splitbereinigt!A$3:AM$103,4,FALSE)&lt;&gt;"",IF(VLOOKUP(A100,Schlußkurse!A$5:AU$105,37,FALSE)&gt;0,((VLOOKUP(A100,Aktien_im_Umlauf_splitbereinigt!A$3:AM$103,5,FALSE)-VLOOKUP(A100,Aktien_im_Umlauf_splitbereinigt!A$3:AM$103,4,FALSE))*VLOOKUP(A100,Schlußkurse!A$5:AU$105,37,FALSE))/VLOOKUP(A100,Aktien_im_Umlauf_splitbereinigt!A$3:AM$103,4,FALSE),0),0),0)</f>
        <v>#N/A</v>
      </c>
      <c r="E100" s="97" t="e">
        <f>IF(VLOOKUP(A100,Aktien_im_Umlauf_splitbereinigt!A$3:AM$103,6,FALSE)&lt;&gt;"",IF(VLOOKUP(A100,Aktien_im_Umlauf_splitbereinigt!A$3:AM$103,5,FALSE)&lt;&gt;"",IF(VLOOKUP(A100,Schlußkurse!A$5:AU$105,38,FALSE)&gt;0,((VLOOKUP(A100,Aktien_im_Umlauf_splitbereinigt!A$3:AM$103,6,FALSE)-VLOOKUP(A100,Aktien_im_Umlauf_splitbereinigt!A$3:AM$103,5,FALSE))*VLOOKUP(A100,Schlußkurse!A$5:AU$105,38,FALSE))/VLOOKUP(A100,Aktien_im_Umlauf_splitbereinigt!A$3:AM$103,5,FALSE),0),0),0)</f>
        <v>#N/A</v>
      </c>
      <c r="F100" s="97" t="e">
        <f>IF(VLOOKUP(A100,Aktien_im_Umlauf_splitbereinigt!A$3:AM$103,7,FALSE)&lt;&gt;"",IF(VLOOKUP(A100,Aktien_im_Umlauf_splitbereinigt!A$3:AM$103,6,FALSE)&lt;&gt;"",IF(VLOOKUP(A100,Schlußkurse!A$5:AU$105,39,FALSE)&gt;0,((VLOOKUP(A100,Aktien_im_Umlauf_splitbereinigt!A$3:AM$103,7,FALSE)-VLOOKUP(A100,Aktien_im_Umlauf_splitbereinigt!A$3:AM$103,6,FALSE))*VLOOKUP(A100,Schlußkurse!A$5:AU$105,39,FALSE))/VLOOKUP(A100,Aktien_im_Umlauf_splitbereinigt!A$3:AM$103,6,FALSE),0),0),0)</f>
        <v>#N/A</v>
      </c>
      <c r="G100" s="97" t="e">
        <f>IF(VLOOKUP(A100,Aktien_im_Umlauf_splitbereinigt!A$3:AM$103,8,FALSE)&lt;&gt;"",IF(VLOOKUP(A100,Aktien_im_Umlauf_splitbereinigt!A$3:AM$103,7,FALSE)&lt;&gt;"",IF(VLOOKUP(A100,Schlußkurse!A$5:AU$105,40,FALSE)&gt;0,((VLOOKUP(A100,Aktien_im_Umlauf_splitbereinigt!A$3:AM$103,8,FALSE)-VLOOKUP(A100,Aktien_im_Umlauf_splitbereinigt!A$3:AM$103,7,FALSE))*VLOOKUP(A100,Schlußkurse!A$5:AU$105,40,FALSE))/VLOOKUP(A100,Aktien_im_Umlauf_splitbereinigt!A$3:AM$103,7,FALSE),0),0),0)</f>
        <v>#N/A</v>
      </c>
      <c r="H100" s="97" t="e">
        <f>IF(VLOOKUP(A100,Aktien_im_Umlauf_splitbereinigt!A$3:AM$103,9,FALSE)&lt;&gt;"",IF(VLOOKUP(A100,Aktien_im_Umlauf_splitbereinigt!A$3:AM$103,8,FALSE)&lt;&gt;"",IF(VLOOKUP(A100,Schlußkurse!A$5:AU$105,41,FALSE)&gt;0,((VLOOKUP(A100,Aktien_im_Umlauf_splitbereinigt!A$3:AM$103,9,FALSE)-VLOOKUP(A100,Aktien_im_Umlauf_splitbereinigt!A$3:AM$103,8,FALSE))*VLOOKUP(A100,Schlußkurse!A$5:AU$105,41,FALSE))/VLOOKUP(A100,Aktien_im_Umlauf_splitbereinigt!A$3:AM$103,8,FALSE),0),0),0)</f>
        <v>#N/A</v>
      </c>
      <c r="I100" s="97" t="e">
        <f>IF(VLOOKUP(A100,Aktien_im_Umlauf_splitbereinigt!A$3:AM$103,10,FALSE)&lt;&gt;"",IF(VLOOKUP(A100,Aktien_im_Umlauf_splitbereinigt!A$3:AM$103,9,FALSE)&lt;&gt;"",IF(VLOOKUP(A100,Schlußkurse!A$5:AU$105,42,FALSE)&gt;0,((VLOOKUP(A100,Aktien_im_Umlauf_splitbereinigt!A$3:AM$103,10,FALSE)-VLOOKUP(A100,Aktien_im_Umlauf_splitbereinigt!A$3:AM$103,9,FALSE))*VLOOKUP(A100,Schlußkurse!A$5:AU$105,42,FALSE))/VLOOKUP(A100,Aktien_im_Umlauf_splitbereinigt!A$3:AM$103,9,FALSE),0),0),0)</f>
        <v>#N/A</v>
      </c>
      <c r="J100" s="97" t="e">
        <f>IF(VLOOKUP(A100,Aktien_im_Umlauf_splitbereinigt!A$3:AM$103,11,FALSE)&lt;&gt;"",IF(VLOOKUP(A100,Aktien_im_Umlauf_splitbereinigt!A$3:AM$103,10,FALSE)&lt;&gt;"",IF(VLOOKUP(A100,Schlußkurse!A$5:AU$105,43,FALSE)&gt;0,((VLOOKUP(A100,Aktien_im_Umlauf_splitbereinigt!A$3:AM$103,11,FALSE)-VLOOKUP(A100,Aktien_im_Umlauf_splitbereinigt!A$3:AM$103,10,FALSE))*VLOOKUP(A100,Schlußkurse!A$5:AU$105,43,FALSE))/VLOOKUP(A100,Aktien_im_Umlauf_splitbereinigt!A$3:AM$103,10,FALSE),0),0),0)</f>
        <v>#N/A</v>
      </c>
      <c r="K100" s="97" t="e">
        <f>IF(VLOOKUP(A100,Aktien_im_Umlauf_splitbereinigt!A$3:AM$103,12,FALSE)&lt;&gt;"",IF(VLOOKUP(A100,Aktien_im_Umlauf_splitbereinigt!A$3:AM$103,11,FALSE)&lt;&gt;"",IF(VLOOKUP(A100,Schlußkurse!A$5:AU$105,44,FALSE)&gt;0,((VLOOKUP(A100,Aktien_im_Umlauf_splitbereinigt!A$3:AM$103,12,FALSE)-VLOOKUP(A100,Aktien_im_Umlauf_splitbereinigt!A$3:AM$103,11,FALSE))*VLOOKUP(A100,Schlußkurse!A$5:AU$105,44,FALSE))/VLOOKUP(A100,Aktien_im_Umlauf_splitbereinigt!A$3:AM$103,11,FALSE),0),0),0)</f>
        <v>#N/A</v>
      </c>
      <c r="L100" s="97" t="e">
        <f>IF(VLOOKUP(A100,Aktien_im_Umlauf_splitbereinigt!A$3:AM$103,13,FALSE)&lt;&gt;"",IF(VLOOKUP(A100,Aktien_im_Umlauf_splitbereinigt!A$3:AM$103,12,FALSE)&lt;&gt;"",IF(VLOOKUP(A100,Schlußkurse!A$5:AU$105,45,FALSE)&gt;0,((VLOOKUP(A100,Aktien_im_Umlauf_splitbereinigt!A$3:AM$103,13,FALSE)-VLOOKUP(A100,Aktien_im_Umlauf_splitbereinigt!A$3:AM$103,12,FALSE))*VLOOKUP(A100,Schlußkurse!A$5:AU$105,45,FALSE))/VLOOKUP(A100,Aktien_im_Umlauf_splitbereinigt!A$3:AM$103,12,FALSE),0),0),0)</f>
        <v>#N/A</v>
      </c>
      <c r="M100" s="97" t="e">
        <f>IF(VLOOKUP(A100,Aktien_im_Umlauf_splitbereinigt!A$3:AM$103,14,FALSE)&lt;&gt;"",IF(VLOOKUP(A100,Aktien_im_Umlauf_splitbereinigt!A$3:AM$103,13,FALSE)&lt;&gt;"",IF(VLOOKUP(A100,Schlußkurse!A$5:AU$105,46,FALSE)&gt;0,((VLOOKUP(A100,Aktien_im_Umlauf_splitbereinigt!A$3:AM$103,14,FALSE)-VLOOKUP(A100,Aktien_im_Umlauf_splitbereinigt!A$3:AM$103,13,FALSE))*VLOOKUP(A100,Schlußkurse!A$5:AU$105,46,FALSE))/VLOOKUP(A100,Aktien_im_Umlauf_splitbereinigt!A$3:AM$103,13,FALSE),0),0),0)</f>
        <v>#N/A</v>
      </c>
      <c r="N100" s="13" t="e">
        <f>IF(C100&gt;0,IF(VLOOKUP(A100,Dividende_je_Aktie!A$3:AM$103,8,FALSE)&lt;&gt;"",C100+VLOOKUP(A100,Dividende_je_Aktie!A$3:AM$103,8,FALSE),C100),IF(VLOOKUP(A100,Dividende_je_Aktie!A$3:AM$103,8,FALSE)&lt;&gt;"",VLOOKUP(A100,Dividende_je_Aktie!A$3:AM$103,8,FALSE),""))</f>
        <v>#N/A</v>
      </c>
      <c r="O100" s="13" t="e">
        <f>IF(D100&gt;0,IF(VLOOKUP(A100,Dividende_je_Aktie!A$3:AM$103,9,FALSE)&lt;&gt;"",D100+VLOOKUP(A100,Dividende_je_Aktie!A$3:AM$103,9,FALSE),D100),IF(VLOOKUP(A100,Dividende_je_Aktie!A$3:AM$103,9,FALSE)&lt;&gt;"",VLOOKUP(A100,Dividende_je_Aktie!A$3:AM$103,9,FALSE),""))</f>
        <v>#N/A</v>
      </c>
      <c r="P100" s="13" t="e">
        <f>IF(E100&gt;0,IF(VLOOKUP(A100,Dividende_je_Aktie!A$3:AM$103,10,FALSE)&lt;&gt;"",E100+VLOOKUP(A100,Dividende_je_Aktie!A$3:AM$103,10,FALSE),E100),IF(VLOOKUP(A100,Dividende_je_Aktie!A$3:AM$103,10,FALSE)&lt;&gt;"",VLOOKUP(A100,Dividende_je_Aktie!A$3:AM$103,10,FALSE),""))</f>
        <v>#N/A</v>
      </c>
      <c r="Q100" s="13" t="e">
        <f>IF(F100&gt;0,IF(VLOOKUP(A100,Dividende_je_Aktie!A$3:AM$103,11,FALSE)&lt;&gt;"",F100+VLOOKUP(A100,Dividende_je_Aktie!A$3:AM$103,11,FALSE),F100),IF(VLOOKUP(A100,Dividende_je_Aktie!A$3:AM$103,11,FALSE)&lt;&gt;"",VLOOKUP(A100,Dividende_je_Aktie!A$3:AM$103,11,FALSE),""))</f>
        <v>#N/A</v>
      </c>
      <c r="R100" s="13" t="e">
        <f>IF(G100&gt;0,IF(VLOOKUP(A100,Dividende_je_Aktie!A$3:AM$103,12,FALSE)&lt;&gt;"",G100+VLOOKUP(A100,Dividende_je_Aktie!A$3:AM$103,12,FALSE),G100),IF(VLOOKUP(A100,Dividende_je_Aktie!A$3:AM$103,12,FALSE)&lt;&gt;"",VLOOKUP(A100,Dividende_je_Aktie!A$3:AM$103,12,FALSE),""))</f>
        <v>#N/A</v>
      </c>
      <c r="S100" s="13" t="e">
        <f>IF(H100&gt;0,IF(VLOOKUP(A100,Dividende_je_Aktie!A$3:AM$103,13,FALSE)&lt;&gt;"",H100+VLOOKUP(A100,Dividende_je_Aktie!A$3:AM$103,13,FALSE),H100),IF(VLOOKUP(A100,Dividende_je_Aktie!A$3:AM$103,13,FALSE)&lt;&gt;"",VLOOKUP(A100,Dividende_je_Aktie!A$3:AM$103,13,FALSE),""))</f>
        <v>#N/A</v>
      </c>
      <c r="T100" s="13" t="e">
        <f>IF(I100&gt;0,IF(VLOOKUP(A100,Dividende_je_Aktie!A$3:AM$103,14,FALSE)&lt;&gt;"",I100+VLOOKUP(A100,Dividende_je_Aktie!A$3:AM$103,14,FALSE),I100),IF(VLOOKUP(A100,Dividende_je_Aktie!A$3:AM$103,14,FALSE)&lt;&gt;"",VLOOKUP(A100,Dividende_je_Aktie!A$3:AM$103,14,FALSE),""))</f>
        <v>#N/A</v>
      </c>
      <c r="U100" s="13" t="e">
        <f>IF(J100&gt;0,IF(VLOOKUP(A100,Dividende_je_Aktie!A$3:AM$103,15,FALSE)&lt;&gt;"",J100+VLOOKUP(A100,Dividende_je_Aktie!A$3:AM$103,15,FALSE),J100),IF(VLOOKUP(A100,Dividende_je_Aktie!A$3:AM$103,15,FALSE)&lt;&gt;"",VLOOKUP(A100,Dividende_je_Aktie!A$3:AM$103,15,FALSE),""))</f>
        <v>#N/A</v>
      </c>
      <c r="V100" s="13" t="e">
        <f>IF(K100&gt;0,IF(VLOOKUP(A100,Dividende_je_Aktie!A$3:AM$103,16,FALSE)&lt;&gt;"",K100+VLOOKUP(A100,Dividende_je_Aktie!A$3:AM$103,16,FALSE),K100),IF(VLOOKUP(A100,Dividende_je_Aktie!A$3:AM$103,16,FALSE)&lt;&gt;"",VLOOKUP(A100,Dividende_je_Aktie!A$3:AM$103,16,FALSE),""))</f>
        <v>#N/A</v>
      </c>
      <c r="W100" s="13" t="e">
        <f>IF(L100&gt;0,IF(VLOOKUP(A100,Dividende_je_Aktie!A$3:AM$103,17,FALSE)&lt;&gt;"",L100+VLOOKUP(A100,Dividende_je_Aktie!A$3:AM$103,17,FALSE),L100),IF(VLOOKUP(A100,Dividende_je_Aktie!A$3:AM$103,17,FALSE)&lt;&gt;"",VLOOKUP(A100,Dividende_je_Aktie!A$3:AM$103,17,FALSE),""))</f>
        <v>#N/A</v>
      </c>
      <c r="X100" s="13" t="e">
        <f>IF(M100&gt;0,IF(VLOOKUP(A100,Dividende_je_Aktie!A$3:AM$103,18,FALSE)&lt;&gt;"",M100+VLOOKUP(A100,Dividende_je_Aktie!A$3:AM$103,18,FALSE),M100),IF(VLOOKUP(A100,Dividende_je_Aktie!A$3:AM$103,18,FALSE)&lt;&gt;"",VLOOKUP(A100,Dividende_je_Aktie!A$3:AM$103,18,FALSE),""))</f>
        <v>#N/A</v>
      </c>
    </row>
    <row r="101" spans="1:24">
      <c r="A101" s="52"/>
      <c r="B101" s="52"/>
      <c r="C101" s="13" t="e">
        <f>IF(VLOOKUP(A101,Aktien_im_Umlauf_splitbereinigt!A$3:AM$103,4,FALSE)&lt;&gt;"",IF(VLOOKUP(A101,Aktien_im_Umlauf_splitbereinigt!A$3:AM$103,3,FALSE)&lt;&gt;"",IF(VLOOKUP(A101,Schlußkurse!A$5:AU$105,36,FALSE)&gt;0,((VLOOKUP(A101,Aktien_im_Umlauf_splitbereinigt!A$3:AM$103,4,FALSE)-VLOOKUP(A101,Aktien_im_Umlauf_splitbereinigt!A$3:AM$103,3,FALSE))*VLOOKUP(A101,Schlußkurse!A$5:AU$105,36,FALSE))/VLOOKUP(A101,Aktien_im_Umlauf_splitbereinigt!A$3:AM$103,3,FALSE),0),0),0)</f>
        <v>#N/A</v>
      </c>
      <c r="D101" s="97" t="e">
        <f>IF(VLOOKUP(A101,Aktien_im_Umlauf_splitbereinigt!A$3:AM$103,5,FALSE)&lt;&gt;"",IF(VLOOKUP(A101,Aktien_im_Umlauf_splitbereinigt!A$3:AM$103,4,FALSE)&lt;&gt;"",IF(VLOOKUP(A101,Schlußkurse!A$5:AU$105,37,FALSE)&gt;0,((VLOOKUP(A101,Aktien_im_Umlauf_splitbereinigt!A$3:AM$103,5,FALSE)-VLOOKUP(A101,Aktien_im_Umlauf_splitbereinigt!A$3:AM$103,4,FALSE))*VLOOKUP(A101,Schlußkurse!A$5:AU$105,37,FALSE))/VLOOKUP(A101,Aktien_im_Umlauf_splitbereinigt!A$3:AM$103,4,FALSE),0),0),0)</f>
        <v>#N/A</v>
      </c>
      <c r="E101" s="97" t="e">
        <f>IF(VLOOKUP(A101,Aktien_im_Umlauf_splitbereinigt!A$3:AM$103,6,FALSE)&lt;&gt;"",IF(VLOOKUP(A101,Aktien_im_Umlauf_splitbereinigt!A$3:AM$103,5,FALSE)&lt;&gt;"",IF(VLOOKUP(A101,Schlußkurse!A$5:AU$105,38,FALSE)&gt;0,((VLOOKUP(A101,Aktien_im_Umlauf_splitbereinigt!A$3:AM$103,6,FALSE)-VLOOKUP(A101,Aktien_im_Umlauf_splitbereinigt!A$3:AM$103,5,FALSE))*VLOOKUP(A101,Schlußkurse!A$5:AU$105,38,FALSE))/VLOOKUP(A101,Aktien_im_Umlauf_splitbereinigt!A$3:AM$103,5,FALSE),0),0),0)</f>
        <v>#N/A</v>
      </c>
      <c r="F101" s="97" t="e">
        <f>IF(VLOOKUP(A101,Aktien_im_Umlauf_splitbereinigt!A$3:AM$103,7,FALSE)&lt;&gt;"",IF(VLOOKUP(A101,Aktien_im_Umlauf_splitbereinigt!A$3:AM$103,6,FALSE)&lt;&gt;"",IF(VLOOKUP(A101,Schlußkurse!A$5:AU$105,39,FALSE)&gt;0,((VLOOKUP(A101,Aktien_im_Umlauf_splitbereinigt!A$3:AM$103,7,FALSE)-VLOOKUP(A101,Aktien_im_Umlauf_splitbereinigt!A$3:AM$103,6,FALSE))*VLOOKUP(A101,Schlußkurse!A$5:AU$105,39,FALSE))/VLOOKUP(A101,Aktien_im_Umlauf_splitbereinigt!A$3:AM$103,6,FALSE),0),0),0)</f>
        <v>#N/A</v>
      </c>
      <c r="G101" s="97" t="e">
        <f>IF(VLOOKUP(A101,Aktien_im_Umlauf_splitbereinigt!A$3:AM$103,8,FALSE)&lt;&gt;"",IF(VLOOKUP(A101,Aktien_im_Umlauf_splitbereinigt!A$3:AM$103,7,FALSE)&lt;&gt;"",IF(VLOOKUP(A101,Schlußkurse!A$5:AU$105,40,FALSE)&gt;0,((VLOOKUP(A101,Aktien_im_Umlauf_splitbereinigt!A$3:AM$103,8,FALSE)-VLOOKUP(A101,Aktien_im_Umlauf_splitbereinigt!A$3:AM$103,7,FALSE))*VLOOKUP(A101,Schlußkurse!A$5:AU$105,40,FALSE))/VLOOKUP(A101,Aktien_im_Umlauf_splitbereinigt!A$3:AM$103,7,FALSE),0),0),0)</f>
        <v>#N/A</v>
      </c>
      <c r="H101" s="97" t="e">
        <f>IF(VLOOKUP(A101,Aktien_im_Umlauf_splitbereinigt!A$3:AM$103,9,FALSE)&lt;&gt;"",IF(VLOOKUP(A101,Aktien_im_Umlauf_splitbereinigt!A$3:AM$103,8,FALSE)&lt;&gt;"",IF(VLOOKUP(A101,Schlußkurse!A$5:AU$105,41,FALSE)&gt;0,((VLOOKUP(A101,Aktien_im_Umlauf_splitbereinigt!A$3:AM$103,9,FALSE)-VLOOKUP(A101,Aktien_im_Umlauf_splitbereinigt!A$3:AM$103,8,FALSE))*VLOOKUP(A101,Schlußkurse!A$5:AU$105,41,FALSE))/VLOOKUP(A101,Aktien_im_Umlauf_splitbereinigt!A$3:AM$103,8,FALSE),0),0),0)</f>
        <v>#N/A</v>
      </c>
      <c r="I101" s="97" t="e">
        <f>IF(VLOOKUP(A101,Aktien_im_Umlauf_splitbereinigt!A$3:AM$103,10,FALSE)&lt;&gt;"",IF(VLOOKUP(A101,Aktien_im_Umlauf_splitbereinigt!A$3:AM$103,9,FALSE)&lt;&gt;"",IF(VLOOKUP(A101,Schlußkurse!A$5:AU$105,42,FALSE)&gt;0,((VLOOKUP(A101,Aktien_im_Umlauf_splitbereinigt!A$3:AM$103,10,FALSE)-VLOOKUP(A101,Aktien_im_Umlauf_splitbereinigt!A$3:AM$103,9,FALSE))*VLOOKUP(A101,Schlußkurse!A$5:AU$105,42,FALSE))/VLOOKUP(A101,Aktien_im_Umlauf_splitbereinigt!A$3:AM$103,9,FALSE),0),0),0)</f>
        <v>#N/A</v>
      </c>
      <c r="J101" s="97" t="e">
        <f>IF(VLOOKUP(A101,Aktien_im_Umlauf_splitbereinigt!A$3:AM$103,11,FALSE)&lt;&gt;"",IF(VLOOKUP(A101,Aktien_im_Umlauf_splitbereinigt!A$3:AM$103,10,FALSE)&lt;&gt;"",IF(VLOOKUP(A101,Schlußkurse!A$5:AU$105,43,FALSE)&gt;0,((VLOOKUP(A101,Aktien_im_Umlauf_splitbereinigt!A$3:AM$103,11,FALSE)-VLOOKUP(A101,Aktien_im_Umlauf_splitbereinigt!A$3:AM$103,10,FALSE))*VLOOKUP(A101,Schlußkurse!A$5:AU$105,43,FALSE))/VLOOKUP(A101,Aktien_im_Umlauf_splitbereinigt!A$3:AM$103,10,FALSE),0),0),0)</f>
        <v>#N/A</v>
      </c>
      <c r="K101" s="97" t="e">
        <f>IF(VLOOKUP(A101,Aktien_im_Umlauf_splitbereinigt!A$3:AM$103,12,FALSE)&lt;&gt;"",IF(VLOOKUP(A101,Aktien_im_Umlauf_splitbereinigt!A$3:AM$103,11,FALSE)&lt;&gt;"",IF(VLOOKUP(A101,Schlußkurse!A$5:AU$105,44,FALSE)&gt;0,((VLOOKUP(A101,Aktien_im_Umlauf_splitbereinigt!A$3:AM$103,12,FALSE)-VLOOKUP(A101,Aktien_im_Umlauf_splitbereinigt!A$3:AM$103,11,FALSE))*VLOOKUP(A101,Schlußkurse!A$5:AU$105,44,FALSE))/VLOOKUP(A101,Aktien_im_Umlauf_splitbereinigt!A$3:AM$103,11,FALSE),0),0),0)</f>
        <v>#N/A</v>
      </c>
      <c r="L101" s="97" t="e">
        <f>IF(VLOOKUP(A101,Aktien_im_Umlauf_splitbereinigt!A$3:AM$103,13,FALSE)&lt;&gt;"",IF(VLOOKUP(A101,Aktien_im_Umlauf_splitbereinigt!A$3:AM$103,12,FALSE)&lt;&gt;"",IF(VLOOKUP(A101,Schlußkurse!A$5:AU$105,45,FALSE)&gt;0,((VLOOKUP(A101,Aktien_im_Umlauf_splitbereinigt!A$3:AM$103,13,FALSE)-VLOOKUP(A101,Aktien_im_Umlauf_splitbereinigt!A$3:AM$103,12,FALSE))*VLOOKUP(A101,Schlußkurse!A$5:AU$105,45,FALSE))/VLOOKUP(A101,Aktien_im_Umlauf_splitbereinigt!A$3:AM$103,12,FALSE),0),0),0)</f>
        <v>#N/A</v>
      </c>
      <c r="M101" s="97" t="e">
        <f>IF(VLOOKUP(A101,Aktien_im_Umlauf_splitbereinigt!A$3:AM$103,14,FALSE)&lt;&gt;"",IF(VLOOKUP(A101,Aktien_im_Umlauf_splitbereinigt!A$3:AM$103,13,FALSE)&lt;&gt;"",IF(VLOOKUP(A101,Schlußkurse!A$5:AU$105,46,FALSE)&gt;0,((VLOOKUP(A101,Aktien_im_Umlauf_splitbereinigt!A$3:AM$103,14,FALSE)-VLOOKUP(A101,Aktien_im_Umlauf_splitbereinigt!A$3:AM$103,13,FALSE))*VLOOKUP(A101,Schlußkurse!A$5:AU$105,46,FALSE))/VLOOKUP(A101,Aktien_im_Umlauf_splitbereinigt!A$3:AM$103,13,FALSE),0),0),0)</f>
        <v>#N/A</v>
      </c>
      <c r="N101" s="13" t="e">
        <f>IF(C101&gt;0,IF(VLOOKUP(A101,Dividende_je_Aktie!A$3:AM$103,8,FALSE)&lt;&gt;"",C101+VLOOKUP(A101,Dividende_je_Aktie!A$3:AM$103,8,FALSE),C101),IF(VLOOKUP(A101,Dividende_je_Aktie!A$3:AM$103,8,FALSE)&lt;&gt;"",VLOOKUP(A101,Dividende_je_Aktie!A$3:AM$103,8,FALSE),""))</f>
        <v>#N/A</v>
      </c>
      <c r="O101" s="13" t="e">
        <f>IF(D101&gt;0,IF(VLOOKUP(A101,Dividende_je_Aktie!A$3:AM$103,9,FALSE)&lt;&gt;"",D101+VLOOKUP(A101,Dividende_je_Aktie!A$3:AM$103,9,FALSE),D101),IF(VLOOKUP(A101,Dividende_je_Aktie!A$3:AM$103,9,FALSE)&lt;&gt;"",VLOOKUP(A101,Dividende_je_Aktie!A$3:AM$103,9,FALSE),""))</f>
        <v>#N/A</v>
      </c>
      <c r="P101" s="13" t="e">
        <f>IF(E101&gt;0,IF(VLOOKUP(A101,Dividende_je_Aktie!A$3:AM$103,10,FALSE)&lt;&gt;"",E101+VLOOKUP(A101,Dividende_je_Aktie!A$3:AM$103,10,FALSE),E101),IF(VLOOKUP(A101,Dividende_je_Aktie!A$3:AM$103,10,FALSE)&lt;&gt;"",VLOOKUP(A101,Dividende_je_Aktie!A$3:AM$103,10,FALSE),""))</f>
        <v>#N/A</v>
      </c>
      <c r="Q101" s="13" t="e">
        <f>IF(F101&gt;0,IF(VLOOKUP(A101,Dividende_je_Aktie!A$3:AM$103,11,FALSE)&lt;&gt;"",F101+VLOOKUP(A101,Dividende_je_Aktie!A$3:AM$103,11,FALSE),F101),IF(VLOOKUP(A101,Dividende_je_Aktie!A$3:AM$103,11,FALSE)&lt;&gt;"",VLOOKUP(A101,Dividende_je_Aktie!A$3:AM$103,11,FALSE),""))</f>
        <v>#N/A</v>
      </c>
      <c r="R101" s="13" t="e">
        <f>IF(G101&gt;0,IF(VLOOKUP(A101,Dividende_je_Aktie!A$3:AM$103,12,FALSE)&lt;&gt;"",G101+VLOOKUP(A101,Dividende_je_Aktie!A$3:AM$103,12,FALSE),G101),IF(VLOOKUP(A101,Dividende_je_Aktie!A$3:AM$103,12,FALSE)&lt;&gt;"",VLOOKUP(A101,Dividende_je_Aktie!A$3:AM$103,12,FALSE),""))</f>
        <v>#N/A</v>
      </c>
      <c r="S101" s="13" t="e">
        <f>IF(H101&gt;0,IF(VLOOKUP(A101,Dividende_je_Aktie!A$3:AM$103,13,FALSE)&lt;&gt;"",H101+VLOOKUP(A101,Dividende_je_Aktie!A$3:AM$103,13,FALSE),H101),IF(VLOOKUP(A101,Dividende_je_Aktie!A$3:AM$103,13,FALSE)&lt;&gt;"",VLOOKUP(A101,Dividende_je_Aktie!A$3:AM$103,13,FALSE),""))</f>
        <v>#N/A</v>
      </c>
      <c r="T101" s="13" t="e">
        <f>IF(I101&gt;0,IF(VLOOKUP(A101,Dividende_je_Aktie!A$3:AM$103,14,FALSE)&lt;&gt;"",I101+VLOOKUP(A101,Dividende_je_Aktie!A$3:AM$103,14,FALSE),I101),IF(VLOOKUP(A101,Dividende_je_Aktie!A$3:AM$103,14,FALSE)&lt;&gt;"",VLOOKUP(A101,Dividende_je_Aktie!A$3:AM$103,14,FALSE),""))</f>
        <v>#N/A</v>
      </c>
      <c r="U101" s="13" t="e">
        <f>IF(J101&gt;0,IF(VLOOKUP(A101,Dividende_je_Aktie!A$3:AM$103,15,FALSE)&lt;&gt;"",J101+VLOOKUP(A101,Dividende_je_Aktie!A$3:AM$103,15,FALSE),J101),IF(VLOOKUP(A101,Dividende_je_Aktie!A$3:AM$103,15,FALSE)&lt;&gt;"",VLOOKUP(A101,Dividende_je_Aktie!A$3:AM$103,15,FALSE),""))</f>
        <v>#N/A</v>
      </c>
      <c r="V101" s="13" t="e">
        <f>IF(K101&gt;0,IF(VLOOKUP(A101,Dividende_je_Aktie!A$3:AM$103,16,FALSE)&lt;&gt;"",K101+VLOOKUP(A101,Dividende_je_Aktie!A$3:AM$103,16,FALSE),K101),IF(VLOOKUP(A101,Dividende_je_Aktie!A$3:AM$103,16,FALSE)&lt;&gt;"",VLOOKUP(A101,Dividende_je_Aktie!A$3:AM$103,16,FALSE),""))</f>
        <v>#N/A</v>
      </c>
      <c r="W101" s="13" t="e">
        <f>IF(L101&gt;0,IF(VLOOKUP(A101,Dividende_je_Aktie!A$3:AM$103,17,FALSE)&lt;&gt;"",L101+VLOOKUP(A101,Dividende_je_Aktie!A$3:AM$103,17,FALSE),L101),IF(VLOOKUP(A101,Dividende_je_Aktie!A$3:AM$103,17,FALSE)&lt;&gt;"",VLOOKUP(A101,Dividende_je_Aktie!A$3:AM$103,17,FALSE),""))</f>
        <v>#N/A</v>
      </c>
      <c r="X101" s="13" t="e">
        <f>IF(M101&gt;0,IF(VLOOKUP(A101,Dividende_je_Aktie!A$3:AM$103,18,FALSE)&lt;&gt;"",M101+VLOOKUP(A101,Dividende_je_Aktie!A$3:AM$103,18,FALSE),M101),IF(VLOOKUP(A101,Dividende_je_Aktie!A$3:AM$103,18,FALSE)&lt;&gt;"",VLOOKUP(A101,Dividende_je_Aktie!A$3:AM$103,18,FALSE),""))</f>
        <v>#N/A</v>
      </c>
    </row>
    <row r="102" spans="1:24">
      <c r="A102" s="52"/>
      <c r="B102" s="52"/>
      <c r="C102" s="13" t="e">
        <f>IF(VLOOKUP(A102,Aktien_im_Umlauf_splitbereinigt!A$3:AM$103,4,FALSE)&lt;&gt;"",IF(VLOOKUP(A102,Aktien_im_Umlauf_splitbereinigt!A$3:AM$103,3,FALSE)&lt;&gt;"",IF(VLOOKUP(A102,Schlußkurse!A$5:AU$105,36,FALSE)&gt;0,((VLOOKUP(A102,Aktien_im_Umlauf_splitbereinigt!A$3:AM$103,4,FALSE)-VLOOKUP(A102,Aktien_im_Umlauf_splitbereinigt!A$3:AM$103,3,FALSE))*VLOOKUP(A102,Schlußkurse!A$5:AU$105,36,FALSE))/VLOOKUP(A102,Aktien_im_Umlauf_splitbereinigt!A$3:AM$103,3,FALSE),0),0),0)</f>
        <v>#N/A</v>
      </c>
      <c r="D102" s="97" t="e">
        <f>IF(VLOOKUP(A102,Aktien_im_Umlauf_splitbereinigt!A$3:AM$103,5,FALSE)&lt;&gt;"",IF(VLOOKUP(A102,Aktien_im_Umlauf_splitbereinigt!A$3:AM$103,4,FALSE)&lt;&gt;"",IF(VLOOKUP(A102,Schlußkurse!A$5:AU$105,37,FALSE)&gt;0,((VLOOKUP(A102,Aktien_im_Umlauf_splitbereinigt!A$3:AM$103,5,FALSE)-VLOOKUP(A102,Aktien_im_Umlauf_splitbereinigt!A$3:AM$103,4,FALSE))*VLOOKUP(A102,Schlußkurse!A$5:AU$105,37,FALSE))/VLOOKUP(A102,Aktien_im_Umlauf_splitbereinigt!A$3:AM$103,4,FALSE),0),0),0)</f>
        <v>#N/A</v>
      </c>
      <c r="E102" s="97" t="e">
        <f>IF(VLOOKUP(A102,Aktien_im_Umlauf_splitbereinigt!A$3:AM$103,6,FALSE)&lt;&gt;"",IF(VLOOKUP(A102,Aktien_im_Umlauf_splitbereinigt!A$3:AM$103,5,FALSE)&lt;&gt;"",IF(VLOOKUP(A102,Schlußkurse!A$5:AU$105,38,FALSE)&gt;0,((VLOOKUP(A102,Aktien_im_Umlauf_splitbereinigt!A$3:AM$103,6,FALSE)-VLOOKUP(A102,Aktien_im_Umlauf_splitbereinigt!A$3:AM$103,5,FALSE))*VLOOKUP(A102,Schlußkurse!A$5:AU$105,38,FALSE))/VLOOKUP(A102,Aktien_im_Umlauf_splitbereinigt!A$3:AM$103,5,FALSE),0),0),0)</f>
        <v>#N/A</v>
      </c>
      <c r="F102" s="97" t="e">
        <f>IF(VLOOKUP(A102,Aktien_im_Umlauf_splitbereinigt!A$3:AM$103,7,FALSE)&lt;&gt;"",IF(VLOOKUP(A102,Aktien_im_Umlauf_splitbereinigt!A$3:AM$103,6,FALSE)&lt;&gt;"",IF(VLOOKUP(A102,Schlußkurse!A$5:AU$105,39,FALSE)&gt;0,((VLOOKUP(A102,Aktien_im_Umlauf_splitbereinigt!A$3:AM$103,7,FALSE)-VLOOKUP(A102,Aktien_im_Umlauf_splitbereinigt!A$3:AM$103,6,FALSE))*VLOOKUP(A102,Schlußkurse!A$5:AU$105,39,FALSE))/VLOOKUP(A102,Aktien_im_Umlauf_splitbereinigt!A$3:AM$103,6,FALSE),0),0),0)</f>
        <v>#N/A</v>
      </c>
      <c r="G102" s="97" t="e">
        <f>IF(VLOOKUP(A102,Aktien_im_Umlauf_splitbereinigt!A$3:AM$103,8,FALSE)&lt;&gt;"",IF(VLOOKUP(A102,Aktien_im_Umlauf_splitbereinigt!A$3:AM$103,7,FALSE)&lt;&gt;"",IF(VLOOKUP(A102,Schlußkurse!A$5:AU$105,40,FALSE)&gt;0,((VLOOKUP(A102,Aktien_im_Umlauf_splitbereinigt!A$3:AM$103,8,FALSE)-VLOOKUP(A102,Aktien_im_Umlauf_splitbereinigt!A$3:AM$103,7,FALSE))*VLOOKUP(A102,Schlußkurse!A$5:AU$105,40,FALSE))/VLOOKUP(A102,Aktien_im_Umlauf_splitbereinigt!A$3:AM$103,7,FALSE),0),0),0)</f>
        <v>#N/A</v>
      </c>
      <c r="H102" s="97" t="e">
        <f>IF(VLOOKUP(A102,Aktien_im_Umlauf_splitbereinigt!A$3:AM$103,9,FALSE)&lt;&gt;"",IF(VLOOKUP(A102,Aktien_im_Umlauf_splitbereinigt!A$3:AM$103,8,FALSE)&lt;&gt;"",IF(VLOOKUP(A102,Schlußkurse!A$5:AU$105,41,FALSE)&gt;0,((VLOOKUP(A102,Aktien_im_Umlauf_splitbereinigt!A$3:AM$103,9,FALSE)-VLOOKUP(A102,Aktien_im_Umlauf_splitbereinigt!A$3:AM$103,8,FALSE))*VLOOKUP(A102,Schlußkurse!A$5:AU$105,41,FALSE))/VLOOKUP(A102,Aktien_im_Umlauf_splitbereinigt!A$3:AM$103,8,FALSE),0),0),0)</f>
        <v>#N/A</v>
      </c>
      <c r="I102" s="97" t="e">
        <f>IF(VLOOKUP(A102,Aktien_im_Umlauf_splitbereinigt!A$3:AM$103,10,FALSE)&lt;&gt;"",IF(VLOOKUP(A102,Aktien_im_Umlauf_splitbereinigt!A$3:AM$103,9,FALSE)&lt;&gt;"",IF(VLOOKUP(A102,Schlußkurse!A$5:AU$105,42,FALSE)&gt;0,((VLOOKUP(A102,Aktien_im_Umlauf_splitbereinigt!A$3:AM$103,10,FALSE)-VLOOKUP(A102,Aktien_im_Umlauf_splitbereinigt!A$3:AM$103,9,FALSE))*VLOOKUP(A102,Schlußkurse!A$5:AU$105,42,FALSE))/VLOOKUP(A102,Aktien_im_Umlauf_splitbereinigt!A$3:AM$103,9,FALSE),0),0),0)</f>
        <v>#N/A</v>
      </c>
      <c r="J102" s="97" t="e">
        <f>IF(VLOOKUP(A102,Aktien_im_Umlauf_splitbereinigt!A$3:AM$103,11,FALSE)&lt;&gt;"",IF(VLOOKUP(A102,Aktien_im_Umlauf_splitbereinigt!A$3:AM$103,10,FALSE)&lt;&gt;"",IF(VLOOKUP(A102,Schlußkurse!A$5:AU$105,43,FALSE)&gt;0,((VLOOKUP(A102,Aktien_im_Umlauf_splitbereinigt!A$3:AM$103,11,FALSE)-VLOOKUP(A102,Aktien_im_Umlauf_splitbereinigt!A$3:AM$103,10,FALSE))*VLOOKUP(A102,Schlußkurse!A$5:AU$105,43,FALSE))/VLOOKUP(A102,Aktien_im_Umlauf_splitbereinigt!A$3:AM$103,10,FALSE),0),0),0)</f>
        <v>#N/A</v>
      </c>
      <c r="K102" s="97" t="e">
        <f>IF(VLOOKUP(A102,Aktien_im_Umlauf_splitbereinigt!A$3:AM$103,12,FALSE)&lt;&gt;"",IF(VLOOKUP(A102,Aktien_im_Umlauf_splitbereinigt!A$3:AM$103,11,FALSE)&lt;&gt;"",IF(VLOOKUP(A102,Schlußkurse!A$5:AU$105,44,FALSE)&gt;0,((VLOOKUP(A102,Aktien_im_Umlauf_splitbereinigt!A$3:AM$103,12,FALSE)-VLOOKUP(A102,Aktien_im_Umlauf_splitbereinigt!A$3:AM$103,11,FALSE))*VLOOKUP(A102,Schlußkurse!A$5:AU$105,44,FALSE))/VLOOKUP(A102,Aktien_im_Umlauf_splitbereinigt!A$3:AM$103,11,FALSE),0),0),0)</f>
        <v>#N/A</v>
      </c>
      <c r="L102" s="97" t="e">
        <f>IF(VLOOKUP(A102,Aktien_im_Umlauf_splitbereinigt!A$3:AM$103,13,FALSE)&lt;&gt;"",IF(VLOOKUP(A102,Aktien_im_Umlauf_splitbereinigt!A$3:AM$103,12,FALSE)&lt;&gt;"",IF(VLOOKUP(A102,Schlußkurse!A$5:AU$105,45,FALSE)&gt;0,((VLOOKUP(A102,Aktien_im_Umlauf_splitbereinigt!A$3:AM$103,13,FALSE)-VLOOKUP(A102,Aktien_im_Umlauf_splitbereinigt!A$3:AM$103,12,FALSE))*VLOOKUP(A102,Schlußkurse!A$5:AU$105,45,FALSE))/VLOOKUP(A102,Aktien_im_Umlauf_splitbereinigt!A$3:AM$103,12,FALSE),0),0),0)</f>
        <v>#N/A</v>
      </c>
      <c r="M102" s="97" t="e">
        <f>IF(VLOOKUP(A102,Aktien_im_Umlauf_splitbereinigt!A$3:AM$103,14,FALSE)&lt;&gt;"",IF(VLOOKUP(A102,Aktien_im_Umlauf_splitbereinigt!A$3:AM$103,13,FALSE)&lt;&gt;"",IF(VLOOKUP(A102,Schlußkurse!A$5:AU$105,46,FALSE)&gt;0,((VLOOKUP(A102,Aktien_im_Umlauf_splitbereinigt!A$3:AM$103,14,FALSE)-VLOOKUP(A102,Aktien_im_Umlauf_splitbereinigt!A$3:AM$103,13,FALSE))*VLOOKUP(A102,Schlußkurse!A$5:AU$105,46,FALSE))/VLOOKUP(A102,Aktien_im_Umlauf_splitbereinigt!A$3:AM$103,13,FALSE),0),0),0)</f>
        <v>#N/A</v>
      </c>
      <c r="N102" s="13" t="e">
        <f>IF(C102&gt;0,IF(VLOOKUP(A102,Dividende_je_Aktie!A$3:AM$103,8,FALSE)&lt;&gt;"",C102+VLOOKUP(A102,Dividende_je_Aktie!A$3:AM$103,8,FALSE),C102),IF(VLOOKUP(A102,Dividende_je_Aktie!A$3:AM$103,8,FALSE)&lt;&gt;"",VLOOKUP(A102,Dividende_je_Aktie!A$3:AM$103,8,FALSE),""))</f>
        <v>#N/A</v>
      </c>
      <c r="O102" s="13" t="e">
        <f>IF(D102&gt;0,IF(VLOOKUP(A102,Dividende_je_Aktie!A$3:AM$103,9,FALSE)&lt;&gt;"",D102+VLOOKUP(A102,Dividende_je_Aktie!A$3:AM$103,9,FALSE),D102),IF(VLOOKUP(A102,Dividende_je_Aktie!A$3:AM$103,9,FALSE)&lt;&gt;"",VLOOKUP(A102,Dividende_je_Aktie!A$3:AM$103,9,FALSE),""))</f>
        <v>#N/A</v>
      </c>
      <c r="P102" s="13" t="e">
        <f>IF(E102&gt;0,IF(VLOOKUP(A102,Dividende_je_Aktie!A$3:AM$103,10,FALSE)&lt;&gt;"",E102+VLOOKUP(A102,Dividende_je_Aktie!A$3:AM$103,10,FALSE),E102),IF(VLOOKUP(A102,Dividende_je_Aktie!A$3:AM$103,10,FALSE)&lt;&gt;"",VLOOKUP(A102,Dividende_je_Aktie!A$3:AM$103,10,FALSE),""))</f>
        <v>#N/A</v>
      </c>
      <c r="Q102" s="13" t="e">
        <f>IF(F102&gt;0,IF(VLOOKUP(A102,Dividende_je_Aktie!A$3:AM$103,11,FALSE)&lt;&gt;"",F102+VLOOKUP(A102,Dividende_je_Aktie!A$3:AM$103,11,FALSE),F102),IF(VLOOKUP(A102,Dividende_je_Aktie!A$3:AM$103,11,FALSE)&lt;&gt;"",VLOOKUP(A102,Dividende_je_Aktie!A$3:AM$103,11,FALSE),""))</f>
        <v>#N/A</v>
      </c>
      <c r="R102" s="13" t="e">
        <f>IF(G102&gt;0,IF(VLOOKUP(A102,Dividende_je_Aktie!A$3:AM$103,12,FALSE)&lt;&gt;"",G102+VLOOKUP(A102,Dividende_je_Aktie!A$3:AM$103,12,FALSE),G102),IF(VLOOKUP(A102,Dividende_je_Aktie!A$3:AM$103,12,FALSE)&lt;&gt;"",VLOOKUP(A102,Dividende_je_Aktie!A$3:AM$103,12,FALSE),""))</f>
        <v>#N/A</v>
      </c>
      <c r="S102" s="13" t="e">
        <f>IF(H102&gt;0,IF(VLOOKUP(A102,Dividende_je_Aktie!A$3:AM$103,13,FALSE)&lt;&gt;"",H102+VLOOKUP(A102,Dividende_je_Aktie!A$3:AM$103,13,FALSE),H102),IF(VLOOKUP(A102,Dividende_je_Aktie!A$3:AM$103,13,FALSE)&lt;&gt;"",VLOOKUP(A102,Dividende_je_Aktie!A$3:AM$103,13,FALSE),""))</f>
        <v>#N/A</v>
      </c>
      <c r="T102" s="13" t="e">
        <f>IF(I102&gt;0,IF(VLOOKUP(A102,Dividende_je_Aktie!A$3:AM$103,14,FALSE)&lt;&gt;"",I102+VLOOKUP(A102,Dividende_je_Aktie!A$3:AM$103,14,FALSE),I102),IF(VLOOKUP(A102,Dividende_je_Aktie!A$3:AM$103,14,FALSE)&lt;&gt;"",VLOOKUP(A102,Dividende_je_Aktie!A$3:AM$103,14,FALSE),""))</f>
        <v>#N/A</v>
      </c>
      <c r="U102" s="13" t="e">
        <f>IF(J102&gt;0,IF(VLOOKUP(A102,Dividende_je_Aktie!A$3:AM$103,15,FALSE)&lt;&gt;"",J102+VLOOKUP(A102,Dividende_je_Aktie!A$3:AM$103,15,FALSE),J102),IF(VLOOKUP(A102,Dividende_je_Aktie!A$3:AM$103,15,FALSE)&lt;&gt;"",VLOOKUP(A102,Dividende_je_Aktie!A$3:AM$103,15,FALSE),""))</f>
        <v>#N/A</v>
      </c>
      <c r="V102" s="13" t="e">
        <f>IF(K102&gt;0,IF(VLOOKUP(A102,Dividende_je_Aktie!A$3:AM$103,16,FALSE)&lt;&gt;"",K102+VLOOKUP(A102,Dividende_je_Aktie!A$3:AM$103,16,FALSE),K102),IF(VLOOKUP(A102,Dividende_je_Aktie!A$3:AM$103,16,FALSE)&lt;&gt;"",VLOOKUP(A102,Dividende_je_Aktie!A$3:AM$103,16,FALSE),""))</f>
        <v>#N/A</v>
      </c>
      <c r="W102" s="13" t="e">
        <f>IF(L102&gt;0,IF(VLOOKUP(A102,Dividende_je_Aktie!A$3:AM$103,17,FALSE)&lt;&gt;"",L102+VLOOKUP(A102,Dividende_je_Aktie!A$3:AM$103,17,FALSE),L102),IF(VLOOKUP(A102,Dividende_je_Aktie!A$3:AM$103,17,FALSE)&lt;&gt;"",VLOOKUP(A102,Dividende_je_Aktie!A$3:AM$103,17,FALSE),""))</f>
        <v>#N/A</v>
      </c>
      <c r="X102" s="13" t="e">
        <f>IF(M102&gt;0,IF(VLOOKUP(A102,Dividende_je_Aktie!A$3:AM$103,18,FALSE)&lt;&gt;"",M102+VLOOKUP(A102,Dividende_je_Aktie!A$3:AM$103,18,FALSE),M102),IF(VLOOKUP(A102,Dividende_je_Aktie!A$3:AM$103,18,FALSE)&lt;&gt;"",VLOOKUP(A102,Dividende_je_Aktie!A$3:AM$103,18,FALSE),""))</f>
        <v>#N/A</v>
      </c>
    </row>
    <row r="103" spans="1:24">
      <c r="A103" s="52" t="s">
        <v>304</v>
      </c>
      <c r="B103" s="52"/>
      <c r="C103" s="13" t="e">
        <f>IF(VLOOKUP(A103,Aktien_im_Umlauf_splitbereinigt!A$3:AM$103,4,FALSE)&lt;&gt;"",IF(VLOOKUP(A103,Aktien_im_Umlauf_splitbereinigt!A$3:AM$103,3,FALSE)&lt;&gt;"",IF(VLOOKUP(A103,Schlußkurse!A$5:AU$105,36,FALSE)&gt;0,((VLOOKUP(A103,Aktien_im_Umlauf_splitbereinigt!A$3:AM$103,4,FALSE)-VLOOKUP(A103,Aktien_im_Umlauf_splitbereinigt!A$3:AM$103,3,FALSE))*VLOOKUP(A103,Schlußkurse!A$5:AU$105,36,FALSE))/VLOOKUP(A103,Aktien_im_Umlauf_splitbereinigt!A$3:AM$103,3,FALSE),0),0),0)</f>
        <v>#N/A</v>
      </c>
      <c r="D103" s="97" t="e">
        <f>IF(VLOOKUP(A103,Aktien_im_Umlauf_splitbereinigt!A$3:AM$103,5,FALSE)&lt;&gt;"",IF(VLOOKUP(A103,Aktien_im_Umlauf_splitbereinigt!A$3:AM$103,4,FALSE)&lt;&gt;"",IF(VLOOKUP(A103,Schlußkurse!A$5:AU$105,37,FALSE)&gt;0,((VLOOKUP(A103,Aktien_im_Umlauf_splitbereinigt!A$3:AM$103,5,FALSE)-VLOOKUP(A103,Aktien_im_Umlauf_splitbereinigt!A$3:AM$103,4,FALSE))*VLOOKUP(A103,Schlußkurse!A$5:AU$105,37,FALSE))/VLOOKUP(A103,Aktien_im_Umlauf_splitbereinigt!A$3:AM$103,4,FALSE),0),0),0)</f>
        <v>#N/A</v>
      </c>
      <c r="E103" s="97" t="e">
        <f>IF(VLOOKUP(A103,Aktien_im_Umlauf_splitbereinigt!A$3:AM$103,6,FALSE)&lt;&gt;"",IF(VLOOKUP(A103,Aktien_im_Umlauf_splitbereinigt!A$3:AM$103,5,FALSE)&lt;&gt;"",IF(VLOOKUP(A103,Schlußkurse!A$5:AU$105,38,FALSE)&gt;0,((VLOOKUP(A103,Aktien_im_Umlauf_splitbereinigt!A$3:AM$103,6,FALSE)-VLOOKUP(A103,Aktien_im_Umlauf_splitbereinigt!A$3:AM$103,5,FALSE))*VLOOKUP(A103,Schlußkurse!A$5:AU$105,38,FALSE))/VLOOKUP(A103,Aktien_im_Umlauf_splitbereinigt!A$3:AM$103,5,FALSE),0),0),0)</f>
        <v>#N/A</v>
      </c>
      <c r="F103" s="97" t="e">
        <f>IF(VLOOKUP(A103,Aktien_im_Umlauf_splitbereinigt!A$3:AM$103,7,FALSE)&lt;&gt;"",IF(VLOOKUP(A103,Aktien_im_Umlauf_splitbereinigt!A$3:AM$103,6,FALSE)&lt;&gt;"",IF(VLOOKUP(A103,Schlußkurse!A$5:AU$105,39,FALSE)&gt;0,((VLOOKUP(A103,Aktien_im_Umlauf_splitbereinigt!A$3:AM$103,7,FALSE)-VLOOKUP(A103,Aktien_im_Umlauf_splitbereinigt!A$3:AM$103,6,FALSE))*VLOOKUP(A103,Schlußkurse!A$5:AU$105,39,FALSE))/VLOOKUP(A103,Aktien_im_Umlauf_splitbereinigt!A$3:AM$103,6,FALSE),0),0),0)</f>
        <v>#N/A</v>
      </c>
      <c r="G103" s="97" t="e">
        <f>IF(VLOOKUP(A103,Aktien_im_Umlauf_splitbereinigt!A$3:AM$103,8,FALSE)&lt;&gt;"",IF(VLOOKUP(A103,Aktien_im_Umlauf_splitbereinigt!A$3:AM$103,7,FALSE)&lt;&gt;"",IF(VLOOKUP(A103,Schlußkurse!A$5:AU$105,40,FALSE)&gt;0,((VLOOKUP(A103,Aktien_im_Umlauf_splitbereinigt!A$3:AM$103,8,FALSE)-VLOOKUP(A103,Aktien_im_Umlauf_splitbereinigt!A$3:AM$103,7,FALSE))*VLOOKUP(A103,Schlußkurse!A$5:AU$105,40,FALSE))/VLOOKUP(A103,Aktien_im_Umlauf_splitbereinigt!A$3:AM$103,7,FALSE),0),0),0)</f>
        <v>#N/A</v>
      </c>
      <c r="H103" s="97" t="e">
        <f>IF(VLOOKUP(A103,Aktien_im_Umlauf_splitbereinigt!A$3:AM$103,9,FALSE)&lt;&gt;"",IF(VLOOKUP(A103,Aktien_im_Umlauf_splitbereinigt!A$3:AM$103,8,FALSE)&lt;&gt;"",IF(VLOOKUP(A103,Schlußkurse!A$5:AU$105,41,FALSE)&gt;0,((VLOOKUP(A103,Aktien_im_Umlauf_splitbereinigt!A$3:AM$103,9,FALSE)-VLOOKUP(A103,Aktien_im_Umlauf_splitbereinigt!A$3:AM$103,8,FALSE))*VLOOKUP(A103,Schlußkurse!A$5:AU$105,41,FALSE))/VLOOKUP(A103,Aktien_im_Umlauf_splitbereinigt!A$3:AM$103,8,FALSE),0),0),0)</f>
        <v>#N/A</v>
      </c>
      <c r="I103" s="97" t="e">
        <f>IF(VLOOKUP(A103,Aktien_im_Umlauf_splitbereinigt!A$3:AM$103,10,FALSE)&lt;&gt;"",IF(VLOOKUP(A103,Aktien_im_Umlauf_splitbereinigt!A$3:AM$103,9,FALSE)&lt;&gt;"",IF(VLOOKUP(A103,Schlußkurse!A$5:AU$105,42,FALSE)&gt;0,((VLOOKUP(A103,Aktien_im_Umlauf_splitbereinigt!A$3:AM$103,10,FALSE)-VLOOKUP(A103,Aktien_im_Umlauf_splitbereinigt!A$3:AM$103,9,FALSE))*VLOOKUP(A103,Schlußkurse!A$5:AU$105,42,FALSE))/VLOOKUP(A103,Aktien_im_Umlauf_splitbereinigt!A$3:AM$103,9,FALSE),0),0),0)</f>
        <v>#N/A</v>
      </c>
      <c r="J103" s="97" t="e">
        <f>IF(VLOOKUP(A103,Aktien_im_Umlauf_splitbereinigt!A$3:AM$103,11,FALSE)&lt;&gt;"",IF(VLOOKUP(A103,Aktien_im_Umlauf_splitbereinigt!A$3:AM$103,10,FALSE)&lt;&gt;"",IF(VLOOKUP(A103,Schlußkurse!A$5:AU$105,43,FALSE)&gt;0,((VLOOKUP(A103,Aktien_im_Umlauf_splitbereinigt!A$3:AM$103,11,FALSE)-VLOOKUP(A103,Aktien_im_Umlauf_splitbereinigt!A$3:AM$103,10,FALSE))*VLOOKUP(A103,Schlußkurse!A$5:AU$105,43,FALSE))/VLOOKUP(A103,Aktien_im_Umlauf_splitbereinigt!A$3:AM$103,10,FALSE),0),0),0)</f>
        <v>#N/A</v>
      </c>
      <c r="K103" s="97" t="e">
        <f>IF(VLOOKUP(A103,Aktien_im_Umlauf_splitbereinigt!A$3:AM$103,12,FALSE)&lt;&gt;"",IF(VLOOKUP(A103,Aktien_im_Umlauf_splitbereinigt!A$3:AM$103,11,FALSE)&lt;&gt;"",IF(VLOOKUP(A103,Schlußkurse!A$5:AU$105,44,FALSE)&gt;0,((VLOOKUP(A103,Aktien_im_Umlauf_splitbereinigt!A$3:AM$103,12,FALSE)-VLOOKUP(A103,Aktien_im_Umlauf_splitbereinigt!A$3:AM$103,11,FALSE))*VLOOKUP(A103,Schlußkurse!A$5:AU$105,44,FALSE))/VLOOKUP(A103,Aktien_im_Umlauf_splitbereinigt!A$3:AM$103,11,FALSE),0),0),0)</f>
        <v>#N/A</v>
      </c>
      <c r="L103" s="97" t="e">
        <f>IF(VLOOKUP(A103,Aktien_im_Umlauf_splitbereinigt!A$3:AM$103,13,FALSE)&lt;&gt;"",IF(VLOOKUP(A103,Aktien_im_Umlauf_splitbereinigt!A$3:AM$103,12,FALSE)&lt;&gt;"",IF(VLOOKUP(A103,Schlußkurse!A$5:AU$105,45,FALSE)&gt;0,((VLOOKUP(A103,Aktien_im_Umlauf_splitbereinigt!A$3:AM$103,13,FALSE)-VLOOKUP(A103,Aktien_im_Umlauf_splitbereinigt!A$3:AM$103,12,FALSE))*VLOOKUP(A103,Schlußkurse!A$5:AU$105,45,FALSE))/VLOOKUP(A103,Aktien_im_Umlauf_splitbereinigt!A$3:AM$103,12,FALSE),0),0),0)</f>
        <v>#N/A</v>
      </c>
      <c r="M103" s="97" t="e">
        <f>IF(VLOOKUP(A103,Aktien_im_Umlauf_splitbereinigt!A$3:AM$103,14,FALSE)&lt;&gt;"",IF(VLOOKUP(A103,Aktien_im_Umlauf_splitbereinigt!A$3:AM$103,13,FALSE)&lt;&gt;"",IF(VLOOKUP(A103,Schlußkurse!A$5:AU$105,46,FALSE)&gt;0,((VLOOKUP(A103,Aktien_im_Umlauf_splitbereinigt!A$3:AM$103,14,FALSE)-VLOOKUP(A103,Aktien_im_Umlauf_splitbereinigt!A$3:AM$103,13,FALSE))*VLOOKUP(A103,Schlußkurse!A$5:AU$105,46,FALSE))/VLOOKUP(A103,Aktien_im_Umlauf_splitbereinigt!A$3:AM$103,13,FALSE),0),0),0)</f>
        <v>#N/A</v>
      </c>
      <c r="N103" s="13" t="e">
        <f>IF(C103&gt;0,IF(VLOOKUP(A103,Dividende_je_Aktie!A$3:AM$103,8,FALSE)&lt;&gt;"",C103+VLOOKUP(A103,Dividende_je_Aktie!A$3:AM$103,8,FALSE),C103),IF(VLOOKUP(A103,Dividende_je_Aktie!A$3:AM$103,8,FALSE)&lt;&gt;"",VLOOKUP(A103,Dividende_je_Aktie!A$3:AM$103,8,FALSE),""))</f>
        <v>#N/A</v>
      </c>
      <c r="O103" s="13" t="e">
        <f>IF(D103&gt;0,IF(VLOOKUP(A103,Dividende_je_Aktie!A$3:AM$103,9,FALSE)&lt;&gt;"",D103+VLOOKUP(A103,Dividende_je_Aktie!A$3:AM$103,9,FALSE),D103),IF(VLOOKUP(A103,Dividende_je_Aktie!A$3:AM$103,9,FALSE)&lt;&gt;"",VLOOKUP(A103,Dividende_je_Aktie!A$3:AM$103,9,FALSE),""))</f>
        <v>#N/A</v>
      </c>
      <c r="P103" s="13" t="e">
        <f>IF(E103&gt;0,IF(VLOOKUP(A103,Dividende_je_Aktie!A$3:AM$103,10,FALSE)&lt;&gt;"",E103+VLOOKUP(A103,Dividende_je_Aktie!A$3:AM$103,10,FALSE),E103),IF(VLOOKUP(A103,Dividende_je_Aktie!A$3:AM$103,10,FALSE)&lt;&gt;"",VLOOKUP(A103,Dividende_je_Aktie!A$3:AM$103,10,FALSE),""))</f>
        <v>#N/A</v>
      </c>
      <c r="Q103" s="13" t="e">
        <f>IF(F103&gt;0,IF(VLOOKUP(A103,Dividende_je_Aktie!A$3:AM$103,11,FALSE)&lt;&gt;"",F103+VLOOKUP(A103,Dividende_je_Aktie!A$3:AM$103,11,FALSE),F103),IF(VLOOKUP(A103,Dividende_je_Aktie!A$3:AM$103,11,FALSE)&lt;&gt;"",VLOOKUP(A103,Dividende_je_Aktie!A$3:AM$103,11,FALSE),""))</f>
        <v>#N/A</v>
      </c>
      <c r="R103" s="13" t="e">
        <f>IF(G103&gt;0,IF(VLOOKUP(A103,Dividende_je_Aktie!A$3:AM$103,12,FALSE)&lt;&gt;"",G103+VLOOKUP(A103,Dividende_je_Aktie!A$3:AM$103,12,FALSE),G103),IF(VLOOKUP(A103,Dividende_je_Aktie!A$3:AM$103,12,FALSE)&lt;&gt;"",VLOOKUP(A103,Dividende_je_Aktie!A$3:AM$103,12,FALSE),""))</f>
        <v>#N/A</v>
      </c>
      <c r="S103" s="13" t="e">
        <f>IF(H103&gt;0,IF(VLOOKUP(A103,Dividende_je_Aktie!A$3:AM$103,13,FALSE)&lt;&gt;"",H103+VLOOKUP(A103,Dividende_je_Aktie!A$3:AM$103,13,FALSE),H103),IF(VLOOKUP(A103,Dividende_je_Aktie!A$3:AM$103,13,FALSE)&lt;&gt;"",VLOOKUP(A103,Dividende_je_Aktie!A$3:AM$103,13,FALSE),""))</f>
        <v>#N/A</v>
      </c>
      <c r="T103" s="13" t="e">
        <f>IF(I103&gt;0,IF(VLOOKUP(A103,Dividende_je_Aktie!A$3:AM$103,14,FALSE)&lt;&gt;"",I103+VLOOKUP(A103,Dividende_je_Aktie!A$3:AM$103,14,FALSE),I103),IF(VLOOKUP(A103,Dividende_je_Aktie!A$3:AM$103,14,FALSE)&lt;&gt;"",VLOOKUP(A103,Dividende_je_Aktie!A$3:AM$103,14,FALSE),""))</f>
        <v>#N/A</v>
      </c>
      <c r="U103" s="13" t="e">
        <f>IF(J103&gt;0,IF(VLOOKUP(A103,Dividende_je_Aktie!A$3:AM$103,15,FALSE)&lt;&gt;"",J103+VLOOKUP(A103,Dividende_je_Aktie!A$3:AM$103,15,FALSE),J103),IF(VLOOKUP(A103,Dividende_je_Aktie!A$3:AM$103,15,FALSE)&lt;&gt;"",VLOOKUP(A103,Dividende_je_Aktie!A$3:AM$103,15,FALSE),""))</f>
        <v>#N/A</v>
      </c>
      <c r="V103" s="13" t="e">
        <f>IF(K103&gt;0,IF(VLOOKUP(A103,Dividende_je_Aktie!A$3:AM$103,16,FALSE)&lt;&gt;"",K103+VLOOKUP(A103,Dividende_je_Aktie!A$3:AM$103,16,FALSE),K103),IF(VLOOKUP(A103,Dividende_je_Aktie!A$3:AM$103,16,FALSE)&lt;&gt;"",VLOOKUP(A103,Dividende_je_Aktie!A$3:AM$103,16,FALSE),""))</f>
        <v>#N/A</v>
      </c>
      <c r="W103" s="13" t="e">
        <f>IF(L103&gt;0,IF(VLOOKUP(A103,Dividende_je_Aktie!A$3:AM$103,17,FALSE)&lt;&gt;"",L103+VLOOKUP(A103,Dividende_je_Aktie!A$3:AM$103,17,FALSE),L103),IF(VLOOKUP(A103,Dividende_je_Aktie!A$3:AM$103,17,FALSE)&lt;&gt;"",VLOOKUP(A103,Dividende_je_Aktie!A$3:AM$103,17,FALSE),""))</f>
        <v>#N/A</v>
      </c>
      <c r="X103" s="13" t="e">
        <f>IF(M103&gt;0,IF(VLOOKUP(A103,Dividende_je_Aktie!A$3:AM$103,18,FALSE)&lt;&gt;"",M103+VLOOKUP(A103,Dividende_je_Aktie!A$3:AM$103,18,FALSE),M103),IF(VLOOKUP(A103,Dividende_je_Aktie!A$3:AM$103,18,FALSE)&lt;&gt;"",VLOOKUP(A103,Dividende_je_Aktie!A$3:AM$103,18,FALSE),""))</f>
        <v>#N/A</v>
      </c>
    </row>
  </sheetData>
  <autoFilter ref="A3:X3">
    <sortState ref="A4:X103">
      <sortCondition ref="B3"/>
    </sortState>
  </autoFilter>
  <mergeCells count="2">
    <mergeCell ref="C1:M1"/>
    <mergeCell ref="N1:X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0.42578125" bestFit="1" customWidth="1"/>
    <col min="4" max="4" width="13.7109375" customWidth="1"/>
    <col min="5" max="5" width="11.140625" bestFit="1" customWidth="1"/>
    <col min="6" max="6" width="15.140625" bestFit="1" customWidth="1"/>
    <col min="7" max="7" width="14.7109375" bestFit="1" customWidth="1"/>
    <col min="8" max="8" width="15.140625" customWidth="1"/>
    <col min="9" max="9" width="14.42578125" customWidth="1"/>
    <col min="10" max="17" width="14.85546875" customWidth="1"/>
    <col min="18" max="18" width="15.85546875" customWidth="1"/>
    <col min="19" max="19" width="18" customWidth="1"/>
    <col min="20" max="20" width="15.140625" bestFit="1" customWidth="1"/>
    <col min="21" max="21" width="14.7109375" bestFit="1" customWidth="1"/>
    <col min="22" max="22" width="15.140625" bestFit="1" customWidth="1"/>
    <col min="23" max="23" width="14.42578125" bestFit="1" customWidth="1"/>
    <col min="24" max="25" width="14.85546875" bestFit="1" customWidth="1"/>
    <col min="26" max="26" width="14.85546875" customWidth="1"/>
    <col min="27" max="31" width="14.85546875" bestFit="1" customWidth="1"/>
    <col min="32" max="32" width="15.85546875" bestFit="1" customWidth="1"/>
    <col min="33" max="33" width="18" customWidth="1"/>
    <col min="34" max="34" width="15.140625" customWidth="1"/>
    <col min="35" max="35" width="14.7109375" bestFit="1" customWidth="1"/>
    <col min="36" max="36" width="15.140625" customWidth="1"/>
    <col min="37" max="37" width="20.140625" customWidth="1"/>
    <col min="38" max="38" width="33.42578125" customWidth="1"/>
  </cols>
  <sheetData>
    <row r="1" spans="1:38">
      <c r="A1" s="1"/>
      <c r="B1" s="1"/>
      <c r="C1" s="37"/>
      <c r="D1" s="37"/>
      <c r="E1" s="37"/>
      <c r="F1" s="111" t="s">
        <v>307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 t="s">
        <v>308</v>
      </c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0" t="s">
        <v>109</v>
      </c>
      <c r="AI1" s="110"/>
      <c r="AJ1" s="110"/>
      <c r="AK1" s="1"/>
      <c r="AL1" s="1"/>
    </row>
    <row r="2" spans="1:38">
      <c r="A2" s="1"/>
      <c r="B2" s="1"/>
      <c r="C2" s="111" t="s">
        <v>160</v>
      </c>
      <c r="D2" s="111"/>
      <c r="E2" s="111"/>
      <c r="F2" s="37">
        <v>2018</v>
      </c>
      <c r="G2" s="37">
        <v>2017</v>
      </c>
      <c r="H2" s="37">
        <v>2016</v>
      </c>
      <c r="I2" s="37">
        <v>2015</v>
      </c>
      <c r="J2" s="37">
        <v>2014</v>
      </c>
      <c r="K2" s="37">
        <v>2013</v>
      </c>
      <c r="L2" s="37">
        <v>2012</v>
      </c>
      <c r="M2" s="37">
        <v>2011</v>
      </c>
      <c r="N2" s="37">
        <v>2010</v>
      </c>
      <c r="O2" s="37">
        <v>2009</v>
      </c>
      <c r="P2" s="37">
        <v>2008</v>
      </c>
      <c r="Q2" s="37">
        <v>2007</v>
      </c>
      <c r="R2" s="37">
        <v>2006</v>
      </c>
      <c r="S2" s="37"/>
      <c r="T2" s="37">
        <v>2018</v>
      </c>
      <c r="U2" s="37">
        <v>2017</v>
      </c>
      <c r="V2" s="37">
        <v>2016</v>
      </c>
      <c r="W2" s="37">
        <v>2015</v>
      </c>
      <c r="X2" s="37">
        <v>2014</v>
      </c>
      <c r="Y2" s="37">
        <v>2013</v>
      </c>
      <c r="Z2" s="37">
        <v>2012</v>
      </c>
      <c r="AA2" s="37">
        <v>2011</v>
      </c>
      <c r="AB2" s="37">
        <v>2010</v>
      </c>
      <c r="AC2" s="37">
        <v>2009</v>
      </c>
      <c r="AD2" s="37">
        <v>2008</v>
      </c>
      <c r="AE2" s="37">
        <v>2007</v>
      </c>
      <c r="AF2" s="37">
        <v>2006</v>
      </c>
      <c r="AG2" s="37"/>
      <c r="AH2" s="1">
        <f>F2</f>
        <v>2018</v>
      </c>
      <c r="AI2" s="1">
        <f>G2</f>
        <v>2017</v>
      </c>
      <c r="AJ2" s="1">
        <f>H2</f>
        <v>2016</v>
      </c>
      <c r="AK2" s="1"/>
      <c r="AL2" s="1"/>
    </row>
    <row r="3" spans="1:38">
      <c r="A3" s="1" t="s">
        <v>0</v>
      </c>
      <c r="B3" s="1" t="s">
        <v>1</v>
      </c>
      <c r="C3" s="37" t="s">
        <v>161</v>
      </c>
      <c r="D3" s="37" t="s">
        <v>162</v>
      </c>
      <c r="E3" s="37" t="s">
        <v>132</v>
      </c>
      <c r="F3" s="37" t="s">
        <v>163</v>
      </c>
      <c r="G3" s="37" t="s">
        <v>106</v>
      </c>
      <c r="H3" s="37" t="s">
        <v>107</v>
      </c>
      <c r="I3" s="37" t="s">
        <v>96</v>
      </c>
      <c r="J3" s="37" t="s">
        <v>97</v>
      </c>
      <c r="K3" s="37" t="s">
        <v>98</v>
      </c>
      <c r="L3" s="37" t="s">
        <v>99</v>
      </c>
      <c r="M3" s="37" t="s">
        <v>100</v>
      </c>
      <c r="N3" s="37" t="s">
        <v>101</v>
      </c>
      <c r="O3" s="37" t="s">
        <v>102</v>
      </c>
      <c r="P3" s="37" t="s">
        <v>103</v>
      </c>
      <c r="Q3" s="37" t="s">
        <v>104</v>
      </c>
      <c r="R3" s="37" t="s">
        <v>105</v>
      </c>
      <c r="S3" s="37" t="s">
        <v>115</v>
      </c>
      <c r="T3" s="37" t="s">
        <v>163</v>
      </c>
      <c r="U3" s="37" t="s">
        <v>106</v>
      </c>
      <c r="V3" s="37" t="s">
        <v>107</v>
      </c>
      <c r="W3" s="37" t="s">
        <v>96</v>
      </c>
      <c r="X3" s="37" t="s">
        <v>97</v>
      </c>
      <c r="Y3" s="37" t="s">
        <v>98</v>
      </c>
      <c r="Z3" s="37" t="s">
        <v>99</v>
      </c>
      <c r="AA3" s="37" t="s">
        <v>100</v>
      </c>
      <c r="AB3" s="37" t="s">
        <v>101</v>
      </c>
      <c r="AC3" s="37" t="s">
        <v>102</v>
      </c>
      <c r="AD3" s="37" t="s">
        <v>103</v>
      </c>
      <c r="AE3" s="37" t="s">
        <v>104</v>
      </c>
      <c r="AF3" s="37" t="s">
        <v>105</v>
      </c>
      <c r="AG3" s="37" t="s">
        <v>115</v>
      </c>
      <c r="AH3" s="1" t="s">
        <v>163</v>
      </c>
      <c r="AI3" s="1" t="s">
        <v>106</v>
      </c>
      <c r="AJ3" s="1" t="s">
        <v>107</v>
      </c>
      <c r="AK3" s="1" t="s">
        <v>130</v>
      </c>
      <c r="AL3" s="1" t="s">
        <v>116</v>
      </c>
    </row>
    <row r="4" spans="1:38">
      <c r="A4" t="s">
        <v>78</v>
      </c>
      <c r="B4" t="s">
        <v>159</v>
      </c>
      <c r="C4" s="60">
        <v>31</v>
      </c>
      <c r="D4" s="60">
        <v>12</v>
      </c>
      <c r="E4" s="60">
        <v>2016</v>
      </c>
      <c r="F4" s="71">
        <f>IF(VLOOKUP(A4,Dividende_je_Aktie!A$3:AM$103,6,FALSE)&lt;&gt;"",IF(VLOOKUP(A4,Ergebnis_je_Aktie_verwässert!A$3:AK$103,6,FALSE)&lt;&gt;"",IF(VLOOKUP(A4,Ergebnis_je_Aktie_verwässert!A$3:AK$103,6,FALSE)&lt;=0,2,IF(VLOOKUP(A4,Dividende_je_Aktie!A$3:AM$103,6,FALSE)/VLOOKUP(A4,Ergebnis_je_Aktie_verwässert!A$3:AK$103,6,FALSE)&gt;=2,2,VLOOKUP(A4,Dividende_je_Aktie!A$3:AM$103,6,FALSE)/VLOOKUP(A4,Ergebnis_je_Aktie_verwässert!A$3:AK$103,6,FALSE))),""),"")</f>
        <v>0.64319248826291076</v>
      </c>
      <c r="G4" s="71">
        <f>IF(VLOOKUP(A4,Dividende_je_Aktie!A$3:AM$103,7,FALSE)&lt;&gt;"",IF(VLOOKUP(A4,Ergebnis_je_Aktie_verwässert!A$3:AK$103,7,FALSE)&lt;&gt;"",IF(VLOOKUP(A4,Ergebnis_je_Aktie_verwässert!A$3:AK$103,7,FALSE)&lt;=0,2,IF(VLOOKUP(A4,Dividende_je_Aktie!A$3:AM$103,7,FALSE)/VLOOKUP(A4,Ergebnis_je_Aktie_verwässert!A$3:AK$103,7,FALSE)&gt;=2,2,VLOOKUP(A4,Dividende_je_Aktie!A$3:AM$103,7,FALSE)/VLOOKUP(A4,Ergebnis_je_Aktie_verwässert!A$3:AK$103,7,FALSE))),""),"")</f>
        <v>0.68617021276595747</v>
      </c>
      <c r="H4" s="71">
        <f>IF(VLOOKUP(A4,Fiktive_Dividende!A$3:AM$103,14,FALSE)&lt;&gt;"",IF(VLOOKUP(A4,Ergebnis_je_Aktie_verwässert!A$3:AK$103,8,FALSE)&lt;&gt;"",IF(VLOOKUP(A4,Ergebnis_je_Aktie_verwässert!A$3:AK$103,8,FALSE)&lt;=0,2,IF(VLOOKUP(A4,Fiktive_Dividende!A$3:AM$103,14,FALSE)/VLOOKUP(A4,Ergebnis_je_Aktie_verwässert!A$3:AK$103,8,FALSE)&gt;=2,2,VLOOKUP(A4,Fiktive_Dividende!A$3:AM$103,14,FALSE)/VLOOKUP(A4,Ergebnis_je_Aktie_verwässert!A$3:AK$103,8,FALSE))),""),"")</f>
        <v>0.77070063694267521</v>
      </c>
      <c r="I4" s="71">
        <f>IF(VLOOKUP(A4,Fiktive_Dividende!A$3:AM$103,15,FALSE)&lt;&gt;"",IF(VLOOKUP(A4,Ergebnis_je_Aktie_verwässert!A$3:AK$103,9,FALSE)&lt;&gt;"",IF(VLOOKUP(A4,Ergebnis_je_Aktie_verwässert!A$3:AK$103,9,FALSE)&lt;=0,2,IF(VLOOKUP(A4,Fiktive_Dividende!A$3:AM$103,15,FALSE)/VLOOKUP(A4,Ergebnis_je_Aktie_verwässert!A$3:AK$103,9,FALSE)&gt;=2,2,VLOOKUP(A4,Fiktive_Dividende!A$3:AM$103,15,FALSE)/VLOOKUP(A4,Ergebnis_je_Aktie_verwässert!A$3:AK$103,9,FALSE))),""),"")</f>
        <v>0.75757575757575757</v>
      </c>
      <c r="J4" s="71">
        <f>IF(VLOOKUP(A4,Fiktive_Dividende!A$3:AM$103,16,FALSE)&lt;&gt;"",IF(VLOOKUP(A4,Ergebnis_je_Aktie_verwässert!A$3:AK$103,10,FALSE)&lt;&gt;"",IF(VLOOKUP(A4,Ergebnis_je_Aktie_verwässert!A$3:AK$103,10,FALSE)&lt;=0,2,IF(VLOOKUP(A4,Fiktive_Dividende!A$3:AM$103,16,FALSE)/VLOOKUP(A4,Ergebnis_je_Aktie_verwässert!A$3:AK$103,10,FALSE)&gt;=2,2,VLOOKUP(A4,Fiktive_Dividende!A$3:AM$103,16,FALSE)/VLOOKUP(A4,Ergebnis_je_Aktie_verwässert!A$3:AK$103,10,FALSE))),""),"")</f>
        <v>0.64978140558982866</v>
      </c>
      <c r="K4" s="71">
        <f>IF(VLOOKUP(A4,Fiktive_Dividende!A$3:AM$103,17,FALSE)&lt;&gt;"",IF(VLOOKUP(A4,Ergebnis_je_Aktie_verwässert!A$3:AK$103,11,FALSE)&lt;&gt;"",IF(VLOOKUP(A4,Ergebnis_je_Aktie_verwässert!A$3:AK$103,11,FALSE)&lt;=0,2,IF(VLOOKUP(A4,Fiktive_Dividende!A$3:AM$103,17,FALSE)/VLOOKUP(A4,Ergebnis_je_Aktie_verwässert!A$3:AK$103,11,FALSE)&gt;=2,2,VLOOKUP(A4,Fiktive_Dividende!A$3:AM$103,17,FALSE)/VLOOKUP(A4,Ergebnis_je_Aktie_verwässert!A$3:AK$103,11,FALSE))),""),"")</f>
        <v>0.63273340832395941</v>
      </c>
      <c r="L4" s="71">
        <f>IF(VLOOKUP(A4,Fiktive_Dividende!A$3:AM$103,18,FALSE)&lt;&gt;"",IF(VLOOKUP(A4,Ergebnis_je_Aktie_verwässert!A$3:AK$103,12,FALSE)&lt;&gt;"",IF(VLOOKUP(A4,Ergebnis_je_Aktie_verwässert!A$3:AK$103,12,FALSE)&lt;=0,2,IF(VLOOKUP(A4,Fiktive_Dividende!A$3:AM$103,18,FALSE)/VLOOKUP(A4,Ergebnis_je_Aktie_verwässert!A$3:AK$103,12,FALSE)&gt;=2,2,VLOOKUP(A4,Fiktive_Dividende!A$3:AM$103,18,FALSE)/VLOOKUP(A4,Ergebnis_je_Aktie_verwässert!A$3:AK$103,12,FALSE))),""),"")</f>
        <v>0.51082677165354329</v>
      </c>
      <c r="M4" s="71">
        <f>IF(VLOOKUP(A4,Fiktive_Dividende!A$3:AM$103,19,FALSE)&lt;&gt;"",IF(VLOOKUP(A4,Ergebnis_je_Aktie_verwässert!A$3:AK$103,13,FALSE)&lt;&gt;"",IF(VLOOKUP(A4,Ergebnis_je_Aktie_verwässert!A$3:AK$103,13,FALSE)&lt;=0,2,IF(VLOOKUP(A4,Fiktive_Dividende!A$3:AM$103,19,FALSE)/VLOOKUP(A4,Ergebnis_je_Aktie_verwässert!A$3:AK$103,13,FALSE)&gt;=2,2,VLOOKUP(A4,Fiktive_Dividende!A$3:AM$103,19,FALSE)/VLOOKUP(A4,Ergebnis_je_Aktie_verwässert!A$3:AK$103,13,FALSE))),""),"")</f>
        <v>0.68569589199370118</v>
      </c>
      <c r="N4" s="71">
        <f>IF(VLOOKUP(A4,Fiktive_Dividende!A$3:AM$103,20,FALSE)&lt;&gt;"",IF(VLOOKUP(A4,Ergebnis_je_Aktie_verwässert!A$3:AK$103,14,FALSE)&lt;&gt;"",IF(VLOOKUP(A4,Ergebnis_je_Aktie_verwässert!A$3:AK$103,14,FALSE)&lt;=0,2,IF(VLOOKUP(A4,Fiktive_Dividende!A$3:AM$103,20,FALSE)/VLOOKUP(A4,Ergebnis_je_Aktie_verwässert!A$3:AK$103,14,FALSE)&gt;=2,2,VLOOKUP(A4,Fiktive_Dividende!A$3:AM$103,20,FALSE)/VLOOKUP(A4,Ergebnis_je_Aktie_verwässert!A$3:AK$103,14,FALSE))),""),"")</f>
        <v>1.0179982027063577</v>
      </c>
      <c r="O4" s="71">
        <f>IF(VLOOKUP(A4,Fiktive_Dividende!A$3:AM$103,21,FALSE)&lt;&gt;"",IF(VLOOKUP(A4,Ergebnis_je_Aktie_verwässert!A$3:AK$103,15,FALSE)&lt;&gt;"",IF(VLOOKUP(A4,Ergebnis_je_Aktie_verwässert!A$3:AK$103,15,FALSE)&lt;=0,2,IF(VLOOKUP(A4,Fiktive_Dividende!A$3:AM$103,21,FALSE)/VLOOKUP(A4,Ergebnis_je_Aktie_verwässert!A$3:AK$103,15,FALSE)&gt;=2,2,VLOOKUP(A4,Fiktive_Dividende!A$3:AM$103,21,FALSE)/VLOOKUP(A4,Ergebnis_je_Aktie_verwässert!A$3:AK$103,15,FALSE))),""),"")</f>
        <v>0.85032838389301568</v>
      </c>
      <c r="P4" s="71">
        <f>IF(VLOOKUP(A4,Fiktive_Dividende!A$3:AM$103,22,FALSE)&lt;&gt;"",IF(VLOOKUP(A4,Ergebnis_je_Aktie_verwässert!A$3:AK$103,16,FALSE)&lt;&gt;"",IF(VLOOKUP(A4,Ergebnis_je_Aktie_verwässert!A$3:AK$103,16,FALSE)&lt;=0,2,IF(VLOOKUP(A4,Fiktive_Dividende!A$3:AM$103,22,FALSE)/VLOOKUP(A4,Ergebnis_je_Aktie_verwässert!A$3:AK$103,16,FALSE)&gt;=2,2,VLOOKUP(A4,Fiktive_Dividende!A$3:AM$103,22,FALSE)/VLOOKUP(A4,Ergebnis_je_Aktie_verwässert!A$3:AK$103,16,FALSE))),""),"")</f>
        <v>0.87480952874728213</v>
      </c>
      <c r="Q4" s="71">
        <f>IF(VLOOKUP(A4,Fiktive_Dividende!A$3:AM$103,23,FALSE)&lt;&gt;"",IF(VLOOKUP(A4,Ergebnis_je_Aktie_verwässert!A$3:AK$103,17,FALSE)&lt;&gt;"",IF(VLOOKUP(A4,Ergebnis_je_Aktie_verwässert!A$3:AK$103,17,FALSE)&lt;=0,2,IF(VLOOKUP(A4,Fiktive_Dividende!A$3:AM$103,23,FALSE)/VLOOKUP(A4,Ergebnis_je_Aktie_verwässert!A$3:AK$103,17,FALSE)&gt;=2,2,VLOOKUP(A4,Fiktive_Dividende!A$3:AM$103,23,FALSE)/VLOOKUP(A4,Ergebnis_je_Aktie_verwässert!A$3:AK$103,17,FALSE))),""),"")</f>
        <v>1.124408723209074</v>
      </c>
      <c r="R4" s="71">
        <f>IF(VLOOKUP(A4,Fiktive_Dividende!A$3:AM$103,24,FALSE)&lt;&gt;"",IF(VLOOKUP(A4,Ergebnis_je_Aktie_verwässert!A$3:AK$103,18,FALSE)&lt;&gt;"",IF(VLOOKUP(A4,Ergebnis_je_Aktie_verwässert!A$3:AK$103,18,FALSE)&lt;=0,2,IF(VLOOKUP(A4,Fiktive_Dividende!A$3:AM$103,24,FALSE)/VLOOKUP(A4,Ergebnis_je_Aktie_verwässert!A$3:AK$103,18,FALSE)&gt;=2,2,VLOOKUP(A4,Fiktive_Dividende!A$3:AM$103,24,FALSE)/VLOOKUP(A4,Ergebnis_je_Aktie_verwässert!A$3:AK$103,18,FALSE))),""),"")</f>
        <v>1.0918934827377365</v>
      </c>
      <c r="S4" s="105">
        <f t="shared" ref="S4:S35" si="0">AVERAGE(F4:R4)</f>
        <v>0.79200883803090771</v>
      </c>
      <c r="T4" s="71">
        <f>IF(VLOOKUP(A4,Dividende_je_Aktie!A$3:AM$103,6,FALSE)&lt;&gt;"",IF(VLOOKUP(A4,Ergebnis_je_Aktie_verwässert!A$3:AK$103,6,FALSE)&lt;&gt;"",IF(VLOOKUP(A4,Ergebnis_je_Aktie_verwässert!A$3:AK$103,6,FALSE)&lt;=0,2,IF(VLOOKUP(A4,Dividende_je_Aktie!A$3:AM$103,6,FALSE)/VLOOKUP(A4,Ergebnis_je_Aktie_verwässert!A$3:AK$103,6,FALSE)&gt;=2,2,VLOOKUP(A4,Dividende_je_Aktie!A$3:AM$103,6,FALSE)/VLOOKUP(A4,Ergebnis_je_Aktie_verwässert!A$3:AK$103,6,FALSE))),""),"")</f>
        <v>0.64319248826291076</v>
      </c>
      <c r="U4" s="71">
        <f>IF(VLOOKUP(A4,Dividende_je_Aktie!A$3:AM$103,7,FALSE)&lt;&gt;"",IF(VLOOKUP(A4,Ergebnis_je_Aktie_verwässert!A$3:AK$103,7,FALSE)&lt;&gt;"",IF(VLOOKUP(A4,Ergebnis_je_Aktie_verwässert!A$3:AK$103,7,FALSE)&lt;=0,2,IF(VLOOKUP(A4,Dividende_je_Aktie!A$3:AM$103,7,FALSE)/VLOOKUP(A4,Ergebnis_je_Aktie_verwässert!A$3:AK$103,7,FALSE)&gt;=2,2,VLOOKUP(A4,Dividende_je_Aktie!A$3:AM$103,7,FALSE)/VLOOKUP(A4,Ergebnis_je_Aktie_verwässert!A$3:AK$103,7,FALSE))),""),"")</f>
        <v>0.68617021276595747</v>
      </c>
      <c r="V4" s="71">
        <f>IF(VLOOKUP(A4,Dividende_je_Aktie!A$3:AM$103,8,FALSE)&lt;&gt;"",IF(VLOOKUP(A4,Ergebnis_je_Aktie_verwässert!A$3:AK$103,8,FALSE)&lt;&gt;"",IF(VLOOKUP(A4,Ergebnis_je_Aktie_verwässert!A$3:AK$103,8,FALSE)&lt;=0,2,IF(VLOOKUP(A4,Dividende_je_Aktie!A$3:AM$103,8,FALSE)/VLOOKUP(A4,Ergebnis_je_Aktie_verwässert!A$3:AK$103,8,FALSE)&gt;=2,2,VLOOKUP(A4,Dividende_je_Aktie!A$3:AM$103,8,FALSE)/VLOOKUP(A4,Ergebnis_je_Aktie_verwässert!A$3:AK$103,8,FALSE))),""),"")</f>
        <v>0.77070063694267521</v>
      </c>
      <c r="W4" s="71">
        <f>IF(VLOOKUP(A4,Dividende_je_Aktie!A$3:AM$103,9,FALSE)&lt;&gt;"",IF(VLOOKUP(A4,Ergebnis_je_Aktie_verwässert!A$3:AK$103,9,FALSE)&lt;&gt;"",IF(VLOOKUP(A4,Ergebnis_je_Aktie_verwässert!A$3:AK$103,9,FALSE)&lt;=0,2,IF(VLOOKUP(A4,Dividende_je_Aktie!A$3:AM$103,9,FALSE)/VLOOKUP(A4,Ergebnis_je_Aktie_verwässert!A$3:AK$103,9,FALSE)&gt;=2,2,VLOOKUP(A4,Dividende_je_Aktie!A$3:AM$103,9,FALSE)/VLOOKUP(A4,Ergebnis_je_Aktie_verwässert!A$3:AK$103,9,FALSE))),""),"")</f>
        <v>0.75757575757575757</v>
      </c>
      <c r="X4" s="71">
        <f>IF(VLOOKUP(A4,Dividende_je_Aktie!A$3:AM$103,10,FALSE)&lt;&gt;"",IF(VLOOKUP(A4,Ergebnis_je_Aktie_verwässert!A$3:AK$103,10,FALSE)&lt;&gt;"",IF(VLOOKUP(A4,Ergebnis_je_Aktie_verwässert!A$3:AK$103,10,FALSE)&lt;=0,2,IF(VLOOKUP(A4,Dividende_je_Aktie!A$3:AM$103,10,FALSE)/VLOOKUP(A4,Ergebnis_je_Aktie_verwässert!A$3:AK$103,10,FALSE)&gt;=2,2,VLOOKUP(A4,Dividende_je_Aktie!A$3:AM$103,10,FALSE)/VLOOKUP(A4,Ergebnis_je_Aktie_verwässert!A$3:AK$103,10,FALSE))),""),"")</f>
        <v>0.63181818181818172</v>
      </c>
      <c r="Y4" s="71">
        <f>IF(VLOOKUP(A4,Dividende_je_Aktie!A$3:AM$103,11,FALSE)&lt;&gt;"",IF(VLOOKUP(A4,Ergebnis_je_Aktie_verwässert!A$3:AK$103,11,FALSE)&lt;&gt;"",IF(VLOOKUP(A4,Ergebnis_je_Aktie_verwässert!A$3:AK$103,11,FALSE)&lt;=0,2,IF(VLOOKUP(A4,Dividende_je_Aktie!A$3:AM$103,11,FALSE)/VLOOKUP(A4,Ergebnis_je_Aktie_verwässert!A$3:AK$103,11,FALSE)&gt;=2,2,VLOOKUP(A4,Dividende_je_Aktie!A$3:AM$103,11,FALSE)/VLOOKUP(A4,Ergebnis_je_Aktie_verwässert!A$3:AK$103,11,FALSE))),""),"")</f>
        <v>0.63273340832395941</v>
      </c>
      <c r="Z4" s="71">
        <f>IF(VLOOKUP(A4,Dividende_je_Aktie!A$3:AM$103,12,FALSE)&lt;&gt;"",IF(VLOOKUP(A4,Ergebnis_je_Aktie_verwässert!A$3:AK$103,12,FALSE)&lt;&gt;"",IF(VLOOKUP(A4,Ergebnis_je_Aktie_verwässert!A$3:AK$103,12,FALSE)&lt;=0,2,IF(VLOOKUP(A4,Dividende_je_Aktie!A$3:AM$103,12,FALSE)/VLOOKUP(A4,Ergebnis_je_Aktie_verwässert!A$3:AK$103,12,FALSE)&gt;=2,2,VLOOKUP(A4,Dividende_je_Aktie!A$3:AM$103,12,FALSE)/VLOOKUP(A4,Ergebnis_je_Aktie_verwässert!A$3:AK$103,12,FALSE))),""),"")</f>
        <v>0.51082677165354329</v>
      </c>
      <c r="AA4" s="71">
        <f>IF(VLOOKUP(A4,Dividende_je_Aktie!A$3:AM$103,13,FALSE)&lt;&gt;"",IF(VLOOKUP(A4,Ergebnis_je_Aktie_verwässert!A$3:AK$103,13,FALSE)&lt;&gt;"",IF(VLOOKUP(A4,Ergebnis_je_Aktie_verwässert!A$3:AK$103,13,FALSE)&lt;=0,2,IF(VLOOKUP(A4,Dividende_je_Aktie!A$3:AM$103,13,FALSE)/VLOOKUP(A4,Ergebnis_je_Aktie_verwässert!A$3:AK$103,13,FALSE)&gt;=2,2,VLOOKUP(A4,Dividende_je_Aktie!A$3:AM$103,13,FALSE)/VLOOKUP(A4,Ergebnis_je_Aktie_verwässert!A$3:AK$103,13,FALSE))),""),"")</f>
        <v>0.50953206239168114</v>
      </c>
      <c r="AB4" s="71">
        <f>IF(VLOOKUP(A4,Dividende_je_Aktie!A$3:AM$103,14,FALSE)&lt;&gt;"",IF(VLOOKUP(A4,Ergebnis_je_Aktie_verwässert!A$3:AK$103,14,FALSE)&lt;&gt;"",IF(VLOOKUP(A4,Ergebnis_je_Aktie_verwässert!A$3:AK$103,14,FALSE)&lt;=0,2,IF(VLOOKUP(A4,Dividende_je_Aktie!A$3:AM$103,14,FALSE)/VLOOKUP(A4,Ergebnis_je_Aktie_verwässert!A$3:AK$103,14,FALSE)&gt;=2,2,VLOOKUP(A4,Dividende_je_Aktie!A$3:AM$103,14,FALSE)/VLOOKUP(A4,Ergebnis_je_Aktie_verwässert!A$3:AK$103,14,FALSE))),""),"")</f>
        <v>0.50967311541027349</v>
      </c>
      <c r="AC4" s="71">
        <f>IF(VLOOKUP(A4,Dividende_je_Aktie!A$3:AM$103,15,FALSE)&lt;&gt;"",IF(VLOOKUP(A4,Ergebnis_je_Aktie_verwässert!A$3:AK$103,15,FALSE)&lt;&gt;"",IF(VLOOKUP(A4,Ergebnis_je_Aktie_verwässert!A$3:AK$103,15,FALSE)&lt;=0,2,IF(VLOOKUP(A4,Dividende_je_Aktie!A$3:AM$103,15,FALSE)/VLOOKUP(A4,Ergebnis_je_Aktie_verwässert!A$3:AK$103,15,FALSE)&gt;=2,2,VLOOKUP(A4,Dividende_je_Aktie!A$3:AM$103,15,FALSE)/VLOOKUP(A4,Ergebnis_je_Aktie_verwässert!A$3:AK$103,15,FALSE))),""),"")</f>
        <v>0.38372093023255816</v>
      </c>
      <c r="AD4" s="71">
        <f>IF(VLOOKUP(A4,Dividende_je_Aktie!A$3:AM$103,16,FALSE)&lt;&gt;"",IF(VLOOKUP(A4,Ergebnis_je_Aktie_verwässert!A$3:AK$103,16,FALSE)&lt;&gt;"",IF(VLOOKUP(A4,Ergebnis_je_Aktie_verwässert!A$3:AK$103,16,FALSE)&lt;=0,2,IF(VLOOKUP(A4,Dividende_je_Aktie!A$3:AM$103,16,FALSE)/VLOOKUP(A4,Ergebnis_je_Aktie_verwässert!A$3:AK$103,16,FALSE)&gt;=2,2,VLOOKUP(A4,Dividende_je_Aktie!A$3:AM$103,16,FALSE)/VLOOKUP(A4,Ergebnis_je_Aktie_verwässert!A$3:AK$103,16,FALSE))),""),"")</f>
        <v>0.36021872863978122</v>
      </c>
      <c r="AE4" s="71">
        <f>IF(VLOOKUP(A4,Dividende_je_Aktie!A$3:AM$103,17,FALSE)&lt;&gt;"",IF(VLOOKUP(A4,Ergebnis_je_Aktie_verwässert!A$3:AK$103,17,FALSE)&lt;&gt;"",IF(VLOOKUP(A4,Ergebnis_je_Aktie_verwässert!A$3:AK$103,17,FALSE)&lt;=0,2,IF(VLOOKUP(A4,Dividende_je_Aktie!A$3:AM$103,17,FALSE)/VLOOKUP(A4,Ergebnis_je_Aktie_verwässert!A$3:AK$103,17,FALSE)&gt;=2,2,VLOOKUP(A4,Dividende_je_Aktie!A$3:AM$103,17,FALSE)/VLOOKUP(A4,Ergebnis_je_Aktie_verwässert!A$3:AK$103,17,FALSE))),""),"")</f>
        <v>0.41681260945709281</v>
      </c>
      <c r="AF4" s="71">
        <f>IF(VLOOKUP(A4,Dividende_je_Aktie!A$3:AM$103,18,FALSE)&lt;&gt;"",IF(VLOOKUP(A4,Ergebnis_je_Aktie_verwässert!A$3:AK$103,18,FALSE)&lt;&gt;"",IF(VLOOKUP(A4,Ergebnis_je_Aktie_verwässert!A$3:AK$103,18,FALSE)&lt;=0,2,IF(VLOOKUP(A4,Dividende_je_Aktie!A$3:AM$103,18,FALSE)/VLOOKUP(A4,Ergebnis_je_Aktie_verwässert!A$3:AK$103,18,FALSE)&gt;=2,2,VLOOKUP(A4,Dividende_je_Aktie!A$3:AM$103,18,FALSE)/VLOOKUP(A4,Ergebnis_je_Aktie_verwässert!A$3:AK$103,18,FALSE))),""),"")</f>
        <v>0.41574803149606304</v>
      </c>
      <c r="AG4" s="105">
        <f t="shared" ref="AG4:AG35" si="1">AVERAGE(T4:AF4)</f>
        <v>0.5560556103823413</v>
      </c>
      <c r="AH4" s="4">
        <f t="shared" ref="AH4:AH35" ca="1" si="2">IF(DAYS360(TODAY(),DATE(E4+2,D4,C4))&gt;=720,0,360-AI4)</f>
        <v>0</v>
      </c>
      <c r="AI4" s="4">
        <f t="shared" ref="AI4:AI35" ca="1" si="3">IF(DAYS360(TODAY(),DATE(E4+1,D4,C4))&lt;=360,DAYS360(TODAY(),DATE(E4+1,D4,C4)),360-AJ4)</f>
        <v>108</v>
      </c>
      <c r="AJ4" s="4">
        <f t="shared" ref="AJ4:AJ35" ca="1" si="4">IF(DATE(E4,D4,C4)&lt;=TODAY(),0,DAYS360(TODAY(),DATE(E4,D4,C4)))</f>
        <v>252</v>
      </c>
      <c r="AK4" s="10">
        <f t="shared" ref="AK4:AK35" ca="1" si="5">IF(AH4&gt;0,(T4/360*AH4)+(U4/360*AI4)+(V4/360*AJ4),(U4/360*AI4)+(V4/360*AJ4))</f>
        <v>0.74534150968965995</v>
      </c>
      <c r="AL4" s="5">
        <f t="shared" ref="AL4:AL35" ca="1" si="6">IF(AG4=0,0,(AK4/AG4)-1)</f>
        <v>0.34040821776290775</v>
      </c>
    </row>
    <row r="5" spans="1:38">
      <c r="A5" t="s">
        <v>2</v>
      </c>
      <c r="B5" t="s">
        <v>3</v>
      </c>
      <c r="C5" s="60">
        <v>31</v>
      </c>
      <c r="D5" s="60">
        <v>12</v>
      </c>
      <c r="E5" s="60">
        <v>2016</v>
      </c>
      <c r="F5" s="71">
        <f>IF(VLOOKUP(A5,Dividende_je_Aktie!A$3:AM$103,6,FALSE)&lt;&gt;"",IF(VLOOKUP(A5,Ergebnis_je_Aktie_verwässert!A$3:AK$103,6,FALSE)&lt;&gt;"",IF(VLOOKUP(A5,Ergebnis_je_Aktie_verwässert!A$3:AK$103,6,FALSE)&lt;=0,2,IF(VLOOKUP(A5,Dividende_je_Aktie!A$3:AM$103,6,FALSE)/VLOOKUP(A5,Ergebnis_je_Aktie_verwässert!A$3:AK$103,6,FALSE)&gt;=2,2,VLOOKUP(A5,Dividende_je_Aktie!A$3:AM$103,6,FALSE)/VLOOKUP(A5,Ergebnis_je_Aktie_verwässert!A$3:AK$103,6,FALSE))),""),"")</f>
        <v>0.689873417721519</v>
      </c>
      <c r="G5" s="71">
        <f>IF(VLOOKUP(A5,Dividende_je_Aktie!A$3:AM$103,7,FALSE)&lt;&gt;"",IF(VLOOKUP(A5,Ergebnis_je_Aktie_verwässert!A$3:AK$103,7,FALSE)&lt;&gt;"",IF(VLOOKUP(A5,Ergebnis_je_Aktie_verwässert!A$3:AK$103,7,FALSE)&lt;=0,2,IF(VLOOKUP(A5,Dividende_je_Aktie!A$3:AM$103,7,FALSE)/VLOOKUP(A5,Ergebnis_je_Aktie_verwässert!A$3:AK$103,7,FALSE)&gt;=2,2,VLOOKUP(A5,Dividende_je_Aktie!A$3:AM$103,7,FALSE)/VLOOKUP(A5,Ergebnis_je_Aktie_verwässert!A$3:AK$103,7,FALSE))),""),"")</f>
        <v>0.74567901234567902</v>
      </c>
      <c r="H5" s="71">
        <f>IF(VLOOKUP(A5,Fiktive_Dividende!A$3:AM$103,14,FALSE)&lt;&gt;"",IF(VLOOKUP(A5,Ergebnis_je_Aktie_verwässert!A$3:AK$103,8,FALSE)&lt;&gt;"",IF(VLOOKUP(A5,Ergebnis_je_Aktie_verwässert!A$3:AK$103,8,FALSE)&lt;=0,2,IF(VLOOKUP(A5,Fiktive_Dividende!A$3:AM$103,14,FALSE)/VLOOKUP(A5,Ergebnis_je_Aktie_verwässert!A$3:AK$103,8,FALSE)&gt;=2,2,VLOOKUP(A5,Fiktive_Dividende!A$3:AM$103,14,FALSE)/VLOOKUP(A5,Ergebnis_je_Aktie_verwässert!A$3:AK$103,8,FALSE))),""),"")</f>
        <v>0.80225988700564965</v>
      </c>
      <c r="I5" s="71">
        <f>IF(VLOOKUP(A5,Fiktive_Dividende!A$3:AM$103,15,FALSE)&lt;&gt;"",IF(VLOOKUP(A5,Ergebnis_je_Aktie_verwässert!A$3:AK$103,9,FALSE)&lt;&gt;"",IF(VLOOKUP(A5,Ergebnis_je_Aktie_verwässert!A$3:AK$103,9,FALSE)&lt;=0,2,IF(VLOOKUP(A5,Fiktive_Dividende!A$3:AM$103,15,FALSE)/VLOOKUP(A5,Ergebnis_je_Aktie_verwässert!A$3:AK$103,9,FALSE)&gt;=2,2,VLOOKUP(A5,Fiktive_Dividende!A$3:AM$103,15,FALSE)/VLOOKUP(A5,Ergebnis_je_Aktie_verwässert!A$3:AK$103,9,FALSE))),""),"")</f>
        <v>0.80775293552087357</v>
      </c>
      <c r="J5" s="71">
        <f>IF(VLOOKUP(A5,Fiktive_Dividende!A$3:AM$103,16,FALSE)&lt;&gt;"",IF(VLOOKUP(A5,Ergebnis_je_Aktie_verwässert!A$3:AK$103,10,FALSE)&lt;&gt;"",IF(VLOOKUP(A5,Ergebnis_je_Aktie_verwässert!A$3:AK$103,10,FALSE)&lt;=0,2,IF(VLOOKUP(A5,Fiktive_Dividende!A$3:AM$103,16,FALSE)/VLOOKUP(A5,Ergebnis_je_Aktie_verwässert!A$3:AK$103,10,FALSE)&gt;=2,2,VLOOKUP(A5,Fiktive_Dividende!A$3:AM$103,16,FALSE)/VLOOKUP(A5,Ergebnis_je_Aktie_verwässert!A$3:AK$103,10,FALSE))),""),"")</f>
        <v>0.85285723169650152</v>
      </c>
      <c r="K5" s="71">
        <f>IF(VLOOKUP(A5,Fiktive_Dividende!A$3:AM$103,17,FALSE)&lt;&gt;"",IF(VLOOKUP(A5,Ergebnis_je_Aktie_verwässert!A$3:AK$103,11,FALSE)&lt;&gt;"",IF(VLOOKUP(A5,Ergebnis_je_Aktie_verwässert!A$3:AK$103,11,FALSE)&lt;=0,2,IF(VLOOKUP(A5,Fiktive_Dividende!A$3:AM$103,17,FALSE)/VLOOKUP(A5,Ergebnis_je_Aktie_verwässert!A$3:AK$103,11,FALSE)&gt;=2,2,VLOOKUP(A5,Fiktive_Dividende!A$3:AM$103,17,FALSE)/VLOOKUP(A5,Ergebnis_je_Aktie_verwässert!A$3:AK$103,11,FALSE))),""),"")</f>
        <v>2</v>
      </c>
      <c r="L5" s="71">
        <f>IF(VLOOKUP(A5,Fiktive_Dividende!A$3:AM$103,18,FALSE)&lt;&gt;"",IF(VLOOKUP(A5,Ergebnis_je_Aktie_verwässert!A$3:AK$103,12,FALSE)&lt;&gt;"",IF(VLOOKUP(A5,Ergebnis_je_Aktie_verwässert!A$3:AK$103,12,FALSE)&lt;=0,2,IF(VLOOKUP(A5,Fiktive_Dividende!A$3:AM$103,18,FALSE)/VLOOKUP(A5,Ergebnis_je_Aktie_verwässert!A$3:AK$103,12,FALSE)&gt;=2,2,VLOOKUP(A5,Fiktive_Dividende!A$3:AM$103,18,FALSE)/VLOOKUP(A5,Ergebnis_je_Aktie_verwässert!A$3:AK$103,12,FALSE))),""),"")</f>
        <v>0.87339907318213172</v>
      </c>
      <c r="M5" s="71">
        <f>IF(VLOOKUP(A5,Fiktive_Dividende!A$3:AM$103,19,FALSE)&lt;&gt;"",IF(VLOOKUP(A5,Ergebnis_je_Aktie_verwässert!A$3:AK$103,13,FALSE)&lt;&gt;"",IF(VLOOKUP(A5,Ergebnis_je_Aktie_verwässert!A$3:AK$103,13,FALSE)&lt;=0,2,IF(VLOOKUP(A5,Fiktive_Dividende!A$3:AM$103,19,FALSE)/VLOOKUP(A5,Ergebnis_je_Aktie_verwässert!A$3:AK$103,13,FALSE)&gt;=2,2,VLOOKUP(A5,Fiktive_Dividende!A$3:AM$103,19,FALSE)/VLOOKUP(A5,Ergebnis_je_Aktie_verwässert!A$3:AK$103,13,FALSE))),""),"")</f>
        <v>0.64021164021164023</v>
      </c>
      <c r="N5" s="71">
        <f>IF(VLOOKUP(A5,Fiktive_Dividende!A$3:AM$103,20,FALSE)&lt;&gt;"",IF(VLOOKUP(A5,Ergebnis_je_Aktie_verwässert!A$3:AK$103,14,FALSE)&lt;&gt;"",IF(VLOOKUP(A5,Ergebnis_je_Aktie_verwässert!A$3:AK$103,14,FALSE)&lt;=0,2,IF(VLOOKUP(A5,Fiktive_Dividende!A$3:AM$103,20,FALSE)/VLOOKUP(A5,Ergebnis_je_Aktie_verwässert!A$3:AK$103,14,FALSE)&gt;=2,2,VLOOKUP(A5,Fiktive_Dividende!A$3:AM$103,20,FALSE)/VLOOKUP(A5,Ergebnis_je_Aktie_verwässert!A$3:AK$103,14,FALSE))),""),"")</f>
        <v>0.54929577464788737</v>
      </c>
      <c r="O5" s="71">
        <f>IF(VLOOKUP(A5,Fiktive_Dividende!A$3:AM$103,21,FALSE)&lt;&gt;"",IF(VLOOKUP(A5,Ergebnis_je_Aktie_verwässert!A$3:AK$103,15,FALSE)&lt;&gt;"",IF(VLOOKUP(A5,Ergebnis_je_Aktie_verwässert!A$3:AK$103,15,FALSE)&lt;=0,2,IF(VLOOKUP(A5,Fiktive_Dividende!A$3:AM$103,21,FALSE)/VLOOKUP(A5,Ergebnis_je_Aktie_verwässert!A$3:AK$103,15,FALSE)&gt;=2,2,VLOOKUP(A5,Fiktive_Dividende!A$3:AM$103,21,FALSE)/VLOOKUP(A5,Ergebnis_je_Aktie_verwässert!A$3:AK$103,15,FALSE))),""),"")</f>
        <v>0.58103913821549136</v>
      </c>
      <c r="P5" s="71">
        <f>IF(VLOOKUP(A5,Fiktive_Dividende!A$3:AM$103,22,FALSE)&lt;&gt;"",IF(VLOOKUP(A5,Ergebnis_je_Aktie_verwässert!A$3:AK$103,16,FALSE)&lt;&gt;"",IF(VLOOKUP(A5,Ergebnis_je_Aktie_verwässert!A$3:AK$103,16,FALSE)&lt;=0,2,IF(VLOOKUP(A5,Fiktive_Dividende!A$3:AM$103,22,FALSE)/VLOOKUP(A5,Ergebnis_je_Aktie_verwässert!A$3:AK$103,16,FALSE)&gt;=2,2,VLOOKUP(A5,Fiktive_Dividende!A$3:AM$103,22,FALSE)/VLOOKUP(A5,Ergebnis_je_Aktie_verwässert!A$3:AK$103,16,FALSE))),""),"")</f>
        <v>0.96695785696526337</v>
      </c>
      <c r="Q5" s="71">
        <f>IF(VLOOKUP(A5,Fiktive_Dividende!A$3:AM$103,23,FALSE)&lt;&gt;"",IF(VLOOKUP(A5,Ergebnis_je_Aktie_verwässert!A$3:AK$103,17,FALSE)&lt;&gt;"",IF(VLOOKUP(A5,Ergebnis_je_Aktie_verwässert!A$3:AK$103,17,FALSE)&lt;=0,2,IF(VLOOKUP(A5,Fiktive_Dividende!A$3:AM$103,23,FALSE)/VLOOKUP(A5,Ergebnis_je_Aktie_verwässert!A$3:AK$103,17,FALSE)&gt;=2,2,VLOOKUP(A5,Fiktive_Dividende!A$3:AM$103,23,FALSE)/VLOOKUP(A5,Ergebnis_je_Aktie_verwässert!A$3:AK$103,17,FALSE))),""),"")</f>
        <v>0.50533807829181487</v>
      </c>
      <c r="R5" s="71">
        <f>IF(VLOOKUP(A5,Fiktive_Dividende!A$3:AM$103,24,FALSE)&lt;&gt;"",IF(VLOOKUP(A5,Ergebnis_je_Aktie_verwässert!A$3:AK$103,18,FALSE)&lt;&gt;"",IF(VLOOKUP(A5,Ergebnis_je_Aktie_verwässert!A$3:AK$103,18,FALSE)&lt;=0,2,IF(VLOOKUP(A5,Fiktive_Dividende!A$3:AM$103,24,FALSE)/VLOOKUP(A5,Ergebnis_je_Aktie_verwässert!A$3:AK$103,18,FALSE)&gt;=2,2,VLOOKUP(A5,Fiktive_Dividende!A$3:AM$103,24,FALSE)/VLOOKUP(A5,Ergebnis_je_Aktie_verwässert!A$3:AK$103,18,FALSE))),""),"")</f>
        <v>0.43462659230294498</v>
      </c>
      <c r="S5" s="105">
        <f t="shared" si="0"/>
        <v>0.80379158754672275</v>
      </c>
      <c r="T5" s="71">
        <f>IF(VLOOKUP(A5,Dividende_je_Aktie!A$3:AM$103,6,FALSE)&lt;&gt;"",IF(VLOOKUP(A5,Ergebnis_je_Aktie_verwässert!A$3:AK$103,6,FALSE)&lt;&gt;"",IF(VLOOKUP(A5,Ergebnis_je_Aktie_verwässert!A$3:AK$103,6,FALSE)&lt;=0,2,IF(VLOOKUP(A5,Dividende_je_Aktie!A$3:AM$103,6,FALSE)/VLOOKUP(A5,Ergebnis_je_Aktie_verwässert!A$3:AK$103,6,FALSE)&gt;=2,2,VLOOKUP(A5,Dividende_je_Aktie!A$3:AM$103,6,FALSE)/VLOOKUP(A5,Ergebnis_je_Aktie_verwässert!A$3:AK$103,6,FALSE))),""),"")</f>
        <v>0.689873417721519</v>
      </c>
      <c r="U5" s="71">
        <f>IF(VLOOKUP(A5,Dividende_je_Aktie!A$3:AM$103,7,FALSE)&lt;&gt;"",IF(VLOOKUP(A5,Ergebnis_je_Aktie_verwässert!A$3:AK$103,7,FALSE)&lt;&gt;"",IF(VLOOKUP(A5,Ergebnis_je_Aktie_verwässert!A$3:AK$103,7,FALSE)&lt;=0,2,IF(VLOOKUP(A5,Dividende_je_Aktie!A$3:AM$103,7,FALSE)/VLOOKUP(A5,Ergebnis_je_Aktie_verwässert!A$3:AK$103,7,FALSE)&gt;=2,2,VLOOKUP(A5,Dividende_je_Aktie!A$3:AM$103,7,FALSE)/VLOOKUP(A5,Ergebnis_je_Aktie_verwässert!A$3:AK$103,7,FALSE))),""),"")</f>
        <v>0.74567901234567902</v>
      </c>
      <c r="V5" s="71">
        <f>IF(VLOOKUP(A5,Dividende_je_Aktie!A$3:AM$103,8,FALSE)&lt;&gt;"",IF(VLOOKUP(A5,Ergebnis_je_Aktie_verwässert!A$3:AK$103,8,FALSE)&lt;&gt;"",IF(VLOOKUP(A5,Ergebnis_je_Aktie_verwässert!A$3:AK$103,8,FALSE)&lt;=0,2,IF(VLOOKUP(A5,Dividende_je_Aktie!A$3:AM$103,8,FALSE)/VLOOKUP(A5,Ergebnis_je_Aktie_verwässert!A$3:AK$103,8,FALSE)&gt;=2,2,VLOOKUP(A5,Dividende_je_Aktie!A$3:AM$103,8,FALSE)/VLOOKUP(A5,Ergebnis_je_Aktie_verwässert!A$3:AK$103,8,FALSE))),""),"")</f>
        <v>0.80225988700564965</v>
      </c>
      <c r="W5" s="71">
        <f>IF(VLOOKUP(A5,Dividende_je_Aktie!A$3:AM$103,9,FALSE)&lt;&gt;"",IF(VLOOKUP(A5,Ergebnis_je_Aktie_verwässert!A$3:AK$103,9,FALSE)&lt;&gt;"",IF(VLOOKUP(A5,Ergebnis_je_Aktie_verwässert!A$3:AK$103,9,FALSE)&lt;=0,2,IF(VLOOKUP(A5,Dividende_je_Aktie!A$3:AM$103,9,FALSE)/VLOOKUP(A5,Ergebnis_je_Aktie_verwässert!A$3:AK$103,9,FALSE)&gt;=2,2,VLOOKUP(A5,Dividende_je_Aktie!A$3:AM$103,9,FALSE)/VLOOKUP(A5,Ergebnis_je_Aktie_verwässert!A$3:AK$103,9,FALSE))),""),"")</f>
        <v>0.60112994350282489</v>
      </c>
      <c r="X5" s="71">
        <f>IF(VLOOKUP(A5,Dividende_je_Aktie!A$3:AM$103,10,FALSE)&lt;&gt;"",IF(VLOOKUP(A5,Ergebnis_je_Aktie_verwässert!A$3:AK$103,10,FALSE)&lt;&gt;"",IF(VLOOKUP(A5,Ergebnis_je_Aktie_verwässert!A$3:AK$103,10,FALSE)&lt;=0,2,IF(VLOOKUP(A5,Dividende_je_Aktie!A$3:AM$103,10,FALSE)/VLOOKUP(A5,Ergebnis_je_Aktie_verwässert!A$3:AK$103,10,FALSE)&gt;=2,2,VLOOKUP(A5,Dividende_je_Aktie!A$3:AM$103,10,FALSE)/VLOOKUP(A5,Ergebnis_je_Aktie_verwässert!A$3:AK$103,10,FALSE))),""),"")</f>
        <v>0.61020881670533644</v>
      </c>
      <c r="Y5" s="71">
        <f>IF(VLOOKUP(A5,Dividende_je_Aktie!A$3:AM$103,11,FALSE)&lt;&gt;"",IF(VLOOKUP(A5,Ergebnis_je_Aktie_verwässert!A$3:AK$103,11,FALSE)&lt;&gt;"",IF(VLOOKUP(A5,Ergebnis_je_Aktie_verwässert!A$3:AK$103,11,FALSE)&lt;=0,2,IF(VLOOKUP(A5,Dividende_je_Aktie!A$3:AM$103,11,FALSE)/VLOOKUP(A5,Ergebnis_je_Aktie_verwässert!A$3:AK$103,11,FALSE)&gt;=2,2,VLOOKUP(A5,Dividende_je_Aktie!A$3:AM$103,11,FALSE)/VLOOKUP(A5,Ergebnis_je_Aktie_verwässert!A$3:AK$103,11,FALSE))),""),"")</f>
        <v>0.74864864864864866</v>
      </c>
      <c r="Z5" s="71">
        <f>IF(VLOOKUP(A5,Dividende_je_Aktie!A$3:AM$103,12,FALSE)&lt;&gt;"",IF(VLOOKUP(A5,Ergebnis_je_Aktie_verwässert!A$3:AK$103,12,FALSE)&lt;&gt;"",IF(VLOOKUP(A5,Ergebnis_je_Aktie_verwässert!A$3:AK$103,12,FALSE)&lt;=0,2,IF(VLOOKUP(A5,Dividende_je_Aktie!A$3:AM$103,12,FALSE)/VLOOKUP(A5,Ergebnis_je_Aktie_verwässert!A$3:AK$103,12,FALSE)&gt;=2,2,VLOOKUP(A5,Dividende_je_Aktie!A$3:AM$103,12,FALSE)/VLOOKUP(A5,Ergebnis_je_Aktie_verwässert!A$3:AK$103,12,FALSE))),""),"")</f>
        <v>0.634961439588689</v>
      </c>
      <c r="AA5" s="71">
        <f>IF(VLOOKUP(A5,Dividende_je_Aktie!A$3:AM$103,13,FALSE)&lt;&gt;"",IF(VLOOKUP(A5,Ergebnis_je_Aktie_verwässert!A$3:AK$103,13,FALSE)&lt;&gt;"",IF(VLOOKUP(A5,Ergebnis_je_Aktie_verwässert!A$3:AK$103,13,FALSE)&lt;=0,2,IF(VLOOKUP(A5,Dividende_je_Aktie!A$3:AM$103,13,FALSE)/VLOOKUP(A5,Ergebnis_je_Aktie_verwässert!A$3:AK$103,13,FALSE)&gt;=2,2,VLOOKUP(A5,Dividende_je_Aktie!A$3:AM$103,13,FALSE)/VLOOKUP(A5,Ergebnis_je_Aktie_verwässert!A$3:AK$103,13,FALSE))),""),"")</f>
        <v>0.64021164021164023</v>
      </c>
      <c r="AB5" s="71">
        <f>IF(VLOOKUP(A5,Dividende_je_Aktie!A$3:AM$103,14,FALSE)&lt;&gt;"",IF(VLOOKUP(A5,Ergebnis_je_Aktie_verwässert!A$3:AK$103,14,FALSE)&lt;&gt;"",IF(VLOOKUP(A5,Ergebnis_je_Aktie_verwässert!A$3:AK$103,14,FALSE)&lt;=0,2,IF(VLOOKUP(A5,Dividende_je_Aktie!A$3:AM$103,14,FALSE)/VLOOKUP(A5,Ergebnis_je_Aktie_verwässert!A$3:AK$103,14,FALSE)&gt;=2,2,VLOOKUP(A5,Dividende_je_Aktie!A$3:AM$103,14,FALSE)/VLOOKUP(A5,Ergebnis_je_Aktie_verwässert!A$3:AK$103,14,FALSE))),""),"")</f>
        <v>0.54929577464788737</v>
      </c>
      <c r="AC5" s="71">
        <f>IF(VLOOKUP(A5,Dividende_je_Aktie!A$3:AM$103,15,FALSE)&lt;&gt;"",IF(VLOOKUP(A5,Ergebnis_je_Aktie_verwässert!A$3:AK$103,15,FALSE)&lt;&gt;"",IF(VLOOKUP(A5,Ergebnis_je_Aktie_verwässert!A$3:AK$103,15,FALSE)&lt;=0,2,IF(VLOOKUP(A5,Dividende_je_Aktie!A$3:AM$103,15,FALSE)/VLOOKUP(A5,Ergebnis_je_Aktie_verwässert!A$3:AK$103,15,FALSE)&gt;=2,2,VLOOKUP(A5,Dividende_je_Aktie!A$3:AM$103,15,FALSE)/VLOOKUP(A5,Ergebnis_je_Aktie_verwässert!A$3:AK$103,15,FALSE))),""),"")</f>
        <v>0.54742547425474253</v>
      </c>
      <c r="AD5" s="71">
        <f>IF(VLOOKUP(A5,Dividende_je_Aktie!A$3:AM$103,16,FALSE)&lt;&gt;"",IF(VLOOKUP(A5,Ergebnis_je_Aktie_verwässert!A$3:AK$103,16,FALSE)&lt;&gt;"",IF(VLOOKUP(A5,Ergebnis_je_Aktie_verwässert!A$3:AK$103,16,FALSE)&lt;=0,2,IF(VLOOKUP(A5,Dividende_je_Aktie!A$3:AM$103,16,FALSE)/VLOOKUP(A5,Ergebnis_je_Aktie_verwässert!A$3:AK$103,16,FALSE)&gt;=2,2,VLOOKUP(A5,Dividende_je_Aktie!A$3:AM$103,16,FALSE)/VLOOKUP(A5,Ergebnis_je_Aktie_verwässert!A$3:AK$103,16,FALSE))),""),"")</f>
        <v>0.52646239554317553</v>
      </c>
      <c r="AE5" s="71">
        <f>IF(VLOOKUP(A5,Dividende_je_Aktie!A$3:AM$103,17,FALSE)&lt;&gt;"",IF(VLOOKUP(A5,Ergebnis_je_Aktie_verwässert!A$3:AK$103,17,FALSE)&lt;&gt;"",IF(VLOOKUP(A5,Ergebnis_je_Aktie_verwässert!A$3:AK$103,17,FALSE)&lt;=0,2,IF(VLOOKUP(A5,Dividende_je_Aktie!A$3:AM$103,17,FALSE)/VLOOKUP(A5,Ergebnis_je_Aktie_verwässert!A$3:AK$103,17,FALSE)&gt;=2,2,VLOOKUP(A5,Dividende_je_Aktie!A$3:AM$103,17,FALSE)/VLOOKUP(A5,Ergebnis_je_Aktie_verwässert!A$3:AK$103,17,FALSE))),""),"")</f>
        <v>0.50533807829181487</v>
      </c>
      <c r="AF5" s="71">
        <f>IF(VLOOKUP(A5,Dividende_je_Aktie!A$3:AM$103,18,FALSE)&lt;&gt;"",IF(VLOOKUP(A5,Ergebnis_je_Aktie_verwässert!A$3:AK$103,18,FALSE)&lt;&gt;"",IF(VLOOKUP(A5,Ergebnis_je_Aktie_verwässert!A$3:AK$103,18,FALSE)&lt;=0,2,IF(VLOOKUP(A5,Dividende_je_Aktie!A$3:AM$103,18,FALSE)/VLOOKUP(A5,Ergebnis_je_Aktie_verwässert!A$3:AK$103,18,FALSE)&gt;=2,2,VLOOKUP(A5,Dividende_je_Aktie!A$3:AM$103,18,FALSE)/VLOOKUP(A5,Ergebnis_je_Aktie_verwässert!A$3:AK$103,18,FALSE))),""),"")</f>
        <v>0.36513157894736847</v>
      </c>
      <c r="AG5" s="105">
        <f t="shared" si="1"/>
        <v>0.61281739287807491</v>
      </c>
      <c r="AH5" s="4">
        <f t="shared" ca="1" si="2"/>
        <v>0</v>
      </c>
      <c r="AI5" s="4">
        <f t="shared" ca="1" si="3"/>
        <v>108</v>
      </c>
      <c r="AJ5" s="4">
        <f t="shared" ca="1" si="4"/>
        <v>252</v>
      </c>
      <c r="AK5" s="10">
        <f t="shared" ca="1" si="5"/>
        <v>0.78528562460765849</v>
      </c>
      <c r="AL5" s="5">
        <f t="shared" ca="1" si="6"/>
        <v>0.28143494903040001</v>
      </c>
    </row>
    <row r="6" spans="1:38">
      <c r="A6" t="s">
        <v>4</v>
      </c>
      <c r="B6" t="s">
        <v>5</v>
      </c>
      <c r="C6" s="60">
        <v>31</v>
      </c>
      <c r="D6" s="60">
        <v>12</v>
      </c>
      <c r="E6" s="60">
        <v>2016</v>
      </c>
      <c r="F6" s="71">
        <f>IF(VLOOKUP(A6,Dividende_je_Aktie!A$3:AM$103,6,FALSE)&lt;&gt;"",IF(VLOOKUP(A6,Ergebnis_je_Aktie_verwässert!A$3:AK$103,6,FALSE)&lt;&gt;"",IF(VLOOKUP(A6,Ergebnis_je_Aktie_verwässert!A$3:AK$103,6,FALSE)&lt;=0,2,IF(VLOOKUP(A6,Dividende_je_Aktie!A$3:AM$103,6,FALSE)/VLOOKUP(A6,Ergebnis_je_Aktie_verwässert!A$3:AK$103,6,FALSE)&gt;=2,2,VLOOKUP(A6,Dividende_je_Aktie!A$3:AM$103,6,FALSE)/VLOOKUP(A6,Ergebnis_je_Aktie_verwässert!A$3:AK$103,6,FALSE))),""),"")</f>
        <v>0.57485029940119758</v>
      </c>
      <c r="G6" s="71">
        <f>IF(VLOOKUP(A6,Dividende_je_Aktie!A$3:AM$103,7,FALSE)&lt;&gt;"",IF(VLOOKUP(A6,Ergebnis_je_Aktie_verwässert!A$3:AK$103,7,FALSE)&lt;&gt;"",IF(VLOOKUP(A6,Ergebnis_je_Aktie_verwässert!A$3:AK$103,7,FALSE)&lt;=0,2,IF(VLOOKUP(A6,Dividende_je_Aktie!A$3:AM$103,7,FALSE)/VLOOKUP(A6,Ergebnis_je_Aktie_verwässert!A$3:AK$103,7,FALSE)&gt;=2,2,VLOOKUP(A6,Dividende_je_Aktie!A$3:AM$103,7,FALSE)/VLOOKUP(A6,Ergebnis_je_Aktie_verwässert!A$3:AK$103,7,FALSE))),""),"")</f>
        <v>0.6</v>
      </c>
      <c r="H6" s="71">
        <f>IF(VLOOKUP(A6,Fiktive_Dividende!A$3:AM$103,14,FALSE)&lt;&gt;"",IF(VLOOKUP(A6,Ergebnis_je_Aktie_verwässert!A$3:AK$103,8,FALSE)&lt;&gt;"",IF(VLOOKUP(A6,Ergebnis_je_Aktie_verwässert!A$3:AK$103,8,FALSE)&lt;=0,2,IF(VLOOKUP(A6,Fiktive_Dividende!A$3:AM$103,14,FALSE)/VLOOKUP(A6,Ergebnis_je_Aktie_verwässert!A$3:AK$103,8,FALSE)&gt;=2,2,VLOOKUP(A6,Fiktive_Dividende!A$3:AM$103,14,FALSE)/VLOOKUP(A6,Ergebnis_je_Aktie_verwässert!A$3:AK$103,8,FALSE))),""),"")</f>
        <v>0.62028985507246381</v>
      </c>
      <c r="I6" s="71">
        <f>IF(VLOOKUP(A6,Fiktive_Dividende!A$3:AM$103,15,FALSE)&lt;&gt;"",IF(VLOOKUP(A6,Ergebnis_je_Aktie_verwässert!A$3:AK$103,9,FALSE)&lt;&gt;"",IF(VLOOKUP(A6,Ergebnis_je_Aktie_verwässert!A$3:AK$103,9,FALSE)&lt;=0,2,IF(VLOOKUP(A6,Fiktive_Dividende!A$3:AM$103,15,FALSE)/VLOOKUP(A6,Ergebnis_je_Aktie_verwässert!A$3:AK$103,9,FALSE)&gt;=2,2,VLOOKUP(A6,Fiktive_Dividende!A$3:AM$103,15,FALSE)/VLOOKUP(A6,Ergebnis_je_Aktie_verwässert!A$3:AK$103,9,FALSE))),""),"")</f>
        <v>0.64546975854649769</v>
      </c>
      <c r="J6" s="71">
        <f>IF(VLOOKUP(A6,Fiktive_Dividende!A$3:AM$103,16,FALSE)&lt;&gt;"",IF(VLOOKUP(A6,Ergebnis_je_Aktie_verwässert!A$3:AK$103,10,FALSE)&lt;&gt;"",IF(VLOOKUP(A6,Ergebnis_je_Aktie_verwässert!A$3:AK$103,10,FALSE)&lt;=0,2,IF(VLOOKUP(A6,Fiktive_Dividende!A$3:AM$103,16,FALSE)/VLOOKUP(A6,Ergebnis_je_Aktie_verwässert!A$3:AK$103,10,FALSE)&gt;=2,2,VLOOKUP(A6,Fiktive_Dividende!A$3:AM$103,16,FALSE)/VLOOKUP(A6,Ergebnis_je_Aktie_verwässert!A$3:AK$103,10,FALSE))),""),"")</f>
        <v>0.58177587084575666</v>
      </c>
      <c r="K6" s="71">
        <f>IF(VLOOKUP(A6,Fiktive_Dividende!A$3:AM$103,17,FALSE)&lt;&gt;"",IF(VLOOKUP(A6,Ergebnis_je_Aktie_verwässert!A$3:AK$103,11,FALSE)&lt;&gt;"",IF(VLOOKUP(A6,Ergebnis_je_Aktie_verwässert!A$3:AK$103,11,FALSE)&lt;=0,2,IF(VLOOKUP(A6,Fiktive_Dividende!A$3:AM$103,17,FALSE)/VLOOKUP(A6,Ergebnis_je_Aktie_verwässert!A$3:AK$103,11,FALSE)&gt;=2,2,VLOOKUP(A6,Fiktive_Dividende!A$3:AM$103,17,FALSE)/VLOOKUP(A6,Ergebnis_je_Aktie_verwässert!A$3:AK$103,11,FALSE))),""),"")</f>
        <v>0.56264877732092622</v>
      </c>
      <c r="L6" s="71">
        <f>IF(VLOOKUP(A6,Fiktive_Dividende!A$3:AM$103,18,FALSE)&lt;&gt;"",IF(VLOOKUP(A6,Ergebnis_je_Aktie_verwässert!A$3:AK$103,12,FALSE)&lt;&gt;"",IF(VLOOKUP(A6,Ergebnis_je_Aktie_verwässert!A$3:AK$103,12,FALSE)&lt;=0,2,IF(VLOOKUP(A6,Fiktive_Dividende!A$3:AM$103,18,FALSE)/VLOOKUP(A6,Ergebnis_je_Aktie_verwässert!A$3:AK$103,12,FALSE)&gt;=2,2,VLOOKUP(A6,Fiktive_Dividende!A$3:AM$103,18,FALSE)/VLOOKUP(A6,Ergebnis_je_Aktie_verwässert!A$3:AK$103,12,FALSE))),""),"")</f>
        <v>0.56300268096514738</v>
      </c>
      <c r="M6" s="71">
        <f>IF(VLOOKUP(A6,Fiktive_Dividende!A$3:AM$103,19,FALSE)&lt;&gt;"",IF(VLOOKUP(A6,Ergebnis_je_Aktie_verwässert!A$3:AK$103,13,FALSE)&lt;&gt;"",IF(VLOOKUP(A6,Ergebnis_je_Aktie_verwässert!A$3:AK$103,13,FALSE)&lt;=0,2,IF(VLOOKUP(A6,Fiktive_Dividende!A$3:AM$103,19,FALSE)/VLOOKUP(A6,Ergebnis_je_Aktie_verwässert!A$3:AK$103,13,FALSE)&gt;=2,2,VLOOKUP(A6,Fiktive_Dividende!A$3:AM$103,19,FALSE)/VLOOKUP(A6,Ergebnis_je_Aktie_verwässert!A$3:AK$103,13,FALSE))),""),"")</f>
        <v>0.57345252150446957</v>
      </c>
      <c r="N6" s="71">
        <f>IF(VLOOKUP(A6,Fiktive_Dividende!A$3:AM$103,20,FALSE)&lt;&gt;"",IF(VLOOKUP(A6,Ergebnis_je_Aktie_verwässert!A$3:AK$103,14,FALSE)&lt;&gt;"",IF(VLOOKUP(A6,Ergebnis_je_Aktie_verwässert!A$3:AK$103,14,FALSE)&lt;=0,2,IF(VLOOKUP(A6,Fiktive_Dividende!A$3:AM$103,20,FALSE)/VLOOKUP(A6,Ergebnis_je_Aktie_verwässert!A$3:AK$103,14,FALSE)&gt;=2,2,VLOOKUP(A6,Fiktive_Dividende!A$3:AM$103,20,FALSE)/VLOOKUP(A6,Ergebnis_je_Aktie_verwässert!A$3:AK$103,14,FALSE))),""),"")</f>
        <v>0.53471603337924323</v>
      </c>
      <c r="O6" s="71">
        <f>IF(VLOOKUP(A6,Fiktive_Dividende!A$3:AM$103,21,FALSE)&lt;&gt;"",IF(VLOOKUP(A6,Ergebnis_je_Aktie_verwässert!A$3:AK$103,15,FALSE)&lt;&gt;"",IF(VLOOKUP(A6,Ergebnis_je_Aktie_verwässert!A$3:AK$103,15,FALSE)&lt;=0,2,IF(VLOOKUP(A6,Fiktive_Dividende!A$3:AM$103,21,FALSE)/VLOOKUP(A6,Ergebnis_je_Aktie_verwässert!A$3:AK$103,15,FALSE)&gt;=2,2,VLOOKUP(A6,Fiktive_Dividende!A$3:AM$103,21,FALSE)/VLOOKUP(A6,Ergebnis_je_Aktie_verwässert!A$3:AK$103,15,FALSE))),""),"")</f>
        <v>0.507013689369613</v>
      </c>
      <c r="P6" s="71">
        <f>IF(VLOOKUP(A6,Fiktive_Dividende!A$3:AM$103,22,FALSE)&lt;&gt;"",IF(VLOOKUP(A6,Ergebnis_je_Aktie_verwässert!A$3:AK$103,16,FALSE)&lt;&gt;"",IF(VLOOKUP(A6,Ergebnis_je_Aktie_verwässert!A$3:AK$103,16,FALSE)&lt;=0,2,IF(VLOOKUP(A6,Fiktive_Dividende!A$3:AM$103,22,FALSE)/VLOOKUP(A6,Ergebnis_je_Aktie_verwässert!A$3:AK$103,16,FALSE)&gt;=2,2,VLOOKUP(A6,Fiktive_Dividende!A$3:AM$103,22,FALSE)/VLOOKUP(A6,Ergebnis_je_Aktie_verwässert!A$3:AK$103,16,FALSE))),""),"")</f>
        <v>0.48209643859256091</v>
      </c>
      <c r="Q6" s="71">
        <f>IF(VLOOKUP(A6,Fiktive_Dividende!A$3:AM$103,23,FALSE)&lt;&gt;"",IF(VLOOKUP(A6,Ergebnis_je_Aktie_verwässert!A$3:AK$103,17,FALSE)&lt;&gt;"",IF(VLOOKUP(A6,Ergebnis_je_Aktie_verwässert!A$3:AK$103,17,FALSE)&lt;=0,2,IF(VLOOKUP(A6,Fiktive_Dividende!A$3:AM$103,23,FALSE)/VLOOKUP(A6,Ergebnis_je_Aktie_verwässert!A$3:AK$103,17,FALSE)&gt;=2,2,VLOOKUP(A6,Fiktive_Dividende!A$3:AM$103,23,FALSE)/VLOOKUP(A6,Ergebnis_je_Aktie_verwässert!A$3:AK$103,17,FALSE))),""),"")</f>
        <v>0.4103845124453564</v>
      </c>
      <c r="R6" s="71">
        <f>IF(VLOOKUP(A6,Fiktive_Dividende!A$3:AM$103,24,FALSE)&lt;&gt;"",IF(VLOOKUP(A6,Ergebnis_je_Aktie_verwässert!A$3:AK$103,18,FALSE)&lt;&gt;"",IF(VLOOKUP(A6,Ergebnis_je_Aktie_verwässert!A$3:AK$103,18,FALSE)&lt;=0,2,IF(VLOOKUP(A6,Fiktive_Dividende!A$3:AM$103,24,FALSE)/VLOOKUP(A6,Ergebnis_je_Aktie_verwässert!A$3:AK$103,18,FALSE)&gt;=2,2,VLOOKUP(A6,Fiktive_Dividende!A$3:AM$103,24,FALSE)/VLOOKUP(A6,Ergebnis_je_Aktie_verwässert!A$3:AK$103,18,FALSE))),""),"")</f>
        <v>0.36852373726425314</v>
      </c>
      <c r="S6" s="105">
        <f t="shared" si="0"/>
        <v>0.54032493651596036</v>
      </c>
      <c r="T6" s="71">
        <f>IF(VLOOKUP(A6,Dividende_je_Aktie!A$3:AM$103,6,FALSE)&lt;&gt;"",IF(VLOOKUP(A6,Ergebnis_je_Aktie_verwässert!A$3:AK$103,6,FALSE)&lt;&gt;"",IF(VLOOKUP(A6,Ergebnis_je_Aktie_verwässert!A$3:AK$103,6,FALSE)&lt;=0,2,IF(VLOOKUP(A6,Dividende_je_Aktie!A$3:AM$103,6,FALSE)/VLOOKUP(A6,Ergebnis_je_Aktie_verwässert!A$3:AK$103,6,FALSE)&gt;=2,2,VLOOKUP(A6,Dividende_je_Aktie!A$3:AM$103,6,FALSE)/VLOOKUP(A6,Ergebnis_je_Aktie_verwässert!A$3:AK$103,6,FALSE))),""),"")</f>
        <v>0.57485029940119758</v>
      </c>
      <c r="U6" s="71">
        <f>IF(VLOOKUP(A6,Dividende_je_Aktie!A$3:AM$103,7,FALSE)&lt;&gt;"",IF(VLOOKUP(A6,Ergebnis_je_Aktie_verwässert!A$3:AK$103,7,FALSE)&lt;&gt;"",IF(VLOOKUP(A6,Ergebnis_je_Aktie_verwässert!A$3:AK$103,7,FALSE)&lt;=0,2,IF(VLOOKUP(A6,Dividende_je_Aktie!A$3:AM$103,7,FALSE)/VLOOKUP(A6,Ergebnis_je_Aktie_verwässert!A$3:AK$103,7,FALSE)&gt;=2,2,VLOOKUP(A6,Dividende_je_Aktie!A$3:AM$103,7,FALSE)/VLOOKUP(A6,Ergebnis_je_Aktie_verwässert!A$3:AK$103,7,FALSE))),""),"")</f>
        <v>0.6</v>
      </c>
      <c r="V6" s="71">
        <f>IF(VLOOKUP(A6,Dividende_je_Aktie!A$3:AM$103,8,FALSE)&lt;&gt;"",IF(VLOOKUP(A6,Ergebnis_je_Aktie_verwässert!A$3:AK$103,8,FALSE)&lt;&gt;"",IF(VLOOKUP(A6,Ergebnis_je_Aktie_verwässert!A$3:AK$103,8,FALSE)&lt;=0,2,IF(VLOOKUP(A6,Dividende_je_Aktie!A$3:AM$103,8,FALSE)/VLOOKUP(A6,Ergebnis_je_Aktie_verwässert!A$3:AK$103,8,FALSE)&gt;=2,2,VLOOKUP(A6,Dividende_je_Aktie!A$3:AM$103,8,FALSE)/VLOOKUP(A6,Ergebnis_je_Aktie_verwässert!A$3:AK$103,8,FALSE))),""),"")</f>
        <v>0.62028985507246381</v>
      </c>
      <c r="W6" s="71">
        <f>IF(VLOOKUP(A6,Dividende_je_Aktie!A$3:AM$103,9,FALSE)&lt;&gt;"",IF(VLOOKUP(A6,Ergebnis_je_Aktie_verwässert!A$3:AK$103,9,FALSE)&lt;&gt;"",IF(VLOOKUP(A6,Ergebnis_je_Aktie_verwässert!A$3:AK$103,9,FALSE)&lt;=0,2,IF(VLOOKUP(A6,Dividende_je_Aktie!A$3:AM$103,9,FALSE)/VLOOKUP(A6,Ergebnis_je_Aktie_verwässert!A$3:AK$103,9,FALSE)&gt;=2,2,VLOOKUP(A6,Dividende_je_Aktie!A$3:AM$103,9,FALSE)/VLOOKUP(A6,Ergebnis_je_Aktie_verwässert!A$3:AK$103,9,FALSE))),""),"")</f>
        <v>0.64546975854649769</v>
      </c>
      <c r="X6" s="71">
        <f>IF(VLOOKUP(A6,Dividende_je_Aktie!A$3:AM$103,10,FALSE)&lt;&gt;"",IF(VLOOKUP(A6,Ergebnis_je_Aktie_verwässert!A$3:AK$103,10,FALSE)&lt;&gt;"",IF(VLOOKUP(A6,Ergebnis_je_Aktie_verwässert!A$3:AK$103,10,FALSE)&lt;=0,2,IF(VLOOKUP(A6,Dividende_je_Aktie!A$3:AM$103,10,FALSE)/VLOOKUP(A6,Ergebnis_je_Aktie_verwässert!A$3:AK$103,10,FALSE)&gt;=2,2,VLOOKUP(A6,Dividende_je_Aktie!A$3:AM$103,10,FALSE)/VLOOKUP(A6,Ergebnis_je_Aktie_verwässert!A$3:AK$103,10,FALSE))),""),"")</f>
        <v>0.58177587084575666</v>
      </c>
      <c r="Y6" s="71">
        <f>IF(VLOOKUP(A6,Dividende_je_Aktie!A$3:AM$103,11,FALSE)&lt;&gt;"",IF(VLOOKUP(A6,Ergebnis_je_Aktie_verwässert!A$3:AK$103,11,FALSE)&lt;&gt;"",IF(VLOOKUP(A6,Ergebnis_je_Aktie_verwässert!A$3:AK$103,11,FALSE)&lt;=0,2,IF(VLOOKUP(A6,Dividende_je_Aktie!A$3:AM$103,11,FALSE)/VLOOKUP(A6,Ergebnis_je_Aktie_verwässert!A$3:AK$103,11,FALSE)&gt;=2,2,VLOOKUP(A6,Dividende_je_Aktie!A$3:AM$103,11,FALSE)/VLOOKUP(A6,Ergebnis_je_Aktie_verwässert!A$3:AK$103,11,FALSE))),""),"")</f>
        <v>0.56264877732092622</v>
      </c>
      <c r="Z6" s="71">
        <f>IF(VLOOKUP(A6,Dividende_je_Aktie!A$3:AM$103,12,FALSE)&lt;&gt;"",IF(VLOOKUP(A6,Ergebnis_je_Aktie_verwässert!A$3:AK$103,12,FALSE)&lt;&gt;"",IF(VLOOKUP(A6,Ergebnis_je_Aktie_verwässert!A$3:AK$103,12,FALSE)&lt;=0,2,IF(VLOOKUP(A6,Dividende_je_Aktie!A$3:AM$103,12,FALSE)/VLOOKUP(A6,Ergebnis_je_Aktie_verwässert!A$3:AK$103,12,FALSE)&gt;=2,2,VLOOKUP(A6,Dividende_je_Aktie!A$3:AM$103,12,FALSE)/VLOOKUP(A6,Ergebnis_je_Aktie_verwässert!A$3:AK$103,12,FALSE))),""),"")</f>
        <v>0.56300268096514738</v>
      </c>
      <c r="AA6" s="71">
        <f>IF(VLOOKUP(A6,Dividende_je_Aktie!A$3:AM$103,13,FALSE)&lt;&gt;"",IF(VLOOKUP(A6,Ergebnis_je_Aktie_verwässert!A$3:AK$103,13,FALSE)&lt;&gt;"",IF(VLOOKUP(A6,Ergebnis_je_Aktie_verwässert!A$3:AK$103,13,FALSE)&lt;=0,2,IF(VLOOKUP(A6,Dividende_je_Aktie!A$3:AM$103,13,FALSE)/VLOOKUP(A6,Ergebnis_je_Aktie_verwässert!A$3:AK$103,13,FALSE)&gt;=2,2,VLOOKUP(A6,Dividende_je_Aktie!A$3:AM$103,13,FALSE)/VLOOKUP(A6,Ergebnis_je_Aktie_verwässert!A$3:AK$103,13,FALSE))),""),"")</f>
        <v>0.57345252150446957</v>
      </c>
      <c r="AB6" s="71">
        <f>IF(VLOOKUP(A6,Dividende_je_Aktie!A$3:AM$103,14,FALSE)&lt;&gt;"",IF(VLOOKUP(A6,Ergebnis_je_Aktie_verwässert!A$3:AK$103,14,FALSE)&lt;&gt;"",IF(VLOOKUP(A6,Ergebnis_je_Aktie_verwässert!A$3:AK$103,14,FALSE)&lt;=0,2,IF(VLOOKUP(A6,Dividende_je_Aktie!A$3:AM$103,14,FALSE)/VLOOKUP(A6,Ergebnis_je_Aktie_verwässert!A$3:AK$103,14,FALSE)&gt;=2,2,VLOOKUP(A6,Dividende_je_Aktie!A$3:AM$103,14,FALSE)/VLOOKUP(A6,Ergebnis_je_Aktie_verwässert!A$3:AK$103,14,FALSE))),""),"")</f>
        <v>0.53471603337924323</v>
      </c>
      <c r="AC6" s="71">
        <f>IF(VLOOKUP(A6,Dividende_je_Aktie!A$3:AM$103,15,FALSE)&lt;&gt;"",IF(VLOOKUP(A6,Ergebnis_je_Aktie_verwässert!A$3:AK$103,15,FALSE)&lt;&gt;"",IF(VLOOKUP(A6,Ergebnis_je_Aktie_verwässert!A$3:AK$103,15,FALSE)&lt;=0,2,IF(VLOOKUP(A6,Dividende_je_Aktie!A$3:AM$103,15,FALSE)/VLOOKUP(A6,Ergebnis_je_Aktie_verwässert!A$3:AK$103,15,FALSE)&gt;=2,2,VLOOKUP(A6,Dividende_je_Aktie!A$3:AM$103,15,FALSE)/VLOOKUP(A6,Ergebnis_je_Aktie_verwässert!A$3:AK$103,15,FALSE))),""),"")</f>
        <v>0.507013689369613</v>
      </c>
      <c r="AD6" s="71">
        <f>IF(VLOOKUP(A6,Dividende_je_Aktie!A$3:AM$103,16,FALSE)&lt;&gt;"",IF(VLOOKUP(A6,Ergebnis_je_Aktie_verwässert!A$3:AK$103,16,FALSE)&lt;&gt;"",IF(VLOOKUP(A6,Ergebnis_je_Aktie_verwässert!A$3:AK$103,16,FALSE)&lt;=0,2,IF(VLOOKUP(A6,Dividende_je_Aktie!A$3:AM$103,16,FALSE)/VLOOKUP(A6,Ergebnis_je_Aktie_verwässert!A$3:AK$103,16,FALSE)&gt;=2,2,VLOOKUP(A6,Dividende_je_Aktie!A$3:AM$103,16,FALSE)/VLOOKUP(A6,Ergebnis_je_Aktie_verwässert!A$3:AK$103,16,FALSE))),""),"")</f>
        <v>0.481370944449793</v>
      </c>
      <c r="AE6" s="71">
        <f>IF(VLOOKUP(A6,Dividende_je_Aktie!A$3:AM$103,17,FALSE)&lt;&gt;"",IF(VLOOKUP(A6,Ergebnis_je_Aktie_verwässert!A$3:AK$103,17,FALSE)&lt;&gt;"",IF(VLOOKUP(A6,Ergebnis_je_Aktie_verwässert!A$3:AK$103,17,FALSE)&lt;=0,2,IF(VLOOKUP(A6,Dividende_je_Aktie!A$3:AM$103,17,FALSE)/VLOOKUP(A6,Ergebnis_je_Aktie_verwässert!A$3:AK$103,17,FALSE)&gt;=2,2,VLOOKUP(A6,Dividende_je_Aktie!A$3:AM$103,17,FALSE)/VLOOKUP(A6,Ergebnis_je_Aktie_verwässert!A$3:AK$103,17,FALSE))),""),"")</f>
        <v>0.4103845124453564</v>
      </c>
      <c r="AF6" s="71">
        <f>IF(VLOOKUP(A6,Dividende_je_Aktie!A$3:AM$103,18,FALSE)&lt;&gt;"",IF(VLOOKUP(A6,Ergebnis_je_Aktie_verwässert!A$3:AK$103,18,FALSE)&lt;&gt;"",IF(VLOOKUP(A6,Ergebnis_je_Aktie_verwässert!A$3:AK$103,18,FALSE)&lt;=0,2,IF(VLOOKUP(A6,Dividende_je_Aktie!A$3:AM$103,18,FALSE)/VLOOKUP(A6,Ergebnis_je_Aktie_verwässert!A$3:AK$103,18,FALSE)&gt;=2,2,VLOOKUP(A6,Dividende_je_Aktie!A$3:AM$103,18,FALSE)/VLOOKUP(A6,Ergebnis_je_Aktie_verwässert!A$3:AK$103,18,FALSE))),""),"")</f>
        <v>0.36852373726425314</v>
      </c>
      <c r="AG6" s="105">
        <f t="shared" si="1"/>
        <v>0.540269129274209</v>
      </c>
      <c r="AH6" s="4">
        <f t="shared" ca="1" si="2"/>
        <v>0</v>
      </c>
      <c r="AI6" s="4">
        <f t="shared" ca="1" si="3"/>
        <v>108</v>
      </c>
      <c r="AJ6" s="4">
        <f t="shared" ca="1" si="4"/>
        <v>252</v>
      </c>
      <c r="AK6" s="10">
        <f t="shared" ca="1" si="5"/>
        <v>0.61420289855072463</v>
      </c>
      <c r="AL6" s="5">
        <f t="shared" ca="1" si="6"/>
        <v>0.13684618511488411</v>
      </c>
    </row>
    <row r="7" spans="1:38">
      <c r="A7" t="s">
        <v>6</v>
      </c>
      <c r="B7" t="s">
        <v>7</v>
      </c>
      <c r="C7" s="60">
        <v>31</v>
      </c>
      <c r="D7" s="60">
        <v>12</v>
      </c>
      <c r="E7" s="60">
        <v>2016</v>
      </c>
      <c r="F7" s="71">
        <f>IF(VLOOKUP(A7,Dividende_je_Aktie!A$3:AM$103,6,FALSE)&lt;&gt;"",IF(VLOOKUP(A7,Ergebnis_je_Aktie_verwässert!A$3:AK$103,6,FALSE)&lt;&gt;"",IF(VLOOKUP(A7,Ergebnis_je_Aktie_verwässert!A$3:AK$103,6,FALSE)&lt;=0,2,IF(VLOOKUP(A7,Dividende_je_Aktie!A$3:AM$103,6,FALSE)/VLOOKUP(A7,Ergebnis_je_Aktie_verwässert!A$3:AK$103,6,FALSE)&gt;=2,2,VLOOKUP(A7,Dividende_je_Aktie!A$3:AM$103,6,FALSE)/VLOOKUP(A7,Ergebnis_je_Aktie_verwässert!A$3:AK$103,6,FALSE))),""),"")</f>
        <v>0.64339152119700749</v>
      </c>
      <c r="G7" s="71">
        <f>IF(VLOOKUP(A7,Dividende_je_Aktie!A$3:AM$103,7,FALSE)&lt;&gt;"",IF(VLOOKUP(A7,Ergebnis_je_Aktie_verwässert!A$3:AK$103,7,FALSE)&lt;&gt;"",IF(VLOOKUP(A7,Ergebnis_je_Aktie_verwässert!A$3:AK$103,7,FALSE)&lt;=0,2,IF(VLOOKUP(A7,Dividende_je_Aktie!A$3:AM$103,7,FALSE)/VLOOKUP(A7,Ergebnis_je_Aktie_verwässert!A$3:AK$103,7,FALSE)&gt;=2,2,VLOOKUP(A7,Dividende_je_Aktie!A$3:AM$103,7,FALSE)/VLOOKUP(A7,Ergebnis_je_Aktie_verwässert!A$3:AK$103,7,FALSE))),""),"")</f>
        <v>0.65675675675675682</v>
      </c>
      <c r="H7" s="71">
        <f>IF(VLOOKUP(A7,Fiktive_Dividende!A$3:AM$103,14,FALSE)&lt;&gt;"",IF(VLOOKUP(A7,Ergebnis_je_Aktie_verwässert!A$3:AK$103,8,FALSE)&lt;&gt;"",IF(VLOOKUP(A7,Ergebnis_je_Aktie_verwässert!A$3:AK$103,8,FALSE)&lt;=0,2,IF(VLOOKUP(A7,Fiktive_Dividende!A$3:AM$103,14,FALSE)/VLOOKUP(A7,Ergebnis_je_Aktie_verwässert!A$3:AK$103,8,FALSE)&gt;=2,2,VLOOKUP(A7,Fiktive_Dividende!A$3:AM$103,14,FALSE)/VLOOKUP(A7,Ergebnis_je_Aktie_verwässert!A$3:AK$103,8,FALSE))),""),"")</f>
        <v>0.68035190615835772</v>
      </c>
      <c r="I7" s="71">
        <f>IF(VLOOKUP(A7,Fiktive_Dividende!A$3:AM$103,15,FALSE)&lt;&gt;"",IF(VLOOKUP(A7,Ergebnis_je_Aktie_verwässert!A$3:AK$103,9,FALSE)&lt;&gt;"",IF(VLOOKUP(A7,Ergebnis_je_Aktie_verwässert!A$3:AK$103,9,FALSE)&lt;=0,2,IF(VLOOKUP(A7,Fiktive_Dividende!A$3:AM$103,15,FALSE)/VLOOKUP(A7,Ergebnis_je_Aktie_verwässert!A$3:AK$103,9,FALSE)&gt;=2,2,VLOOKUP(A7,Fiktive_Dividende!A$3:AM$103,15,FALSE)/VLOOKUP(A7,Ergebnis_je_Aktie_verwässert!A$3:AK$103,9,FALSE))),""),"")</f>
        <v>0.93047460683656913</v>
      </c>
      <c r="J7" s="71">
        <f>IF(VLOOKUP(A7,Fiktive_Dividende!A$3:AM$103,16,FALSE)&lt;&gt;"",IF(VLOOKUP(A7,Ergebnis_je_Aktie_verwässert!A$3:AK$103,10,FALSE)&lt;&gt;"",IF(VLOOKUP(A7,Ergebnis_je_Aktie_verwässert!A$3:AK$103,10,FALSE)&lt;=0,2,IF(VLOOKUP(A7,Fiktive_Dividende!A$3:AM$103,16,FALSE)/VLOOKUP(A7,Ergebnis_je_Aktie_verwässert!A$3:AK$103,10,FALSE)&gt;=2,2,VLOOKUP(A7,Fiktive_Dividende!A$3:AM$103,16,FALSE)/VLOOKUP(A7,Ergebnis_je_Aktie_verwässert!A$3:AK$103,10,FALSE))),""),"")</f>
        <v>0.65378900445765231</v>
      </c>
      <c r="K7" s="71">
        <f>IF(VLOOKUP(A7,Fiktive_Dividende!A$3:AM$103,17,FALSE)&lt;&gt;"",IF(VLOOKUP(A7,Ergebnis_je_Aktie_verwässert!A$3:AK$103,11,FALSE)&lt;&gt;"",IF(VLOOKUP(A7,Ergebnis_je_Aktie_verwässert!A$3:AK$103,11,FALSE)&lt;=0,2,IF(VLOOKUP(A7,Fiktive_Dividende!A$3:AM$103,17,FALSE)/VLOOKUP(A7,Ergebnis_je_Aktie_verwässert!A$3:AK$103,11,FALSE)&gt;=2,2,VLOOKUP(A7,Fiktive_Dividende!A$3:AM$103,17,FALSE)/VLOOKUP(A7,Ergebnis_je_Aktie_verwässert!A$3:AK$103,11,FALSE))),""),"")</f>
        <v>0.59589800443458973</v>
      </c>
      <c r="L7" s="71">
        <f>IF(VLOOKUP(A7,Fiktive_Dividende!A$3:AM$103,18,FALSE)&lt;&gt;"",IF(VLOOKUP(A7,Ergebnis_je_Aktie_verwässert!A$3:AK$103,12,FALSE)&lt;&gt;"",IF(VLOOKUP(A7,Ergebnis_je_Aktie_verwässert!A$3:AK$103,12,FALSE)&lt;=0,2,IF(VLOOKUP(A7,Fiktive_Dividende!A$3:AM$103,18,FALSE)/VLOOKUP(A7,Ergebnis_je_Aktie_verwässert!A$3:AK$103,12,FALSE)&gt;=2,2,VLOOKUP(A7,Fiktive_Dividende!A$3:AM$103,18,FALSE)/VLOOKUP(A7,Ergebnis_je_Aktie_verwässert!A$3:AK$103,12,FALSE))),""),"")</f>
        <v>0.99595551061678456</v>
      </c>
      <c r="M7" s="71">
        <f>IF(VLOOKUP(A7,Fiktive_Dividende!A$3:AM$103,19,FALSE)&lt;&gt;"",IF(VLOOKUP(A7,Ergebnis_je_Aktie_verwässert!A$3:AK$103,13,FALSE)&lt;&gt;"",IF(VLOOKUP(A7,Ergebnis_je_Aktie_verwässert!A$3:AK$103,13,FALSE)&lt;=0,2,IF(VLOOKUP(A7,Fiktive_Dividende!A$3:AM$103,19,FALSE)/VLOOKUP(A7,Ergebnis_je_Aktie_verwässert!A$3:AK$103,13,FALSE)&gt;=2,2,VLOOKUP(A7,Fiktive_Dividende!A$3:AM$103,19,FALSE)/VLOOKUP(A7,Ergebnis_je_Aktie_verwässert!A$3:AK$103,13,FALSE))),""),"")</f>
        <v>1.4808917197452229</v>
      </c>
      <c r="N7" s="71">
        <f>IF(VLOOKUP(A7,Fiktive_Dividende!A$3:AM$103,20,FALSE)&lt;&gt;"",IF(VLOOKUP(A7,Ergebnis_je_Aktie_verwässert!A$3:AK$103,14,FALSE)&lt;&gt;"",IF(VLOOKUP(A7,Ergebnis_je_Aktie_verwässert!A$3:AK$103,14,FALSE)&lt;=0,2,IF(VLOOKUP(A7,Fiktive_Dividende!A$3:AM$103,20,FALSE)/VLOOKUP(A7,Ergebnis_je_Aktie_verwässert!A$3:AK$103,14,FALSE)&gt;=2,2,VLOOKUP(A7,Fiktive_Dividende!A$3:AM$103,20,FALSE)/VLOOKUP(A7,Ergebnis_je_Aktie_verwässert!A$3:AK$103,14,FALSE))),""),"")</f>
        <v>1.4433505210644613</v>
      </c>
      <c r="O7" s="71">
        <f>IF(VLOOKUP(A7,Fiktive_Dividende!A$3:AM$103,21,FALSE)&lt;&gt;"",IF(VLOOKUP(A7,Ergebnis_je_Aktie_verwässert!A$3:AK$103,15,FALSE)&lt;&gt;"",IF(VLOOKUP(A7,Ergebnis_je_Aktie_verwässert!A$3:AK$103,15,FALSE)&lt;=0,2,IF(VLOOKUP(A7,Fiktive_Dividende!A$3:AM$103,21,FALSE)/VLOOKUP(A7,Ergebnis_je_Aktie_verwässert!A$3:AK$103,15,FALSE)&gt;=2,2,VLOOKUP(A7,Fiktive_Dividende!A$3:AM$103,21,FALSE)/VLOOKUP(A7,Ergebnis_je_Aktie_verwässert!A$3:AK$103,15,FALSE))),""),"")</f>
        <v>1.3279949294089815</v>
      </c>
      <c r="P7" s="71">
        <f>IF(VLOOKUP(A7,Fiktive_Dividende!A$3:AM$103,22,FALSE)&lt;&gt;"",IF(VLOOKUP(A7,Ergebnis_je_Aktie_verwässert!A$3:AK$103,16,FALSE)&lt;&gt;"",IF(VLOOKUP(A7,Ergebnis_je_Aktie_verwässert!A$3:AK$103,16,FALSE)&lt;=0,2,IF(VLOOKUP(A7,Fiktive_Dividende!A$3:AM$103,22,FALSE)/VLOOKUP(A7,Ergebnis_je_Aktie_verwässert!A$3:AK$103,16,FALSE)&gt;=2,2,VLOOKUP(A7,Fiktive_Dividende!A$3:AM$103,22,FALSE)/VLOOKUP(A7,Ergebnis_je_Aktie_verwässert!A$3:AK$103,16,FALSE))),""),"")</f>
        <v>0.90047728045240427</v>
      </c>
      <c r="Q7" s="71">
        <f>IF(VLOOKUP(A7,Fiktive_Dividende!A$3:AM$103,23,FALSE)&lt;&gt;"",IF(VLOOKUP(A7,Ergebnis_je_Aktie_verwässert!A$3:AK$103,17,FALSE)&lt;&gt;"",IF(VLOOKUP(A7,Ergebnis_je_Aktie_verwässert!A$3:AK$103,17,FALSE)&lt;=0,2,IF(VLOOKUP(A7,Fiktive_Dividende!A$3:AM$103,23,FALSE)/VLOOKUP(A7,Ergebnis_je_Aktie_verwässert!A$3:AK$103,17,FALSE)&gt;=2,2,VLOOKUP(A7,Fiktive_Dividende!A$3:AM$103,23,FALSE)/VLOOKUP(A7,Ergebnis_je_Aktie_verwässert!A$3:AK$103,17,FALSE))),""),"")</f>
        <v>0.78109587649144996</v>
      </c>
      <c r="R7" s="71">
        <f>IF(VLOOKUP(A7,Fiktive_Dividende!A$3:AM$103,24,FALSE)&lt;&gt;"",IF(VLOOKUP(A7,Ergebnis_je_Aktie_verwässert!A$3:AK$103,18,FALSE)&lt;&gt;"",IF(VLOOKUP(A7,Ergebnis_je_Aktie_verwässert!A$3:AK$103,18,FALSE)&lt;=0,2,IF(VLOOKUP(A7,Fiktive_Dividende!A$3:AM$103,24,FALSE)/VLOOKUP(A7,Ergebnis_je_Aktie_verwässert!A$3:AK$103,18,FALSE)&gt;=2,2,VLOOKUP(A7,Fiktive_Dividende!A$3:AM$103,24,FALSE)/VLOOKUP(A7,Ergebnis_je_Aktie_verwässert!A$3:AK$103,18,FALSE))),""),"")</f>
        <v>0.54798795984578008</v>
      </c>
      <c r="S7" s="105">
        <f t="shared" si="0"/>
        <v>0.89526273826661695</v>
      </c>
      <c r="T7" s="71">
        <f>IF(VLOOKUP(A7,Dividende_je_Aktie!A$3:AM$103,6,FALSE)&lt;&gt;"",IF(VLOOKUP(A7,Ergebnis_je_Aktie_verwässert!A$3:AK$103,6,FALSE)&lt;&gt;"",IF(VLOOKUP(A7,Ergebnis_je_Aktie_verwässert!A$3:AK$103,6,FALSE)&lt;=0,2,IF(VLOOKUP(A7,Dividende_je_Aktie!A$3:AM$103,6,FALSE)/VLOOKUP(A7,Ergebnis_je_Aktie_verwässert!A$3:AK$103,6,FALSE)&gt;=2,2,VLOOKUP(A7,Dividende_je_Aktie!A$3:AM$103,6,FALSE)/VLOOKUP(A7,Ergebnis_je_Aktie_verwässert!A$3:AK$103,6,FALSE))),""),"")</f>
        <v>0.64339152119700749</v>
      </c>
      <c r="U7" s="71">
        <f>IF(VLOOKUP(A7,Dividende_je_Aktie!A$3:AM$103,7,FALSE)&lt;&gt;"",IF(VLOOKUP(A7,Ergebnis_je_Aktie_verwässert!A$3:AK$103,7,FALSE)&lt;&gt;"",IF(VLOOKUP(A7,Ergebnis_je_Aktie_verwässert!A$3:AK$103,7,FALSE)&lt;=0,2,IF(VLOOKUP(A7,Dividende_je_Aktie!A$3:AM$103,7,FALSE)/VLOOKUP(A7,Ergebnis_je_Aktie_verwässert!A$3:AK$103,7,FALSE)&gt;=2,2,VLOOKUP(A7,Dividende_je_Aktie!A$3:AM$103,7,FALSE)/VLOOKUP(A7,Ergebnis_je_Aktie_verwässert!A$3:AK$103,7,FALSE))),""),"")</f>
        <v>0.65675675675675682</v>
      </c>
      <c r="V7" s="71">
        <f>IF(VLOOKUP(A7,Dividende_je_Aktie!A$3:AM$103,8,FALSE)&lt;&gt;"",IF(VLOOKUP(A7,Ergebnis_je_Aktie_verwässert!A$3:AK$103,8,FALSE)&lt;&gt;"",IF(VLOOKUP(A7,Ergebnis_je_Aktie_verwässert!A$3:AK$103,8,FALSE)&lt;=0,2,IF(VLOOKUP(A7,Dividende_je_Aktie!A$3:AM$103,8,FALSE)/VLOOKUP(A7,Ergebnis_je_Aktie_verwässert!A$3:AK$103,8,FALSE)&gt;=2,2,VLOOKUP(A7,Dividende_je_Aktie!A$3:AM$103,8,FALSE)/VLOOKUP(A7,Ergebnis_je_Aktie_verwässert!A$3:AK$103,8,FALSE))),""),"")</f>
        <v>0.68035190615835772</v>
      </c>
      <c r="W7" s="71">
        <f>IF(VLOOKUP(A7,Dividende_je_Aktie!A$3:AM$103,9,FALSE)&lt;&gt;"",IF(VLOOKUP(A7,Ergebnis_je_Aktie_verwässert!A$3:AK$103,9,FALSE)&lt;&gt;"",IF(VLOOKUP(A7,Ergebnis_je_Aktie_verwässert!A$3:AK$103,9,FALSE)&lt;=0,2,IF(VLOOKUP(A7,Dividende_je_Aktie!A$3:AM$103,9,FALSE)/VLOOKUP(A7,Ergebnis_je_Aktie_verwässert!A$3:AK$103,9,FALSE)&gt;=2,2,VLOOKUP(A7,Dividende_je_Aktie!A$3:AM$103,9,FALSE)/VLOOKUP(A7,Ergebnis_je_Aktie_verwässert!A$3:AK$103,9,FALSE))),""),"")</f>
        <v>0.67204301075268824</v>
      </c>
      <c r="X7" s="71">
        <f>IF(VLOOKUP(A7,Dividende_je_Aktie!A$3:AM$103,10,FALSE)&lt;&gt;"",IF(VLOOKUP(A7,Ergebnis_je_Aktie_verwässert!A$3:AK$103,10,FALSE)&lt;&gt;"",IF(VLOOKUP(A7,Ergebnis_je_Aktie_verwässert!A$3:AK$103,10,FALSE)&lt;=0,2,IF(VLOOKUP(A7,Dividende_je_Aktie!A$3:AM$103,10,FALSE)/VLOOKUP(A7,Ergebnis_je_Aktie_verwässert!A$3:AK$103,10,FALSE)&gt;=2,2,VLOOKUP(A7,Dividende_je_Aktie!A$3:AM$103,10,FALSE)/VLOOKUP(A7,Ergebnis_je_Aktie_verwässert!A$3:AK$103,10,FALSE))),""),"")</f>
        <v>0.65378900445765231</v>
      </c>
      <c r="Y7" s="71">
        <f>IF(VLOOKUP(A7,Dividende_je_Aktie!A$3:AM$103,11,FALSE)&lt;&gt;"",IF(VLOOKUP(A7,Ergebnis_je_Aktie_verwässert!A$3:AK$103,11,FALSE)&lt;&gt;"",IF(VLOOKUP(A7,Ergebnis_je_Aktie_verwässert!A$3:AK$103,11,FALSE)&lt;=0,2,IF(VLOOKUP(A7,Dividende_je_Aktie!A$3:AM$103,11,FALSE)/VLOOKUP(A7,Ergebnis_je_Aktie_verwässert!A$3:AK$103,11,FALSE)&gt;=2,2,VLOOKUP(A7,Dividende_je_Aktie!A$3:AM$103,11,FALSE)/VLOOKUP(A7,Ergebnis_je_Aktie_verwässert!A$3:AK$103,11,FALSE))),""),"")</f>
        <v>0.59589800443458973</v>
      </c>
      <c r="Z7" s="71">
        <f>IF(VLOOKUP(A7,Dividende_je_Aktie!A$3:AM$103,12,FALSE)&lt;&gt;"",IF(VLOOKUP(A7,Ergebnis_je_Aktie_verwässert!A$3:AK$103,12,FALSE)&lt;&gt;"",IF(VLOOKUP(A7,Ergebnis_je_Aktie_verwässert!A$3:AK$103,12,FALSE)&lt;=0,2,IF(VLOOKUP(A7,Dividende_je_Aktie!A$3:AM$103,12,FALSE)/VLOOKUP(A7,Ergebnis_je_Aktie_verwässert!A$3:AK$103,12,FALSE)&gt;=2,2,VLOOKUP(A7,Dividende_je_Aktie!A$3:AM$103,12,FALSE)/VLOOKUP(A7,Ergebnis_je_Aktie_verwässert!A$3:AK$103,12,FALSE))),""),"")</f>
        <v>0.5942028985507245</v>
      </c>
      <c r="AA7" s="71">
        <f>IF(VLOOKUP(A7,Dividende_je_Aktie!A$3:AM$103,13,FALSE)&lt;&gt;"",IF(VLOOKUP(A7,Ergebnis_je_Aktie_verwässert!A$3:AK$103,13,FALSE)&lt;&gt;"",IF(VLOOKUP(A7,Ergebnis_je_Aktie_verwässert!A$3:AK$103,13,FALSE)&lt;=0,2,IF(VLOOKUP(A7,Dividende_je_Aktie!A$3:AM$103,13,FALSE)/VLOOKUP(A7,Ergebnis_je_Aktie_verwässert!A$3:AK$103,13,FALSE)&gt;=2,2,VLOOKUP(A7,Dividende_je_Aktie!A$3:AM$103,13,FALSE)/VLOOKUP(A7,Ergebnis_je_Aktie_verwässert!A$3:AK$103,13,FALSE))),""),"")</f>
        <v>0.62101910828025475</v>
      </c>
      <c r="AB7" s="71">
        <f>IF(VLOOKUP(A7,Dividende_je_Aktie!A$3:AM$103,14,FALSE)&lt;&gt;"",IF(VLOOKUP(A7,Ergebnis_je_Aktie_verwässert!A$3:AK$103,14,FALSE)&lt;&gt;"",IF(VLOOKUP(A7,Ergebnis_je_Aktie_verwässert!A$3:AK$103,14,FALSE)&lt;=0,2,IF(VLOOKUP(A7,Dividende_je_Aktie!A$3:AM$103,14,FALSE)/VLOOKUP(A7,Ergebnis_je_Aktie_verwässert!A$3:AK$103,14,FALSE)&gt;=2,2,VLOOKUP(A7,Dividende_je_Aktie!A$3:AM$103,14,FALSE)/VLOOKUP(A7,Ergebnis_je_Aktie_verwässert!A$3:AK$103,14,FALSE))),""),"")</f>
        <v>0.5594194133655882</v>
      </c>
      <c r="AC7" s="71">
        <f>IF(VLOOKUP(A7,Dividende_je_Aktie!A$3:AM$103,15,FALSE)&lt;&gt;"",IF(VLOOKUP(A7,Ergebnis_je_Aktie_verwässert!A$3:AK$103,15,FALSE)&lt;&gt;"",IF(VLOOKUP(A7,Ergebnis_je_Aktie_verwässert!A$3:AK$103,15,FALSE)&lt;=0,2,IF(VLOOKUP(A7,Dividende_je_Aktie!A$3:AM$103,15,FALSE)/VLOOKUP(A7,Ergebnis_je_Aktie_verwässert!A$3:AK$103,15,FALSE)&gt;=2,2,VLOOKUP(A7,Dividende_je_Aktie!A$3:AM$103,15,FALSE)/VLOOKUP(A7,Ergebnis_je_Aktie_verwässert!A$3:AK$103,15,FALSE))),""),"")</f>
        <v>0.52134245682632785</v>
      </c>
      <c r="AD7" s="71">
        <f>IF(VLOOKUP(A7,Dividende_je_Aktie!A$3:AM$103,16,FALSE)&lt;&gt;"",IF(VLOOKUP(A7,Ergebnis_je_Aktie_verwässert!A$3:AK$103,16,FALSE)&lt;&gt;"",IF(VLOOKUP(A7,Ergebnis_je_Aktie_verwässert!A$3:AK$103,16,FALSE)&lt;=0,2,IF(VLOOKUP(A7,Dividende_je_Aktie!A$3:AM$103,16,FALSE)/VLOOKUP(A7,Ergebnis_je_Aktie_verwässert!A$3:AK$103,16,FALSE)&gt;=2,2,VLOOKUP(A7,Dividende_je_Aktie!A$3:AM$103,16,FALSE)/VLOOKUP(A7,Ergebnis_je_Aktie_verwässert!A$3:AK$103,16,FALSE))),""),"")</f>
        <v>0.5048683736025964</v>
      </c>
      <c r="AE7" s="71">
        <f>IF(VLOOKUP(A7,Dividende_je_Aktie!A$3:AM$103,17,FALSE)&lt;&gt;"",IF(VLOOKUP(A7,Ergebnis_je_Aktie_verwässert!A$3:AK$103,17,FALSE)&lt;&gt;"",IF(VLOOKUP(A7,Ergebnis_je_Aktie_verwässert!A$3:AK$103,17,FALSE)&lt;=0,2,IF(VLOOKUP(A7,Dividende_je_Aktie!A$3:AM$103,17,FALSE)/VLOOKUP(A7,Ergebnis_je_Aktie_verwässert!A$3:AK$103,17,FALSE)&gt;=2,2,VLOOKUP(A7,Dividende_je_Aktie!A$3:AM$103,17,FALSE)/VLOOKUP(A7,Ergebnis_je_Aktie_verwässert!A$3:AK$103,17,FALSE))),""),"")</f>
        <v>0.42822042822042816</v>
      </c>
      <c r="AF7" s="71">
        <f>IF(VLOOKUP(A7,Dividende_je_Aktie!A$3:AM$103,18,FALSE)&lt;&gt;"",IF(VLOOKUP(A7,Ergebnis_je_Aktie_verwässert!A$3:AK$103,18,FALSE)&lt;&gt;"",IF(VLOOKUP(A7,Ergebnis_je_Aktie_verwässert!A$3:AK$103,18,FALSE)&lt;=0,2,IF(VLOOKUP(A7,Dividende_je_Aktie!A$3:AM$103,18,FALSE)/VLOOKUP(A7,Ergebnis_je_Aktie_verwässert!A$3:AK$103,18,FALSE)&gt;=2,2,VLOOKUP(A7,Dividende_je_Aktie!A$3:AM$103,18,FALSE)/VLOOKUP(A7,Ergebnis_je_Aktie_verwässert!A$3:AK$103,18,FALSE))),""),"")</f>
        <v>0.42448979591836733</v>
      </c>
      <c r="AG7" s="105">
        <f t="shared" si="1"/>
        <v>0.58121482142471836</v>
      </c>
      <c r="AH7" s="4">
        <f t="shared" ca="1" si="2"/>
        <v>0</v>
      </c>
      <c r="AI7" s="4">
        <f t="shared" ca="1" si="3"/>
        <v>108</v>
      </c>
      <c r="AJ7" s="4">
        <f t="shared" ca="1" si="4"/>
        <v>252</v>
      </c>
      <c r="AK7" s="10">
        <f t="shared" ca="1" si="5"/>
        <v>0.67327336133787741</v>
      </c>
      <c r="AL7" s="5">
        <f t="shared" ca="1" si="6"/>
        <v>0.15838986983762404</v>
      </c>
    </row>
    <row r="8" spans="1:38">
      <c r="A8" t="s">
        <v>8</v>
      </c>
      <c r="B8" t="s">
        <v>9</v>
      </c>
      <c r="C8" s="60">
        <v>31</v>
      </c>
      <c r="D8" s="60">
        <v>12</v>
      </c>
      <c r="E8" s="60">
        <v>2016</v>
      </c>
      <c r="F8" s="71">
        <f>IF(VLOOKUP(A8,Dividende_je_Aktie!A$3:AM$103,6,FALSE)&lt;&gt;"",IF(VLOOKUP(A8,Ergebnis_je_Aktie_verwässert!A$3:AK$103,6,FALSE)&lt;&gt;"",IF(VLOOKUP(A8,Ergebnis_je_Aktie_verwässert!A$3:AK$103,6,FALSE)&lt;=0,2,IF(VLOOKUP(A8,Dividende_je_Aktie!A$3:AM$103,6,FALSE)/VLOOKUP(A8,Ergebnis_je_Aktie_verwässert!A$3:AK$103,6,FALSE)&gt;=2,2,VLOOKUP(A8,Dividende_je_Aktie!A$3:AM$103,6,FALSE)/VLOOKUP(A8,Ergebnis_je_Aktie_verwässert!A$3:AK$103,6,FALSE))),""),"")</f>
        <v>0.21652421652421655</v>
      </c>
      <c r="G8" s="71">
        <f>IF(VLOOKUP(A8,Dividende_je_Aktie!A$3:AM$103,7,FALSE)&lt;&gt;"",IF(VLOOKUP(A8,Ergebnis_je_Aktie_verwässert!A$3:AK$103,7,FALSE)&lt;&gt;"",IF(VLOOKUP(A8,Ergebnis_je_Aktie_verwässert!A$3:AK$103,7,FALSE)&lt;=0,2,IF(VLOOKUP(A8,Dividende_je_Aktie!A$3:AM$103,7,FALSE)/VLOOKUP(A8,Ergebnis_je_Aktie_verwässert!A$3:AK$103,7,FALSE)&gt;=2,2,VLOOKUP(A8,Dividende_je_Aktie!A$3:AM$103,7,FALSE)/VLOOKUP(A8,Ergebnis_je_Aktie_verwässert!A$3:AK$103,7,FALSE))),""),"")</f>
        <v>0.22981366459627328</v>
      </c>
      <c r="H8" s="71">
        <f>IF(VLOOKUP(A8,Fiktive_Dividende!A$3:AM$103,14,FALSE)&lt;&gt;"",IF(VLOOKUP(A8,Ergebnis_je_Aktie_verwässert!A$3:AK$103,8,FALSE)&lt;&gt;"",IF(VLOOKUP(A8,Ergebnis_je_Aktie_verwässert!A$3:AK$103,8,FALSE)&lt;=0,2,IF(VLOOKUP(A8,Fiktive_Dividende!A$3:AM$103,14,FALSE)/VLOOKUP(A8,Ergebnis_je_Aktie_verwässert!A$3:AK$103,8,FALSE)&gt;=2,2,VLOOKUP(A8,Fiktive_Dividende!A$3:AM$103,14,FALSE)/VLOOKUP(A8,Ergebnis_je_Aktie_verwässert!A$3:AK$103,8,FALSE))),""),"")</f>
        <v>0.24414715719063543</v>
      </c>
      <c r="I8" s="71">
        <f>IF(VLOOKUP(A8,Fiktive_Dividende!A$3:AM$103,15,FALSE)&lt;&gt;"",IF(VLOOKUP(A8,Ergebnis_je_Aktie_verwässert!A$3:AK$103,9,FALSE)&lt;&gt;"",IF(VLOOKUP(A8,Ergebnis_je_Aktie_verwässert!A$3:AK$103,9,FALSE)&lt;=0,2,IF(VLOOKUP(A8,Fiktive_Dividende!A$3:AM$103,15,FALSE)/VLOOKUP(A8,Ergebnis_je_Aktie_verwässert!A$3:AK$103,9,FALSE)&gt;=2,2,VLOOKUP(A8,Fiktive_Dividende!A$3:AM$103,15,FALSE)/VLOOKUP(A8,Ergebnis_je_Aktie_verwässert!A$3:AK$103,9,FALSE))),""),"")</f>
        <v>0.24054982817869414</v>
      </c>
      <c r="J8" s="71">
        <f>IF(VLOOKUP(A8,Fiktive_Dividende!A$3:AM$103,16,FALSE)&lt;&gt;"",IF(VLOOKUP(A8,Ergebnis_je_Aktie_verwässert!A$3:AK$103,10,FALSE)&lt;&gt;"",IF(VLOOKUP(A8,Ergebnis_je_Aktie_verwässert!A$3:AK$103,10,FALSE)&lt;=0,2,IF(VLOOKUP(A8,Fiktive_Dividende!A$3:AM$103,16,FALSE)/VLOOKUP(A8,Ergebnis_je_Aktie_verwässert!A$3:AK$103,10,FALSE)&gt;=2,2,VLOOKUP(A8,Fiktive_Dividende!A$3:AM$103,16,FALSE)/VLOOKUP(A8,Ergebnis_je_Aktie_verwässert!A$3:AK$103,10,FALSE))),""),"")</f>
        <v>0.27667984189723321</v>
      </c>
      <c r="K8" s="71">
        <f>IF(VLOOKUP(A8,Fiktive_Dividende!A$3:AM$103,17,FALSE)&lt;&gt;"",IF(VLOOKUP(A8,Ergebnis_je_Aktie_verwässert!A$3:AK$103,11,FALSE)&lt;&gt;"",IF(VLOOKUP(A8,Ergebnis_je_Aktie_verwässert!A$3:AK$103,11,FALSE)&lt;=0,2,IF(VLOOKUP(A8,Fiktive_Dividende!A$3:AM$103,17,FALSE)/VLOOKUP(A8,Ergebnis_je_Aktie_verwässert!A$3:AK$103,11,FALSE)&gt;=2,2,VLOOKUP(A8,Fiktive_Dividende!A$3:AM$103,17,FALSE)/VLOOKUP(A8,Ergebnis_je_Aktie_verwässert!A$3:AK$103,11,FALSE))),""),"")</f>
        <v>0.30042918454935619</v>
      </c>
      <c r="L8" s="71">
        <f>IF(VLOOKUP(A8,Fiktive_Dividende!A$3:AM$103,18,FALSE)&lt;&gt;"",IF(VLOOKUP(A8,Ergebnis_je_Aktie_verwässert!A$3:AK$103,12,FALSE)&lt;&gt;"",IF(VLOOKUP(A8,Ergebnis_je_Aktie_verwässert!A$3:AK$103,12,FALSE)&lt;=0,2,IF(VLOOKUP(A8,Fiktive_Dividende!A$3:AM$103,18,FALSE)/VLOOKUP(A8,Ergebnis_je_Aktie_verwässert!A$3:AK$103,12,FALSE)&gt;=2,2,VLOOKUP(A8,Fiktive_Dividende!A$3:AM$103,18,FALSE)/VLOOKUP(A8,Ergebnis_je_Aktie_verwässert!A$3:AK$103,12,FALSE))),""),"")</f>
        <v>0.33653846153846151</v>
      </c>
      <c r="M8" s="71">
        <f>IF(VLOOKUP(A8,Fiktive_Dividende!A$3:AM$103,19,FALSE)&lt;&gt;"",IF(VLOOKUP(A8,Ergebnis_je_Aktie_verwässert!A$3:AK$103,13,FALSE)&lt;&gt;"",IF(VLOOKUP(A8,Ergebnis_je_Aktie_verwässert!A$3:AK$103,13,FALSE)&lt;=0,2,IF(VLOOKUP(A8,Fiktive_Dividende!A$3:AM$103,19,FALSE)/VLOOKUP(A8,Ergebnis_je_Aktie_verwässert!A$3:AK$103,13,FALSE)&gt;=2,2,VLOOKUP(A8,Fiktive_Dividende!A$3:AM$103,19,FALSE)/VLOOKUP(A8,Ergebnis_je_Aktie_verwässert!A$3:AK$103,13,FALSE))),""),"")</f>
        <v>0.37433155080213898</v>
      </c>
      <c r="N8" s="71">
        <f>IF(VLOOKUP(A8,Fiktive_Dividende!A$3:AM$103,20,FALSE)&lt;&gt;"",IF(VLOOKUP(A8,Ergebnis_je_Aktie_verwässert!A$3:AK$103,14,FALSE)&lt;&gt;"",IF(VLOOKUP(A8,Ergebnis_je_Aktie_verwässert!A$3:AK$103,14,FALSE)&lt;=0,2,IF(VLOOKUP(A8,Fiktive_Dividende!A$3:AM$103,20,FALSE)/VLOOKUP(A8,Ergebnis_je_Aktie_verwässert!A$3:AK$103,14,FALSE)&gt;=2,2,VLOOKUP(A8,Fiktive_Dividende!A$3:AM$103,20,FALSE)/VLOOKUP(A8,Ergebnis_je_Aktie_verwässert!A$3:AK$103,14,FALSE))),""),"")</f>
        <v>0.38043478260869562</v>
      </c>
      <c r="O8" s="71">
        <f>IF(VLOOKUP(A8,Fiktive_Dividende!A$3:AM$103,21,FALSE)&lt;&gt;"",IF(VLOOKUP(A8,Ergebnis_je_Aktie_verwässert!A$3:AK$103,15,FALSE)&lt;&gt;"",IF(VLOOKUP(A8,Ergebnis_je_Aktie_verwässert!A$3:AK$103,15,FALSE)&lt;=0,2,IF(VLOOKUP(A8,Fiktive_Dividende!A$3:AM$103,21,FALSE)/VLOOKUP(A8,Ergebnis_je_Aktie_verwässert!A$3:AK$103,15,FALSE)&gt;=2,2,VLOOKUP(A8,Fiktive_Dividende!A$3:AM$103,21,FALSE)/VLOOKUP(A8,Ergebnis_je_Aktie_verwässert!A$3:AK$103,15,FALSE))),""),"")</f>
        <v>0.42424242424242425</v>
      </c>
      <c r="P8" s="71">
        <f>IF(VLOOKUP(A8,Fiktive_Dividende!A$3:AM$103,22,FALSE)&lt;&gt;"",IF(VLOOKUP(A8,Ergebnis_je_Aktie_verwässert!A$3:AK$103,16,FALSE)&lt;&gt;"",IF(VLOOKUP(A8,Ergebnis_je_Aktie_verwässert!A$3:AK$103,16,FALSE)&lt;=0,2,IF(VLOOKUP(A8,Fiktive_Dividende!A$3:AM$103,22,FALSE)/VLOOKUP(A8,Ergebnis_je_Aktie_verwässert!A$3:AK$103,16,FALSE)&gt;=2,2,VLOOKUP(A8,Fiktive_Dividende!A$3:AM$103,22,FALSE)/VLOOKUP(A8,Ergebnis_je_Aktie_verwässert!A$3:AK$103,16,FALSE))),""),"")</f>
        <v>0.32407407407407401</v>
      </c>
      <c r="Q8" s="71">
        <f>IF(VLOOKUP(A8,Fiktive_Dividende!A$3:AM$103,23,FALSE)&lt;&gt;"",IF(VLOOKUP(A8,Ergebnis_je_Aktie_verwässert!A$3:AK$103,17,FALSE)&lt;&gt;"",IF(VLOOKUP(A8,Ergebnis_je_Aktie_verwässert!A$3:AK$103,17,FALSE)&lt;=0,2,IF(VLOOKUP(A8,Fiktive_Dividende!A$3:AM$103,23,FALSE)/VLOOKUP(A8,Ergebnis_je_Aktie_verwässert!A$3:AK$103,17,FALSE)&gt;=2,2,VLOOKUP(A8,Fiktive_Dividende!A$3:AM$103,23,FALSE)/VLOOKUP(A8,Ergebnis_je_Aktie_verwässert!A$3:AK$103,17,FALSE))),""),"")</f>
        <v>0.330188679245283</v>
      </c>
      <c r="R8" s="71">
        <f>IF(VLOOKUP(A8,Fiktive_Dividende!A$3:AM$103,24,FALSE)&lt;&gt;"",IF(VLOOKUP(A8,Ergebnis_je_Aktie_verwässert!A$3:AK$103,18,FALSE)&lt;&gt;"",IF(VLOOKUP(A8,Ergebnis_je_Aktie_verwässert!A$3:AK$103,18,FALSE)&lt;=0,2,IF(VLOOKUP(A8,Fiktive_Dividende!A$3:AM$103,24,FALSE)/VLOOKUP(A8,Ergebnis_je_Aktie_verwässert!A$3:AK$103,18,FALSE)&gt;=2,2,VLOOKUP(A8,Fiktive_Dividende!A$3:AM$103,24,FALSE)/VLOOKUP(A8,Ergebnis_je_Aktie_verwässert!A$3:AK$103,18,FALSE))),""),"")</f>
        <v>0.35502958579881655</v>
      </c>
      <c r="S8" s="105">
        <f t="shared" si="0"/>
        <v>0.31022949624971558</v>
      </c>
      <c r="T8" s="71">
        <f>IF(VLOOKUP(A8,Dividende_je_Aktie!A$3:AM$103,6,FALSE)&lt;&gt;"",IF(VLOOKUP(A8,Ergebnis_je_Aktie_verwässert!A$3:AK$103,6,FALSE)&lt;&gt;"",IF(VLOOKUP(A8,Ergebnis_je_Aktie_verwässert!A$3:AK$103,6,FALSE)&lt;=0,2,IF(VLOOKUP(A8,Dividende_je_Aktie!A$3:AM$103,6,FALSE)/VLOOKUP(A8,Ergebnis_je_Aktie_verwässert!A$3:AK$103,6,FALSE)&gt;=2,2,VLOOKUP(A8,Dividende_je_Aktie!A$3:AM$103,6,FALSE)/VLOOKUP(A8,Ergebnis_je_Aktie_verwässert!A$3:AK$103,6,FALSE))),""),"")</f>
        <v>0.21652421652421655</v>
      </c>
      <c r="U8" s="71">
        <f>IF(VLOOKUP(A8,Dividende_je_Aktie!A$3:AM$103,7,FALSE)&lt;&gt;"",IF(VLOOKUP(A8,Ergebnis_je_Aktie_verwässert!A$3:AK$103,7,FALSE)&lt;&gt;"",IF(VLOOKUP(A8,Ergebnis_je_Aktie_verwässert!A$3:AK$103,7,FALSE)&lt;=0,2,IF(VLOOKUP(A8,Dividende_je_Aktie!A$3:AM$103,7,FALSE)/VLOOKUP(A8,Ergebnis_je_Aktie_verwässert!A$3:AK$103,7,FALSE)&gt;=2,2,VLOOKUP(A8,Dividende_je_Aktie!A$3:AM$103,7,FALSE)/VLOOKUP(A8,Ergebnis_je_Aktie_verwässert!A$3:AK$103,7,FALSE))),""),"")</f>
        <v>0.22981366459627328</v>
      </c>
      <c r="V8" s="71">
        <f>IF(VLOOKUP(A8,Dividende_je_Aktie!A$3:AM$103,8,FALSE)&lt;&gt;"",IF(VLOOKUP(A8,Ergebnis_je_Aktie_verwässert!A$3:AK$103,8,FALSE)&lt;&gt;"",IF(VLOOKUP(A8,Ergebnis_je_Aktie_verwässert!A$3:AK$103,8,FALSE)&lt;=0,2,IF(VLOOKUP(A8,Dividende_je_Aktie!A$3:AM$103,8,FALSE)/VLOOKUP(A8,Ergebnis_je_Aktie_verwässert!A$3:AK$103,8,FALSE)&gt;=2,2,VLOOKUP(A8,Dividende_je_Aktie!A$3:AM$103,8,FALSE)/VLOOKUP(A8,Ergebnis_je_Aktie_verwässert!A$3:AK$103,8,FALSE))),""),"")</f>
        <v>0.24414715719063543</v>
      </c>
      <c r="W8" s="71">
        <f>IF(VLOOKUP(A8,Dividende_je_Aktie!A$3:AM$103,9,FALSE)&lt;&gt;"",IF(VLOOKUP(A8,Ergebnis_je_Aktie_verwässert!A$3:AK$103,9,FALSE)&lt;&gt;"",IF(VLOOKUP(A8,Ergebnis_je_Aktie_verwässert!A$3:AK$103,9,FALSE)&lt;=0,2,IF(VLOOKUP(A8,Dividende_je_Aktie!A$3:AM$103,9,FALSE)/VLOOKUP(A8,Ergebnis_je_Aktie_verwässert!A$3:AK$103,9,FALSE)&gt;=2,2,VLOOKUP(A8,Dividende_je_Aktie!A$3:AM$103,9,FALSE)/VLOOKUP(A8,Ergebnis_je_Aktie_verwässert!A$3:AK$103,9,FALSE))),""),"")</f>
        <v>0.24054982817869414</v>
      </c>
      <c r="X8" s="71">
        <f>IF(VLOOKUP(A8,Dividende_je_Aktie!A$3:AM$103,10,FALSE)&lt;&gt;"",IF(VLOOKUP(A8,Ergebnis_je_Aktie_verwässert!A$3:AK$103,10,FALSE)&lt;&gt;"",IF(VLOOKUP(A8,Ergebnis_je_Aktie_verwässert!A$3:AK$103,10,FALSE)&lt;=0,2,IF(VLOOKUP(A8,Dividende_je_Aktie!A$3:AM$103,10,FALSE)/VLOOKUP(A8,Ergebnis_je_Aktie_verwässert!A$3:AK$103,10,FALSE)&gt;=2,2,VLOOKUP(A8,Dividende_je_Aktie!A$3:AM$103,10,FALSE)/VLOOKUP(A8,Ergebnis_je_Aktie_verwässert!A$3:AK$103,10,FALSE))),""),"")</f>
        <v>0.27667984189723321</v>
      </c>
      <c r="Y8" s="71">
        <f>IF(VLOOKUP(A8,Dividende_je_Aktie!A$3:AM$103,11,FALSE)&lt;&gt;"",IF(VLOOKUP(A8,Ergebnis_je_Aktie_verwässert!A$3:AK$103,11,FALSE)&lt;&gt;"",IF(VLOOKUP(A8,Ergebnis_je_Aktie_verwässert!A$3:AK$103,11,FALSE)&lt;=0,2,IF(VLOOKUP(A8,Dividende_je_Aktie!A$3:AM$103,11,FALSE)/VLOOKUP(A8,Ergebnis_je_Aktie_verwässert!A$3:AK$103,11,FALSE)&gt;=2,2,VLOOKUP(A8,Dividende_je_Aktie!A$3:AM$103,11,FALSE)/VLOOKUP(A8,Ergebnis_je_Aktie_verwässert!A$3:AK$103,11,FALSE))),""),"")</f>
        <v>0.30042918454935619</v>
      </c>
      <c r="Z8" s="71">
        <f>IF(VLOOKUP(A8,Dividende_je_Aktie!A$3:AM$103,12,FALSE)&lt;&gt;"",IF(VLOOKUP(A8,Ergebnis_je_Aktie_verwässert!A$3:AK$103,12,FALSE)&lt;&gt;"",IF(VLOOKUP(A8,Ergebnis_je_Aktie_verwässert!A$3:AK$103,12,FALSE)&lt;=0,2,IF(VLOOKUP(A8,Dividende_je_Aktie!A$3:AM$103,12,FALSE)/VLOOKUP(A8,Ergebnis_je_Aktie_verwässert!A$3:AK$103,12,FALSE)&gt;=2,2,VLOOKUP(A8,Dividende_je_Aktie!A$3:AM$103,12,FALSE)/VLOOKUP(A8,Ergebnis_je_Aktie_verwässert!A$3:AK$103,12,FALSE))),""),"")</f>
        <v>0.33653846153846151</v>
      </c>
      <c r="AA8" s="71">
        <f>IF(VLOOKUP(A8,Dividende_je_Aktie!A$3:AM$103,13,FALSE)&lt;&gt;"",IF(VLOOKUP(A8,Ergebnis_je_Aktie_verwässert!A$3:AK$103,13,FALSE)&lt;&gt;"",IF(VLOOKUP(A8,Ergebnis_je_Aktie_verwässert!A$3:AK$103,13,FALSE)&lt;=0,2,IF(VLOOKUP(A8,Dividende_je_Aktie!A$3:AM$103,13,FALSE)/VLOOKUP(A8,Ergebnis_je_Aktie_verwässert!A$3:AK$103,13,FALSE)&gt;=2,2,VLOOKUP(A8,Dividende_je_Aktie!A$3:AM$103,13,FALSE)/VLOOKUP(A8,Ergebnis_je_Aktie_verwässert!A$3:AK$103,13,FALSE))),""),"")</f>
        <v>0.37433155080213898</v>
      </c>
      <c r="AB8" s="71">
        <f>IF(VLOOKUP(A8,Dividende_je_Aktie!A$3:AM$103,14,FALSE)&lt;&gt;"",IF(VLOOKUP(A8,Ergebnis_je_Aktie_verwässert!A$3:AK$103,14,FALSE)&lt;&gt;"",IF(VLOOKUP(A8,Ergebnis_je_Aktie_verwässert!A$3:AK$103,14,FALSE)&lt;=0,2,IF(VLOOKUP(A8,Dividende_je_Aktie!A$3:AM$103,14,FALSE)/VLOOKUP(A8,Ergebnis_je_Aktie_verwässert!A$3:AK$103,14,FALSE)&gt;=2,2,VLOOKUP(A8,Dividende_je_Aktie!A$3:AM$103,14,FALSE)/VLOOKUP(A8,Ergebnis_je_Aktie_verwässert!A$3:AK$103,14,FALSE))),""),"")</f>
        <v>0.38043478260869562</v>
      </c>
      <c r="AC8" s="71">
        <f>IF(VLOOKUP(A8,Dividende_je_Aktie!A$3:AM$103,15,FALSE)&lt;&gt;"",IF(VLOOKUP(A8,Ergebnis_je_Aktie_verwässert!A$3:AK$103,15,FALSE)&lt;&gt;"",IF(VLOOKUP(A8,Ergebnis_je_Aktie_verwässert!A$3:AK$103,15,FALSE)&lt;=0,2,IF(VLOOKUP(A8,Dividende_je_Aktie!A$3:AM$103,15,FALSE)/VLOOKUP(A8,Ergebnis_je_Aktie_verwässert!A$3:AK$103,15,FALSE)&gt;=2,2,VLOOKUP(A8,Dividende_je_Aktie!A$3:AM$103,15,FALSE)/VLOOKUP(A8,Ergebnis_je_Aktie_verwässert!A$3:AK$103,15,FALSE))),""),"")</f>
        <v>0.42424242424242425</v>
      </c>
      <c r="AD8" s="71">
        <f>IF(VLOOKUP(A8,Dividende_je_Aktie!A$3:AM$103,16,FALSE)&lt;&gt;"",IF(VLOOKUP(A8,Ergebnis_je_Aktie_verwässert!A$3:AK$103,16,FALSE)&lt;&gt;"",IF(VLOOKUP(A8,Ergebnis_je_Aktie_verwässert!A$3:AK$103,16,FALSE)&lt;=0,2,IF(VLOOKUP(A8,Dividende_je_Aktie!A$3:AM$103,16,FALSE)/VLOOKUP(A8,Ergebnis_je_Aktie_verwässert!A$3:AK$103,16,FALSE)&gt;=2,2,VLOOKUP(A8,Dividende_je_Aktie!A$3:AM$103,16,FALSE)/VLOOKUP(A8,Ergebnis_je_Aktie_verwässert!A$3:AK$103,16,FALSE))),""),"")</f>
        <v>0.32407407407407401</v>
      </c>
      <c r="AE8" s="71">
        <f>IF(VLOOKUP(A8,Dividende_je_Aktie!A$3:AM$103,17,FALSE)&lt;&gt;"",IF(VLOOKUP(A8,Ergebnis_je_Aktie_verwässert!A$3:AK$103,17,FALSE)&lt;&gt;"",IF(VLOOKUP(A8,Ergebnis_je_Aktie_verwässert!A$3:AK$103,17,FALSE)&lt;=0,2,IF(VLOOKUP(A8,Dividende_je_Aktie!A$3:AM$103,17,FALSE)/VLOOKUP(A8,Ergebnis_je_Aktie_verwässert!A$3:AK$103,17,FALSE)&gt;=2,2,VLOOKUP(A8,Dividende_je_Aktie!A$3:AM$103,17,FALSE)/VLOOKUP(A8,Ergebnis_je_Aktie_verwässert!A$3:AK$103,17,FALSE))),""),"")</f>
        <v>0.330188679245283</v>
      </c>
      <c r="AF8" s="71">
        <f>IF(VLOOKUP(A8,Dividende_je_Aktie!A$3:AM$103,18,FALSE)&lt;&gt;"",IF(VLOOKUP(A8,Ergebnis_je_Aktie_verwässert!A$3:AK$103,18,FALSE)&lt;&gt;"",IF(VLOOKUP(A8,Ergebnis_je_Aktie_verwässert!A$3:AK$103,18,FALSE)&lt;=0,2,IF(VLOOKUP(A8,Dividende_je_Aktie!A$3:AM$103,18,FALSE)/VLOOKUP(A8,Ergebnis_je_Aktie_verwässert!A$3:AK$103,18,FALSE)&gt;=2,2,VLOOKUP(A8,Dividende_je_Aktie!A$3:AM$103,18,FALSE)/VLOOKUP(A8,Ergebnis_je_Aktie_verwässert!A$3:AK$103,18,FALSE))),""),"")</f>
        <v>0.35502958579881655</v>
      </c>
      <c r="AG8" s="105">
        <f t="shared" si="1"/>
        <v>0.31022949624971558</v>
      </c>
      <c r="AH8" s="4">
        <f t="shared" ca="1" si="2"/>
        <v>0</v>
      </c>
      <c r="AI8" s="4">
        <f t="shared" ca="1" si="3"/>
        <v>108</v>
      </c>
      <c r="AJ8" s="4">
        <f t="shared" ca="1" si="4"/>
        <v>252</v>
      </c>
      <c r="AK8" s="10">
        <f t="shared" ca="1" si="5"/>
        <v>0.23984710941232679</v>
      </c>
      <c r="AL8" s="5">
        <f t="shared" ca="1" si="6"/>
        <v>-0.2268720018187288</v>
      </c>
    </row>
    <row r="9" spans="1:38">
      <c r="A9" t="s">
        <v>10</v>
      </c>
      <c r="B9" t="s">
        <v>11</v>
      </c>
      <c r="C9" s="60">
        <v>31</v>
      </c>
      <c r="D9" s="60">
        <v>12</v>
      </c>
      <c r="E9" s="60">
        <v>2016</v>
      </c>
      <c r="F9" s="71">
        <f>IF(VLOOKUP(A9,Dividende_je_Aktie!A$3:AM$103,6,FALSE)&lt;&gt;"",IF(VLOOKUP(A9,Ergebnis_je_Aktie_verwässert!A$3:AK$103,6,FALSE)&lt;&gt;"",IF(VLOOKUP(A9,Ergebnis_je_Aktie_verwässert!A$3:AK$103,6,FALSE)&lt;=0,2,IF(VLOOKUP(A9,Dividende_je_Aktie!A$3:AM$103,6,FALSE)/VLOOKUP(A9,Ergebnis_je_Aktie_verwässert!A$3:AK$103,6,FALSE)&gt;=2,2,VLOOKUP(A9,Dividende_je_Aktie!A$3:AM$103,6,FALSE)/VLOOKUP(A9,Ergebnis_je_Aktie_verwässert!A$3:AK$103,6,FALSE))),""),"")</f>
        <v>0.52320675105485226</v>
      </c>
      <c r="G9" s="71">
        <f>IF(VLOOKUP(A9,Dividende_je_Aktie!A$3:AM$103,7,FALSE)&lt;&gt;"",IF(VLOOKUP(A9,Ergebnis_je_Aktie_verwässert!A$3:AK$103,7,FALSE)&lt;&gt;"",IF(VLOOKUP(A9,Ergebnis_je_Aktie_verwässert!A$3:AK$103,7,FALSE)&lt;=0,2,IF(VLOOKUP(A9,Dividende_je_Aktie!A$3:AM$103,7,FALSE)/VLOOKUP(A9,Ergebnis_je_Aktie_verwässert!A$3:AK$103,7,FALSE)&gt;=2,2,VLOOKUP(A9,Dividende_je_Aktie!A$3:AM$103,7,FALSE)/VLOOKUP(A9,Ergebnis_je_Aktie_verwässert!A$3:AK$103,7,FALSE))),""),"")</f>
        <v>0.47511312217194573</v>
      </c>
      <c r="H9" s="71">
        <f>IF(VLOOKUP(A9,Fiktive_Dividende!A$3:AM$103,14,FALSE)&lt;&gt;"",IF(VLOOKUP(A9,Ergebnis_je_Aktie_verwässert!A$3:AK$103,8,FALSE)&lt;&gt;"",IF(VLOOKUP(A9,Ergebnis_je_Aktie_verwässert!A$3:AK$103,8,FALSE)&lt;=0,2,IF(VLOOKUP(A9,Fiktive_Dividende!A$3:AM$103,14,FALSE)/VLOOKUP(A9,Ergebnis_je_Aktie_verwässert!A$3:AK$103,8,FALSE)&gt;=2,2,VLOOKUP(A9,Fiktive_Dividende!A$3:AM$103,14,FALSE)/VLOOKUP(A9,Ergebnis_je_Aktie_verwässert!A$3:AK$103,8,FALSE))),""),"")</f>
        <v>0.47058823529411764</v>
      </c>
      <c r="I9" s="71">
        <f>IF(VLOOKUP(A9,Fiktive_Dividende!A$3:AM$103,15,FALSE)&lt;&gt;"",IF(VLOOKUP(A9,Ergebnis_je_Aktie_verwässert!A$3:AK$103,9,FALSE)&lt;&gt;"",IF(VLOOKUP(A9,Ergebnis_je_Aktie_verwässert!A$3:AK$103,9,FALSE)&lt;=0,2,IF(VLOOKUP(A9,Fiktive_Dividende!A$3:AM$103,15,FALSE)/VLOOKUP(A9,Ergebnis_je_Aktie_verwässert!A$3:AK$103,9,FALSE)&gt;=2,2,VLOOKUP(A9,Fiktive_Dividende!A$3:AM$103,15,FALSE)/VLOOKUP(A9,Ergebnis_je_Aktie_verwässert!A$3:AK$103,9,FALSE))),""),"")</f>
        <v>0.69672131147540983</v>
      </c>
      <c r="J9" s="71">
        <f>IF(VLOOKUP(A9,Fiktive_Dividende!A$3:AM$103,16,FALSE)&lt;&gt;"",IF(VLOOKUP(A9,Ergebnis_je_Aktie_verwässert!A$3:AK$103,10,FALSE)&lt;&gt;"",IF(VLOOKUP(A9,Ergebnis_je_Aktie_verwässert!A$3:AK$103,10,FALSE)&lt;=0,2,IF(VLOOKUP(A9,Fiktive_Dividende!A$3:AM$103,16,FALSE)/VLOOKUP(A9,Ergebnis_je_Aktie_verwässert!A$3:AK$103,10,FALSE)&gt;=2,2,VLOOKUP(A9,Fiktive_Dividende!A$3:AM$103,16,FALSE)/VLOOKUP(A9,Ergebnis_je_Aktie_verwässert!A$3:AK$103,10,FALSE))),""),"")</f>
        <v>0.51829268292682928</v>
      </c>
      <c r="K9" s="71">
        <f>IF(VLOOKUP(A9,Fiktive_Dividende!A$3:AM$103,17,FALSE)&lt;&gt;"",IF(VLOOKUP(A9,Ergebnis_je_Aktie_verwässert!A$3:AK$103,11,FALSE)&lt;&gt;"",IF(VLOOKUP(A9,Ergebnis_je_Aktie_verwässert!A$3:AK$103,11,FALSE)&lt;=0,2,IF(VLOOKUP(A9,Fiktive_Dividende!A$3:AM$103,17,FALSE)/VLOOKUP(A9,Ergebnis_je_Aktie_verwässert!A$3:AK$103,11,FALSE)&gt;=2,2,VLOOKUP(A9,Fiktive_Dividende!A$3:AM$103,17,FALSE)/VLOOKUP(A9,Ergebnis_je_Aktie_verwässert!A$3:AK$103,11,FALSE))),""),"")</f>
        <v>0.48192771084337355</v>
      </c>
      <c r="L9" s="71">
        <f>IF(VLOOKUP(A9,Fiktive_Dividende!A$3:AM$103,18,FALSE)&lt;&gt;"",IF(VLOOKUP(A9,Ergebnis_je_Aktie_verwässert!A$3:AK$103,12,FALSE)&lt;&gt;"",IF(VLOOKUP(A9,Ergebnis_je_Aktie_verwässert!A$3:AK$103,12,FALSE)&lt;=0,2,IF(VLOOKUP(A9,Fiktive_Dividende!A$3:AM$103,18,FALSE)/VLOOKUP(A9,Ergebnis_je_Aktie_verwässert!A$3:AK$103,12,FALSE)&gt;=2,2,VLOOKUP(A9,Fiktive_Dividende!A$3:AM$103,18,FALSE)/VLOOKUP(A9,Ergebnis_je_Aktie_verwässert!A$3:AK$103,12,FALSE))),""),"")</f>
        <v>0.53030303030303028</v>
      </c>
      <c r="M9" s="71">
        <f>IF(VLOOKUP(A9,Fiktive_Dividende!A$3:AM$103,19,FALSE)&lt;&gt;"",IF(VLOOKUP(A9,Ergebnis_je_Aktie_verwässert!A$3:AK$103,13,FALSE)&lt;&gt;"",IF(VLOOKUP(A9,Ergebnis_je_Aktie_verwässert!A$3:AK$103,13,FALSE)&lt;=0,2,IF(VLOOKUP(A9,Fiktive_Dividende!A$3:AM$103,19,FALSE)/VLOOKUP(A9,Ergebnis_je_Aktie_verwässert!A$3:AK$103,13,FALSE)&gt;=2,2,VLOOKUP(A9,Fiktive_Dividende!A$3:AM$103,19,FALSE)/VLOOKUP(A9,Ergebnis_je_Aktie_verwässert!A$3:AK$103,13,FALSE))),""),"")</f>
        <v>0.72916666666666663</v>
      </c>
      <c r="N9" s="71">
        <f>IF(VLOOKUP(A9,Fiktive_Dividende!A$3:AM$103,20,FALSE)&lt;&gt;"",IF(VLOOKUP(A9,Ergebnis_je_Aktie_verwässert!A$3:AK$103,14,FALSE)&lt;&gt;"",IF(VLOOKUP(A9,Ergebnis_je_Aktie_verwässert!A$3:AK$103,14,FALSE)&lt;=0,2,IF(VLOOKUP(A9,Fiktive_Dividende!A$3:AM$103,20,FALSE)/VLOOKUP(A9,Ergebnis_je_Aktie_verwässert!A$3:AK$103,14,FALSE)&gt;=2,2,VLOOKUP(A9,Fiktive_Dividende!A$3:AM$103,20,FALSE)/VLOOKUP(A9,Ergebnis_je_Aktie_verwässert!A$3:AK$103,14,FALSE))),""),"")</f>
        <v>0.30952380952380953</v>
      </c>
      <c r="O9" s="71">
        <f>IF(VLOOKUP(A9,Fiktive_Dividende!A$3:AM$103,21,FALSE)&lt;&gt;"",IF(VLOOKUP(A9,Ergebnis_je_Aktie_verwässert!A$3:AK$103,15,FALSE)&lt;&gt;"",IF(VLOOKUP(A9,Ergebnis_je_Aktie_verwässert!A$3:AK$103,15,FALSE)&lt;=0,2,IF(VLOOKUP(A9,Fiktive_Dividende!A$3:AM$103,21,FALSE)/VLOOKUP(A9,Ergebnis_je_Aktie_verwässert!A$3:AK$103,15,FALSE)&gt;=2,2,VLOOKUP(A9,Fiktive_Dividende!A$3:AM$103,21,FALSE)/VLOOKUP(A9,Ergebnis_je_Aktie_verwässert!A$3:AK$103,15,FALSE))),""),"")</f>
        <v>1.1320754716981132</v>
      </c>
      <c r="P9" s="71">
        <f>IF(VLOOKUP(A9,Fiktive_Dividende!A$3:AM$103,22,FALSE)&lt;&gt;"",IF(VLOOKUP(A9,Ergebnis_je_Aktie_verwässert!A$3:AK$103,16,FALSE)&lt;&gt;"",IF(VLOOKUP(A9,Ergebnis_je_Aktie_verwässert!A$3:AK$103,16,FALSE)&lt;=0,2,IF(VLOOKUP(A9,Fiktive_Dividende!A$3:AM$103,22,FALSE)/VLOOKUP(A9,Ergebnis_je_Aktie_verwässert!A$3:AK$103,16,FALSE)&gt;=2,2,VLOOKUP(A9,Fiktive_Dividende!A$3:AM$103,22,FALSE)/VLOOKUP(A9,Ergebnis_je_Aktie_verwässert!A$3:AK$103,16,FALSE))),""),"")</f>
        <v>2</v>
      </c>
      <c r="Q9" s="71">
        <f>IF(VLOOKUP(A9,Fiktive_Dividende!A$3:AM$103,23,FALSE)&lt;&gt;"",IF(VLOOKUP(A9,Ergebnis_je_Aktie_verwässert!A$3:AK$103,17,FALSE)&lt;&gt;"",IF(VLOOKUP(A9,Ergebnis_je_Aktie_verwässert!A$3:AK$103,17,FALSE)&lt;=0,2,IF(VLOOKUP(A9,Fiktive_Dividende!A$3:AM$103,23,FALSE)/VLOOKUP(A9,Ergebnis_je_Aktie_verwässert!A$3:AK$103,17,FALSE)&gt;=2,2,VLOOKUP(A9,Fiktive_Dividende!A$3:AM$103,23,FALSE)/VLOOKUP(A9,Ergebnis_je_Aktie_verwässert!A$3:AK$103,17,FALSE))),""),"")</f>
        <v>0.78260869565217395</v>
      </c>
      <c r="R9" s="71">
        <f>IF(VLOOKUP(A9,Fiktive_Dividende!A$3:AM$103,24,FALSE)&lt;&gt;"",IF(VLOOKUP(A9,Ergebnis_je_Aktie_verwässert!A$3:AK$103,18,FALSE)&lt;&gt;"",IF(VLOOKUP(A9,Ergebnis_je_Aktie_verwässert!A$3:AK$103,18,FALSE)&lt;=0,2,IF(VLOOKUP(A9,Fiktive_Dividende!A$3:AM$103,24,FALSE)/VLOOKUP(A9,Ergebnis_je_Aktie_verwässert!A$3:AK$103,18,FALSE)&gt;=2,2,VLOOKUP(A9,Fiktive_Dividende!A$3:AM$103,24,FALSE)/VLOOKUP(A9,Ergebnis_je_Aktie_verwässert!A$3:AK$103,18,FALSE))),""),"")</f>
        <v>0.46875</v>
      </c>
      <c r="S9" s="105">
        <f t="shared" si="0"/>
        <v>0.70140596058540949</v>
      </c>
      <c r="T9" s="71">
        <f>IF(VLOOKUP(A9,Dividende_je_Aktie!A$3:AM$103,6,FALSE)&lt;&gt;"",IF(VLOOKUP(A9,Ergebnis_je_Aktie_verwässert!A$3:AK$103,6,FALSE)&lt;&gt;"",IF(VLOOKUP(A9,Ergebnis_je_Aktie_verwässert!A$3:AK$103,6,FALSE)&lt;=0,2,IF(VLOOKUP(A9,Dividende_je_Aktie!A$3:AM$103,6,FALSE)/VLOOKUP(A9,Ergebnis_je_Aktie_verwässert!A$3:AK$103,6,FALSE)&gt;=2,2,VLOOKUP(A9,Dividende_je_Aktie!A$3:AM$103,6,FALSE)/VLOOKUP(A9,Ergebnis_je_Aktie_verwässert!A$3:AK$103,6,FALSE))),""),"")</f>
        <v>0.52320675105485226</v>
      </c>
      <c r="U9" s="71">
        <f>IF(VLOOKUP(A9,Dividende_je_Aktie!A$3:AM$103,7,FALSE)&lt;&gt;"",IF(VLOOKUP(A9,Ergebnis_je_Aktie_verwässert!A$3:AK$103,7,FALSE)&lt;&gt;"",IF(VLOOKUP(A9,Ergebnis_je_Aktie_verwässert!A$3:AK$103,7,FALSE)&lt;=0,2,IF(VLOOKUP(A9,Dividende_je_Aktie!A$3:AM$103,7,FALSE)/VLOOKUP(A9,Ergebnis_je_Aktie_verwässert!A$3:AK$103,7,FALSE)&gt;=2,2,VLOOKUP(A9,Dividende_je_Aktie!A$3:AM$103,7,FALSE)/VLOOKUP(A9,Ergebnis_je_Aktie_verwässert!A$3:AK$103,7,FALSE))),""),"")</f>
        <v>0.47511312217194573</v>
      </c>
      <c r="V9" s="71">
        <f>IF(VLOOKUP(A9,Dividende_je_Aktie!A$3:AM$103,8,FALSE)&lt;&gt;"",IF(VLOOKUP(A9,Ergebnis_je_Aktie_verwässert!A$3:AK$103,8,FALSE)&lt;&gt;"",IF(VLOOKUP(A9,Ergebnis_je_Aktie_verwässert!A$3:AK$103,8,FALSE)&lt;=0,2,IF(VLOOKUP(A9,Dividende_je_Aktie!A$3:AM$103,8,FALSE)/VLOOKUP(A9,Ergebnis_je_Aktie_verwässert!A$3:AK$103,8,FALSE)&gt;=2,2,VLOOKUP(A9,Dividende_je_Aktie!A$3:AM$103,8,FALSE)/VLOOKUP(A9,Ergebnis_je_Aktie_verwässert!A$3:AK$103,8,FALSE))),""),"")</f>
        <v>0.47058823529411764</v>
      </c>
      <c r="W9" s="71">
        <f>IF(VLOOKUP(A9,Dividende_je_Aktie!A$3:AM$103,9,FALSE)&lt;&gt;"",IF(VLOOKUP(A9,Ergebnis_je_Aktie_verwässert!A$3:AK$103,9,FALSE)&lt;&gt;"",IF(VLOOKUP(A9,Ergebnis_je_Aktie_verwässert!A$3:AK$103,9,FALSE)&lt;=0,2,IF(VLOOKUP(A9,Dividende_je_Aktie!A$3:AM$103,9,FALSE)/VLOOKUP(A9,Ergebnis_je_Aktie_verwässert!A$3:AK$103,9,FALSE)&gt;=2,2,VLOOKUP(A9,Dividende_je_Aktie!A$3:AM$103,9,FALSE)/VLOOKUP(A9,Ergebnis_je_Aktie_verwässert!A$3:AK$103,9,FALSE))),""),"")</f>
        <v>0.69672131147540983</v>
      </c>
      <c r="X9" s="71">
        <f>IF(VLOOKUP(A9,Dividende_je_Aktie!A$3:AM$103,10,FALSE)&lt;&gt;"",IF(VLOOKUP(A9,Ergebnis_je_Aktie_verwässert!A$3:AK$103,10,FALSE)&lt;&gt;"",IF(VLOOKUP(A9,Ergebnis_je_Aktie_verwässert!A$3:AK$103,10,FALSE)&lt;=0,2,IF(VLOOKUP(A9,Dividende_je_Aktie!A$3:AM$103,10,FALSE)/VLOOKUP(A9,Ergebnis_je_Aktie_verwässert!A$3:AK$103,10,FALSE)&gt;=2,2,VLOOKUP(A9,Dividende_je_Aktie!A$3:AM$103,10,FALSE)/VLOOKUP(A9,Ergebnis_je_Aktie_verwässert!A$3:AK$103,10,FALSE))),""),"")</f>
        <v>0.51829268292682928</v>
      </c>
      <c r="Y9" s="71">
        <f>IF(VLOOKUP(A9,Dividende_je_Aktie!A$3:AM$103,11,FALSE)&lt;&gt;"",IF(VLOOKUP(A9,Ergebnis_je_Aktie_verwässert!A$3:AK$103,11,FALSE)&lt;&gt;"",IF(VLOOKUP(A9,Ergebnis_je_Aktie_verwässert!A$3:AK$103,11,FALSE)&lt;=0,2,IF(VLOOKUP(A9,Dividende_je_Aktie!A$3:AM$103,11,FALSE)/VLOOKUP(A9,Ergebnis_je_Aktie_verwässert!A$3:AK$103,11,FALSE)&gt;=2,2,VLOOKUP(A9,Dividende_je_Aktie!A$3:AM$103,11,FALSE)/VLOOKUP(A9,Ergebnis_je_Aktie_verwässert!A$3:AK$103,11,FALSE))),""),"")</f>
        <v>0.48192771084337355</v>
      </c>
      <c r="Z9" s="71">
        <f>IF(VLOOKUP(A9,Dividende_je_Aktie!A$3:AM$103,12,FALSE)&lt;&gt;"",IF(VLOOKUP(A9,Ergebnis_je_Aktie_verwässert!A$3:AK$103,12,FALSE)&lt;&gt;"",IF(VLOOKUP(A9,Ergebnis_je_Aktie_verwässert!A$3:AK$103,12,FALSE)&lt;=0,2,IF(VLOOKUP(A9,Dividende_je_Aktie!A$3:AM$103,12,FALSE)/VLOOKUP(A9,Ergebnis_je_Aktie_verwässert!A$3:AK$103,12,FALSE)&gt;=2,2,VLOOKUP(A9,Dividende_je_Aktie!A$3:AM$103,12,FALSE)/VLOOKUP(A9,Ergebnis_je_Aktie_verwässert!A$3:AK$103,12,FALSE))),""),"")</f>
        <v>0.53030303030303028</v>
      </c>
      <c r="AA9" s="71">
        <f>IF(VLOOKUP(A9,Dividende_je_Aktie!A$3:AM$103,13,FALSE)&lt;&gt;"",IF(VLOOKUP(A9,Ergebnis_je_Aktie_verwässert!A$3:AK$103,13,FALSE)&lt;&gt;"",IF(VLOOKUP(A9,Ergebnis_je_Aktie_verwässert!A$3:AK$103,13,FALSE)&lt;=0,2,IF(VLOOKUP(A9,Dividende_je_Aktie!A$3:AM$103,13,FALSE)/VLOOKUP(A9,Ergebnis_je_Aktie_verwässert!A$3:AK$103,13,FALSE)&gt;=2,2,VLOOKUP(A9,Dividende_je_Aktie!A$3:AM$103,13,FALSE)/VLOOKUP(A9,Ergebnis_je_Aktie_verwässert!A$3:AK$103,13,FALSE))),""),"")</f>
        <v>0.72916666666666663</v>
      </c>
      <c r="AB9" s="71">
        <f>IF(VLOOKUP(A9,Dividende_je_Aktie!A$3:AM$103,14,FALSE)&lt;&gt;"",IF(VLOOKUP(A9,Ergebnis_je_Aktie_verwässert!A$3:AK$103,14,FALSE)&lt;&gt;"",IF(VLOOKUP(A9,Ergebnis_je_Aktie_verwässert!A$3:AK$103,14,FALSE)&lt;=0,2,IF(VLOOKUP(A9,Dividende_je_Aktie!A$3:AM$103,14,FALSE)/VLOOKUP(A9,Ergebnis_je_Aktie_verwässert!A$3:AK$103,14,FALSE)&gt;=2,2,VLOOKUP(A9,Dividende_je_Aktie!A$3:AM$103,14,FALSE)/VLOOKUP(A9,Ergebnis_je_Aktie_verwässert!A$3:AK$103,14,FALSE))),""),"")</f>
        <v>0.30952380952380953</v>
      </c>
      <c r="AC9" s="71">
        <f>IF(VLOOKUP(A9,Dividende_je_Aktie!A$3:AM$103,15,FALSE)&lt;&gt;"",IF(VLOOKUP(A9,Ergebnis_je_Aktie_verwässert!A$3:AK$103,15,FALSE)&lt;&gt;"",IF(VLOOKUP(A9,Ergebnis_je_Aktie_verwässert!A$3:AK$103,15,FALSE)&lt;=0,2,IF(VLOOKUP(A9,Dividende_je_Aktie!A$3:AM$103,15,FALSE)/VLOOKUP(A9,Ergebnis_je_Aktie_verwässert!A$3:AK$103,15,FALSE)&gt;=2,2,VLOOKUP(A9,Dividende_je_Aktie!A$3:AM$103,15,FALSE)/VLOOKUP(A9,Ergebnis_je_Aktie_verwässert!A$3:AK$103,15,FALSE))),""),"")</f>
        <v>1.1320754716981132</v>
      </c>
      <c r="AD9" s="71">
        <f>IF(VLOOKUP(A9,Dividende_je_Aktie!A$3:AM$103,16,FALSE)&lt;&gt;"",IF(VLOOKUP(A9,Ergebnis_je_Aktie_verwässert!A$3:AK$103,16,FALSE)&lt;&gt;"",IF(VLOOKUP(A9,Ergebnis_je_Aktie_verwässert!A$3:AK$103,16,FALSE)&lt;=0,2,IF(VLOOKUP(A9,Dividende_je_Aktie!A$3:AM$103,16,FALSE)/VLOOKUP(A9,Ergebnis_je_Aktie_verwässert!A$3:AK$103,16,FALSE)&gt;=2,2,VLOOKUP(A9,Dividende_je_Aktie!A$3:AM$103,16,FALSE)/VLOOKUP(A9,Ergebnis_je_Aktie_verwässert!A$3:AK$103,16,FALSE))),""),"")</f>
        <v>2</v>
      </c>
      <c r="AE9" s="71">
        <f>IF(VLOOKUP(A9,Dividende_je_Aktie!A$3:AM$103,17,FALSE)&lt;&gt;"",IF(VLOOKUP(A9,Ergebnis_je_Aktie_verwässert!A$3:AK$103,17,FALSE)&lt;&gt;"",IF(VLOOKUP(A9,Ergebnis_je_Aktie_verwässert!A$3:AK$103,17,FALSE)&lt;=0,2,IF(VLOOKUP(A9,Dividende_je_Aktie!A$3:AM$103,17,FALSE)/VLOOKUP(A9,Ergebnis_je_Aktie_verwässert!A$3:AK$103,17,FALSE)&gt;=2,2,VLOOKUP(A9,Dividende_je_Aktie!A$3:AM$103,17,FALSE)/VLOOKUP(A9,Ergebnis_je_Aktie_verwässert!A$3:AK$103,17,FALSE))),""),"")</f>
        <v>0.78260869565217395</v>
      </c>
      <c r="AF9" s="71">
        <f>IF(VLOOKUP(A9,Dividende_je_Aktie!A$3:AM$103,18,FALSE)&lt;&gt;"",IF(VLOOKUP(A9,Ergebnis_je_Aktie_verwässert!A$3:AK$103,18,FALSE)&lt;&gt;"",IF(VLOOKUP(A9,Ergebnis_je_Aktie_verwässert!A$3:AK$103,18,FALSE)&lt;=0,2,IF(VLOOKUP(A9,Dividende_je_Aktie!A$3:AM$103,18,FALSE)/VLOOKUP(A9,Ergebnis_je_Aktie_verwässert!A$3:AK$103,18,FALSE)&gt;=2,2,VLOOKUP(A9,Dividende_je_Aktie!A$3:AM$103,18,FALSE)/VLOOKUP(A9,Ergebnis_je_Aktie_verwässert!A$3:AK$103,18,FALSE))),""),"")</f>
        <v>0.46875</v>
      </c>
      <c r="AG9" s="105">
        <f t="shared" si="1"/>
        <v>0.70140596058540949</v>
      </c>
      <c r="AH9" s="4">
        <f t="shared" ca="1" si="2"/>
        <v>0</v>
      </c>
      <c r="AI9" s="4">
        <f t="shared" ca="1" si="3"/>
        <v>108</v>
      </c>
      <c r="AJ9" s="4">
        <f t="shared" ca="1" si="4"/>
        <v>252</v>
      </c>
      <c r="AK9" s="10">
        <f t="shared" ca="1" si="5"/>
        <v>0.47194570135746605</v>
      </c>
      <c r="AL9" s="5">
        <f t="shared" ca="1" si="6"/>
        <v>-0.32714329806440579</v>
      </c>
    </row>
    <row r="10" spans="1:38">
      <c r="A10" t="s">
        <v>12</v>
      </c>
      <c r="B10" t="s">
        <v>13</v>
      </c>
      <c r="C10" s="60">
        <v>31</v>
      </c>
      <c r="D10" s="60">
        <v>12</v>
      </c>
      <c r="E10" s="60">
        <v>2016</v>
      </c>
      <c r="F10" s="71">
        <f>IF(VLOOKUP(A10,Dividende_je_Aktie!A$3:AM$103,6,FALSE)&lt;&gt;"",IF(VLOOKUP(A10,Ergebnis_je_Aktie_verwässert!A$3:AK$103,6,FALSE)&lt;&gt;"",IF(VLOOKUP(A10,Ergebnis_je_Aktie_verwässert!A$3:AK$103,6,FALSE)&lt;=0,2,IF(VLOOKUP(A10,Dividende_je_Aktie!A$3:AM$103,6,FALSE)/VLOOKUP(A10,Ergebnis_je_Aktie_verwässert!A$3:AK$103,6,FALSE)&gt;=2,2,VLOOKUP(A10,Dividende_je_Aktie!A$3:AM$103,6,FALSE)/VLOOKUP(A10,Ergebnis_je_Aktie_verwässert!A$3:AK$103,6,FALSE))),""),"")</f>
        <v>0.62162162162162149</v>
      </c>
      <c r="G10" s="71">
        <f>IF(VLOOKUP(A10,Dividende_je_Aktie!A$3:AM$103,7,FALSE)&lt;&gt;"",IF(VLOOKUP(A10,Ergebnis_je_Aktie_verwässert!A$3:AK$103,7,FALSE)&lt;&gt;"",IF(VLOOKUP(A10,Ergebnis_je_Aktie_verwässert!A$3:AK$103,7,FALSE)&lt;=0,2,IF(VLOOKUP(A10,Dividende_je_Aktie!A$3:AM$103,7,FALSE)/VLOOKUP(A10,Ergebnis_je_Aktie_verwässert!A$3:AK$103,7,FALSE)&gt;=2,2,VLOOKUP(A10,Dividende_je_Aktie!A$3:AM$103,7,FALSE)/VLOOKUP(A10,Ergebnis_je_Aktie_verwässert!A$3:AK$103,7,FALSE))),""),"")</f>
        <v>0.67010309278350522</v>
      </c>
      <c r="H10" s="71">
        <f>IF(VLOOKUP(A10,Fiktive_Dividende!A$3:AM$103,14,FALSE)&lt;&gt;"",IF(VLOOKUP(A10,Ergebnis_je_Aktie_verwässert!A$3:AK$103,8,FALSE)&lt;&gt;"",IF(VLOOKUP(A10,Ergebnis_je_Aktie_verwässert!A$3:AK$103,8,FALSE)&lt;=0,2,IF(VLOOKUP(A10,Fiktive_Dividende!A$3:AM$103,14,FALSE)/VLOOKUP(A10,Ergebnis_je_Aktie_verwässert!A$3:AK$103,8,FALSE)&gt;=2,2,VLOOKUP(A10,Fiktive_Dividende!A$3:AM$103,14,FALSE)/VLOOKUP(A10,Ergebnis_je_Aktie_verwässert!A$3:AK$103,8,FALSE))),""),"")</f>
        <v>0.72839506172839497</v>
      </c>
      <c r="I10" s="71">
        <f>IF(VLOOKUP(A10,Fiktive_Dividende!A$3:AM$103,15,FALSE)&lt;&gt;"",IF(VLOOKUP(A10,Ergebnis_je_Aktie_verwässert!A$3:AK$103,9,FALSE)&lt;&gt;"",IF(VLOOKUP(A10,Ergebnis_je_Aktie_verwässert!A$3:AK$103,9,FALSE)&lt;=0,2,IF(VLOOKUP(A10,Fiktive_Dividende!A$3:AM$103,15,FALSE)/VLOOKUP(A10,Ergebnis_je_Aktie_verwässert!A$3:AK$103,9,FALSE)&gt;=2,2,VLOOKUP(A10,Fiktive_Dividende!A$3:AM$103,15,FALSE)/VLOOKUP(A10,Ergebnis_je_Aktie_verwässert!A$3:AK$103,9,FALSE))),""),"")</f>
        <v>0.77464788732394374</v>
      </c>
      <c r="J10" s="71">
        <f>IF(VLOOKUP(A10,Fiktive_Dividende!A$3:AM$103,16,FALSE)&lt;&gt;"",IF(VLOOKUP(A10,Ergebnis_je_Aktie_verwässert!A$3:AK$103,10,FALSE)&lt;&gt;"",IF(VLOOKUP(A10,Ergebnis_je_Aktie_verwässert!A$3:AK$103,10,FALSE)&lt;=0,2,IF(VLOOKUP(A10,Fiktive_Dividende!A$3:AM$103,16,FALSE)/VLOOKUP(A10,Ergebnis_je_Aktie_verwässert!A$3:AK$103,10,FALSE)&gt;=2,2,VLOOKUP(A10,Fiktive_Dividende!A$3:AM$103,16,FALSE)/VLOOKUP(A10,Ergebnis_je_Aktie_verwässert!A$3:AK$103,10,FALSE))),""),"")</f>
        <v>0.94339622641509424</v>
      </c>
      <c r="K10" s="71">
        <f>IF(VLOOKUP(A10,Fiktive_Dividende!A$3:AM$103,17,FALSE)&lt;&gt;"",IF(VLOOKUP(A10,Ergebnis_je_Aktie_verwässert!A$3:AK$103,11,FALSE)&lt;&gt;"",IF(VLOOKUP(A10,Ergebnis_je_Aktie_verwässert!A$3:AK$103,11,FALSE)&lt;=0,2,IF(VLOOKUP(A10,Fiktive_Dividende!A$3:AM$103,17,FALSE)/VLOOKUP(A10,Ergebnis_je_Aktie_verwässert!A$3:AK$103,11,FALSE)&gt;=2,2,VLOOKUP(A10,Fiktive_Dividende!A$3:AM$103,17,FALSE)/VLOOKUP(A10,Ergebnis_je_Aktie_verwässert!A$3:AK$103,11,FALSE))),""),"")</f>
        <v>0.79365079365079361</v>
      </c>
      <c r="L10" s="71">
        <f>IF(VLOOKUP(A10,Fiktive_Dividende!A$3:AM$103,18,FALSE)&lt;&gt;"",IF(VLOOKUP(A10,Ergebnis_je_Aktie_verwässert!A$3:AK$103,12,FALSE)&lt;&gt;"",IF(VLOOKUP(A10,Ergebnis_je_Aktie_verwässert!A$3:AK$103,12,FALSE)&lt;=0,2,IF(VLOOKUP(A10,Fiktive_Dividende!A$3:AM$103,18,FALSE)/VLOOKUP(A10,Ergebnis_je_Aktie_verwässert!A$3:AK$103,12,FALSE)&gt;=2,2,VLOOKUP(A10,Fiktive_Dividende!A$3:AM$103,18,FALSE)/VLOOKUP(A10,Ergebnis_je_Aktie_verwässert!A$3:AK$103,12,FALSE))),""),"")</f>
        <v>1.2068965517241379</v>
      </c>
      <c r="M10" s="71">
        <f>IF(VLOOKUP(A10,Fiktive_Dividende!A$3:AM$103,19,FALSE)&lt;&gt;"",IF(VLOOKUP(A10,Ergebnis_je_Aktie_verwässert!A$3:AK$103,13,FALSE)&lt;&gt;"",IF(VLOOKUP(A10,Ergebnis_je_Aktie_verwässert!A$3:AK$103,13,FALSE)&lt;=0,2,IF(VLOOKUP(A10,Fiktive_Dividende!A$3:AM$103,19,FALSE)/VLOOKUP(A10,Ergebnis_je_Aktie_verwässert!A$3:AK$103,13,FALSE)&gt;=2,2,VLOOKUP(A10,Fiktive_Dividende!A$3:AM$103,19,FALSE)/VLOOKUP(A10,Ergebnis_je_Aktie_verwässert!A$3:AK$103,13,FALSE))),""),"")</f>
        <v>1.044776119402985</v>
      </c>
      <c r="N10" s="71">
        <f>IF(VLOOKUP(A10,Fiktive_Dividende!A$3:AM$103,20,FALSE)&lt;&gt;"",IF(VLOOKUP(A10,Ergebnis_je_Aktie_verwässert!A$3:AK$103,14,FALSE)&lt;&gt;"",IF(VLOOKUP(A10,Ergebnis_je_Aktie_verwässert!A$3:AK$103,14,FALSE)&lt;=0,2,IF(VLOOKUP(A10,Fiktive_Dividende!A$3:AM$103,20,FALSE)/VLOOKUP(A10,Ergebnis_je_Aktie_verwässert!A$3:AK$103,14,FALSE)&gt;=2,2,VLOOKUP(A10,Fiktive_Dividende!A$3:AM$103,20,FALSE)/VLOOKUP(A10,Ergebnis_je_Aktie_verwässert!A$3:AK$103,14,FALSE))),""),"")</f>
        <v>0.99921197331841249</v>
      </c>
      <c r="O10" s="71">
        <f>IF(VLOOKUP(A10,Fiktive_Dividende!A$3:AM$103,21,FALSE)&lt;&gt;"",IF(VLOOKUP(A10,Ergebnis_je_Aktie_verwässert!A$3:AK$103,15,FALSE)&lt;&gt;"",IF(VLOOKUP(A10,Ergebnis_je_Aktie_verwässert!A$3:AK$103,15,FALSE)&lt;=0,2,IF(VLOOKUP(A10,Fiktive_Dividende!A$3:AM$103,21,FALSE)/VLOOKUP(A10,Ergebnis_je_Aktie_verwässert!A$3:AK$103,15,FALSE)&gt;=2,2,VLOOKUP(A10,Fiktive_Dividende!A$3:AM$103,21,FALSE)/VLOOKUP(A10,Ergebnis_je_Aktie_verwässert!A$3:AK$103,15,FALSE))),""),"")</f>
        <v>1</v>
      </c>
      <c r="P10" s="71">
        <f>IF(VLOOKUP(A10,Fiktive_Dividende!A$3:AM$103,22,FALSE)&lt;&gt;"",IF(VLOOKUP(A10,Ergebnis_je_Aktie_verwässert!A$3:AK$103,16,FALSE)&lt;&gt;"",IF(VLOOKUP(A10,Ergebnis_je_Aktie_verwässert!A$3:AK$103,16,FALSE)&lt;=0,2,IF(VLOOKUP(A10,Fiktive_Dividende!A$3:AM$103,22,FALSE)/VLOOKUP(A10,Ergebnis_je_Aktie_verwässert!A$3:AK$103,16,FALSE)&gt;=2,2,VLOOKUP(A10,Fiktive_Dividende!A$3:AM$103,22,FALSE)/VLOOKUP(A10,Ergebnis_je_Aktie_verwässert!A$3:AK$103,16,FALSE))),""),"")</f>
        <v>1</v>
      </c>
      <c r="Q10" s="71">
        <f>IF(VLOOKUP(A10,Fiktive_Dividende!A$3:AM$103,23,FALSE)&lt;&gt;"",IF(VLOOKUP(A10,Ergebnis_je_Aktie_verwässert!A$3:AK$103,17,FALSE)&lt;&gt;"",IF(VLOOKUP(A10,Ergebnis_je_Aktie_verwässert!A$3:AK$103,17,FALSE)&lt;=0,2,IF(VLOOKUP(A10,Fiktive_Dividende!A$3:AM$103,23,FALSE)/VLOOKUP(A10,Ergebnis_je_Aktie_verwässert!A$3:AK$103,17,FALSE)&gt;=2,2,VLOOKUP(A10,Fiktive_Dividende!A$3:AM$103,23,FALSE)/VLOOKUP(A10,Ergebnis_je_Aktie_verwässert!A$3:AK$103,17,FALSE))),""),"")</f>
        <v>1.1304347826086958</v>
      </c>
      <c r="R10" s="71">
        <f>IF(VLOOKUP(A10,Fiktive_Dividende!A$3:AM$103,24,FALSE)&lt;&gt;"",IF(VLOOKUP(A10,Ergebnis_je_Aktie_verwässert!A$3:AK$103,18,FALSE)&lt;&gt;"",IF(VLOOKUP(A10,Ergebnis_je_Aktie_verwässert!A$3:AK$103,18,FALSE)&lt;=0,2,IF(VLOOKUP(A10,Fiktive_Dividende!A$3:AM$103,24,FALSE)/VLOOKUP(A10,Ergebnis_je_Aktie_verwässert!A$3:AK$103,18,FALSE)&gt;=2,2,VLOOKUP(A10,Fiktive_Dividende!A$3:AM$103,24,FALSE)/VLOOKUP(A10,Ergebnis_je_Aktie_verwässert!A$3:AK$103,18,FALSE))),""),"")</f>
        <v>0.79999999999999993</v>
      </c>
      <c r="S10" s="105">
        <f t="shared" si="0"/>
        <v>0.90101031619827576</v>
      </c>
      <c r="T10" s="71">
        <f>IF(VLOOKUP(A10,Dividende_je_Aktie!A$3:AM$103,6,FALSE)&lt;&gt;"",IF(VLOOKUP(A10,Ergebnis_je_Aktie_verwässert!A$3:AK$103,6,FALSE)&lt;&gt;"",IF(VLOOKUP(A10,Ergebnis_je_Aktie_verwässert!A$3:AK$103,6,FALSE)&lt;=0,2,IF(VLOOKUP(A10,Dividende_je_Aktie!A$3:AM$103,6,FALSE)/VLOOKUP(A10,Ergebnis_je_Aktie_verwässert!A$3:AK$103,6,FALSE)&gt;=2,2,VLOOKUP(A10,Dividende_je_Aktie!A$3:AM$103,6,FALSE)/VLOOKUP(A10,Ergebnis_je_Aktie_verwässert!A$3:AK$103,6,FALSE))),""),"")</f>
        <v>0.62162162162162149</v>
      </c>
      <c r="U10" s="71">
        <f>IF(VLOOKUP(A10,Dividende_je_Aktie!A$3:AM$103,7,FALSE)&lt;&gt;"",IF(VLOOKUP(A10,Ergebnis_je_Aktie_verwässert!A$3:AK$103,7,FALSE)&lt;&gt;"",IF(VLOOKUP(A10,Ergebnis_je_Aktie_verwässert!A$3:AK$103,7,FALSE)&lt;=0,2,IF(VLOOKUP(A10,Dividende_je_Aktie!A$3:AM$103,7,FALSE)/VLOOKUP(A10,Ergebnis_je_Aktie_verwässert!A$3:AK$103,7,FALSE)&gt;=2,2,VLOOKUP(A10,Dividende_je_Aktie!A$3:AM$103,7,FALSE)/VLOOKUP(A10,Ergebnis_je_Aktie_verwässert!A$3:AK$103,7,FALSE))),""),"")</f>
        <v>0.67010309278350522</v>
      </c>
      <c r="V10" s="71">
        <f>IF(VLOOKUP(A10,Dividende_je_Aktie!A$3:AM$103,8,FALSE)&lt;&gt;"",IF(VLOOKUP(A10,Ergebnis_je_Aktie_verwässert!A$3:AK$103,8,FALSE)&lt;&gt;"",IF(VLOOKUP(A10,Ergebnis_je_Aktie_verwässert!A$3:AK$103,8,FALSE)&lt;=0,2,IF(VLOOKUP(A10,Dividende_je_Aktie!A$3:AM$103,8,FALSE)/VLOOKUP(A10,Ergebnis_je_Aktie_verwässert!A$3:AK$103,8,FALSE)&gt;=2,2,VLOOKUP(A10,Dividende_je_Aktie!A$3:AM$103,8,FALSE)/VLOOKUP(A10,Ergebnis_je_Aktie_verwässert!A$3:AK$103,8,FALSE))),""),"")</f>
        <v>0.72839506172839497</v>
      </c>
      <c r="W10" s="71">
        <f>IF(VLOOKUP(A10,Dividende_je_Aktie!A$3:AM$103,9,FALSE)&lt;&gt;"",IF(VLOOKUP(A10,Ergebnis_je_Aktie_verwässert!A$3:AK$103,9,FALSE)&lt;&gt;"",IF(VLOOKUP(A10,Ergebnis_je_Aktie_verwässert!A$3:AK$103,9,FALSE)&lt;=0,2,IF(VLOOKUP(A10,Dividende_je_Aktie!A$3:AM$103,9,FALSE)/VLOOKUP(A10,Ergebnis_je_Aktie_verwässert!A$3:AK$103,9,FALSE)&gt;=2,2,VLOOKUP(A10,Dividende_je_Aktie!A$3:AM$103,9,FALSE)/VLOOKUP(A10,Ergebnis_je_Aktie_verwässert!A$3:AK$103,9,FALSE))),""),"")</f>
        <v>0.77464788732394374</v>
      </c>
      <c r="X10" s="71">
        <f>IF(VLOOKUP(A10,Dividende_je_Aktie!A$3:AM$103,10,FALSE)&lt;&gt;"",IF(VLOOKUP(A10,Ergebnis_je_Aktie_verwässert!A$3:AK$103,10,FALSE)&lt;&gt;"",IF(VLOOKUP(A10,Ergebnis_je_Aktie_verwässert!A$3:AK$103,10,FALSE)&lt;=0,2,IF(VLOOKUP(A10,Dividende_je_Aktie!A$3:AM$103,10,FALSE)/VLOOKUP(A10,Ergebnis_je_Aktie_verwässert!A$3:AK$103,10,FALSE)&gt;=2,2,VLOOKUP(A10,Dividende_je_Aktie!A$3:AM$103,10,FALSE)/VLOOKUP(A10,Ergebnis_je_Aktie_verwässert!A$3:AK$103,10,FALSE))),""),"")</f>
        <v>0.94339622641509424</v>
      </c>
      <c r="Y10" s="71">
        <f>IF(VLOOKUP(A10,Dividende_je_Aktie!A$3:AM$103,11,FALSE)&lt;&gt;"",IF(VLOOKUP(A10,Ergebnis_je_Aktie_verwässert!A$3:AK$103,11,FALSE)&lt;&gt;"",IF(VLOOKUP(A10,Ergebnis_je_Aktie_verwässert!A$3:AK$103,11,FALSE)&lt;=0,2,IF(VLOOKUP(A10,Dividende_je_Aktie!A$3:AM$103,11,FALSE)/VLOOKUP(A10,Ergebnis_je_Aktie_verwässert!A$3:AK$103,11,FALSE)&gt;=2,2,VLOOKUP(A10,Dividende_je_Aktie!A$3:AM$103,11,FALSE)/VLOOKUP(A10,Ergebnis_je_Aktie_verwässert!A$3:AK$103,11,FALSE))),""),"")</f>
        <v>0.79365079365079361</v>
      </c>
      <c r="Z10" s="71">
        <f>IF(VLOOKUP(A10,Dividende_je_Aktie!A$3:AM$103,12,FALSE)&lt;&gt;"",IF(VLOOKUP(A10,Ergebnis_je_Aktie_verwässert!A$3:AK$103,12,FALSE)&lt;&gt;"",IF(VLOOKUP(A10,Ergebnis_je_Aktie_verwässert!A$3:AK$103,12,FALSE)&lt;=0,2,IF(VLOOKUP(A10,Dividende_je_Aktie!A$3:AM$103,12,FALSE)/VLOOKUP(A10,Ergebnis_je_Aktie_verwässert!A$3:AK$103,12,FALSE)&gt;=2,2,VLOOKUP(A10,Dividende_je_Aktie!A$3:AM$103,12,FALSE)/VLOOKUP(A10,Ergebnis_je_Aktie_verwässert!A$3:AK$103,12,FALSE))),""),"")</f>
        <v>1.2068965517241379</v>
      </c>
      <c r="AA10" s="71">
        <f>IF(VLOOKUP(A10,Dividende_je_Aktie!A$3:AM$103,13,FALSE)&lt;&gt;"",IF(VLOOKUP(A10,Ergebnis_je_Aktie_verwässert!A$3:AK$103,13,FALSE)&lt;&gt;"",IF(VLOOKUP(A10,Ergebnis_je_Aktie_verwässert!A$3:AK$103,13,FALSE)&lt;=0,2,IF(VLOOKUP(A10,Dividende_je_Aktie!A$3:AM$103,13,FALSE)/VLOOKUP(A10,Ergebnis_je_Aktie_verwässert!A$3:AK$103,13,FALSE)&gt;=2,2,VLOOKUP(A10,Dividende_je_Aktie!A$3:AM$103,13,FALSE)/VLOOKUP(A10,Ergebnis_je_Aktie_verwässert!A$3:AK$103,13,FALSE))),""),"")</f>
        <v>1.044776119402985</v>
      </c>
      <c r="AB10" s="71">
        <f>IF(VLOOKUP(A10,Dividende_je_Aktie!A$3:AM$103,14,FALSE)&lt;&gt;"",IF(VLOOKUP(A10,Ergebnis_je_Aktie_verwässert!A$3:AK$103,14,FALSE)&lt;&gt;"",IF(VLOOKUP(A10,Ergebnis_je_Aktie_verwässert!A$3:AK$103,14,FALSE)&lt;=0,2,IF(VLOOKUP(A10,Dividende_je_Aktie!A$3:AM$103,14,FALSE)/VLOOKUP(A10,Ergebnis_je_Aktie_verwässert!A$3:AK$103,14,FALSE)&gt;=2,2,VLOOKUP(A10,Dividende_je_Aktie!A$3:AM$103,14,FALSE)/VLOOKUP(A10,Ergebnis_je_Aktie_verwässert!A$3:AK$103,14,FALSE))),""),"")</f>
        <v>0.88607594936708856</v>
      </c>
      <c r="AC10" s="71">
        <f>IF(VLOOKUP(A10,Dividende_je_Aktie!A$3:AM$103,15,FALSE)&lt;&gt;"",IF(VLOOKUP(A10,Ergebnis_je_Aktie_verwässert!A$3:AK$103,15,FALSE)&lt;&gt;"",IF(VLOOKUP(A10,Ergebnis_je_Aktie_verwässert!A$3:AK$103,15,FALSE)&lt;=0,2,IF(VLOOKUP(A10,Dividende_je_Aktie!A$3:AM$103,15,FALSE)/VLOOKUP(A10,Ergebnis_je_Aktie_verwässert!A$3:AK$103,15,FALSE)&gt;=2,2,VLOOKUP(A10,Dividende_je_Aktie!A$3:AM$103,15,FALSE)/VLOOKUP(A10,Ergebnis_je_Aktie_verwässert!A$3:AK$103,15,FALSE))),""),"")</f>
        <v>1</v>
      </c>
      <c r="AD10" s="71">
        <f>IF(VLOOKUP(A10,Dividende_je_Aktie!A$3:AM$103,16,FALSE)&lt;&gt;"",IF(VLOOKUP(A10,Ergebnis_je_Aktie_verwässert!A$3:AK$103,16,FALSE)&lt;&gt;"",IF(VLOOKUP(A10,Ergebnis_je_Aktie_verwässert!A$3:AK$103,16,FALSE)&lt;=0,2,IF(VLOOKUP(A10,Dividende_je_Aktie!A$3:AM$103,16,FALSE)/VLOOKUP(A10,Ergebnis_je_Aktie_verwässert!A$3:AK$103,16,FALSE)&gt;=2,2,VLOOKUP(A10,Dividende_je_Aktie!A$3:AM$103,16,FALSE)/VLOOKUP(A10,Ergebnis_je_Aktie_verwässert!A$3:AK$103,16,FALSE))),""),"")</f>
        <v>1</v>
      </c>
      <c r="AE10" s="71">
        <f>IF(VLOOKUP(A10,Dividende_je_Aktie!A$3:AM$103,17,FALSE)&lt;&gt;"",IF(VLOOKUP(A10,Ergebnis_je_Aktie_verwässert!A$3:AK$103,17,FALSE)&lt;&gt;"",IF(VLOOKUP(A10,Ergebnis_je_Aktie_verwässert!A$3:AK$103,17,FALSE)&lt;=0,2,IF(VLOOKUP(A10,Dividende_je_Aktie!A$3:AM$103,17,FALSE)/VLOOKUP(A10,Ergebnis_je_Aktie_verwässert!A$3:AK$103,17,FALSE)&gt;=2,2,VLOOKUP(A10,Dividende_je_Aktie!A$3:AM$103,17,FALSE)/VLOOKUP(A10,Ergebnis_je_Aktie_verwässert!A$3:AK$103,17,FALSE))),""),"")</f>
        <v>1.1304347826086958</v>
      </c>
      <c r="AF10" s="71">
        <f>IF(VLOOKUP(A10,Dividende_je_Aktie!A$3:AM$103,18,FALSE)&lt;&gt;"",IF(VLOOKUP(A10,Ergebnis_je_Aktie_verwässert!A$3:AK$103,18,FALSE)&lt;&gt;"",IF(VLOOKUP(A10,Ergebnis_je_Aktie_verwässert!A$3:AK$103,18,FALSE)&lt;=0,2,IF(VLOOKUP(A10,Dividende_je_Aktie!A$3:AM$103,18,FALSE)/VLOOKUP(A10,Ergebnis_je_Aktie_verwässert!A$3:AK$103,18,FALSE)&gt;=2,2,VLOOKUP(A10,Dividende_je_Aktie!A$3:AM$103,18,FALSE)/VLOOKUP(A10,Ergebnis_je_Aktie_verwässert!A$3:AK$103,18,FALSE))),""),"")</f>
        <v>0.79999999999999993</v>
      </c>
      <c r="AG10" s="105">
        <f t="shared" si="1"/>
        <v>0.89230754512509702</v>
      </c>
      <c r="AH10" s="4">
        <f t="shared" ca="1" si="2"/>
        <v>0</v>
      </c>
      <c r="AI10" s="4">
        <f t="shared" ca="1" si="3"/>
        <v>108</v>
      </c>
      <c r="AJ10" s="4">
        <f t="shared" ca="1" si="4"/>
        <v>252</v>
      </c>
      <c r="AK10" s="10">
        <f t="shared" ca="1" si="5"/>
        <v>0.71090747104492813</v>
      </c>
      <c r="AL10" s="5">
        <f t="shared" ca="1" si="6"/>
        <v>-0.20329322000156069</v>
      </c>
    </row>
    <row r="11" spans="1:38">
      <c r="A11" t="s">
        <v>312</v>
      </c>
      <c r="B11" t="s">
        <v>313</v>
      </c>
      <c r="C11" s="60">
        <v>31</v>
      </c>
      <c r="D11" s="60">
        <v>12</v>
      </c>
      <c r="E11" s="60">
        <v>2016</v>
      </c>
      <c r="F11" s="71">
        <f>IF(VLOOKUP(A11,Dividende_je_Aktie!A$3:AM$103,6,FALSE)&lt;&gt;"",IF(VLOOKUP(A11,Ergebnis_je_Aktie_verwässert!A$3:AK$103,6,FALSE)&lt;&gt;"",IF(VLOOKUP(A11,Ergebnis_je_Aktie_verwässert!A$3:AK$103,6,FALSE)&lt;=0,2,IF(VLOOKUP(A11,Dividende_je_Aktie!A$3:AM$103,6,FALSE)/VLOOKUP(A11,Ergebnis_je_Aktie_verwässert!A$3:AK$103,6,FALSE)&gt;=2,2,VLOOKUP(A11,Dividende_je_Aktie!A$3:AM$103,6,FALSE)/VLOOKUP(A11,Ergebnis_je_Aktie_verwässert!A$3:AK$103,6,FALSE))),""),"")</f>
        <v>0.20786516853932585</v>
      </c>
      <c r="G11" s="71">
        <f>IF(VLOOKUP(A11,Dividende_je_Aktie!A$3:AM$103,7,FALSE)&lt;&gt;"",IF(VLOOKUP(A11,Ergebnis_je_Aktie_verwässert!A$3:AK$103,7,FALSE)&lt;&gt;"",IF(VLOOKUP(A11,Ergebnis_je_Aktie_verwässert!A$3:AK$103,7,FALSE)&lt;=0,2,IF(VLOOKUP(A11,Dividende_je_Aktie!A$3:AM$103,7,FALSE)/VLOOKUP(A11,Ergebnis_je_Aktie_verwässert!A$3:AK$103,7,FALSE)&gt;=2,2,VLOOKUP(A11,Dividende_je_Aktie!A$3:AM$103,7,FALSE)/VLOOKUP(A11,Ergebnis_je_Aktie_verwässert!A$3:AK$103,7,FALSE))),""),"")</f>
        <v>0.22291021671826625</v>
      </c>
      <c r="H11" s="71">
        <f>IF(VLOOKUP(A11,Fiktive_Dividende!A$3:AM$103,14,FALSE)&lt;&gt;"",IF(VLOOKUP(A11,Ergebnis_je_Aktie_verwässert!A$3:AK$103,8,FALSE)&lt;&gt;"",IF(VLOOKUP(A11,Ergebnis_je_Aktie_verwässert!A$3:AK$103,8,FALSE)&lt;=0,2,IF(VLOOKUP(A11,Fiktive_Dividende!A$3:AM$103,14,FALSE)/VLOOKUP(A11,Ergebnis_je_Aktie_verwässert!A$3:AK$103,8,FALSE)&gt;=2,2,VLOOKUP(A11,Fiktive_Dividende!A$3:AM$103,14,FALSE)/VLOOKUP(A11,Ergebnis_je_Aktie_verwässert!A$3:AK$103,8,FALSE))),""),"")</f>
        <v>0.22680412371134021</v>
      </c>
      <c r="I11" s="71">
        <f>IF(VLOOKUP(A11,Fiktive_Dividende!A$3:AM$103,15,FALSE)&lt;&gt;"",IF(VLOOKUP(A11,Ergebnis_je_Aktie_verwässert!A$3:AK$103,9,FALSE)&lt;&gt;"",IF(VLOOKUP(A11,Ergebnis_je_Aktie_verwässert!A$3:AK$103,9,FALSE)&lt;=0,2,IF(VLOOKUP(A11,Fiktive_Dividende!A$3:AM$103,15,FALSE)/VLOOKUP(A11,Ergebnis_je_Aktie_verwässert!A$3:AK$103,9,FALSE)&gt;=2,2,VLOOKUP(A11,Fiktive_Dividende!A$3:AM$103,15,FALSE)/VLOOKUP(A11,Ergebnis_je_Aktie_verwässert!A$3:AK$103,9,FALSE))),""),"")</f>
        <v>0.21243723445345694</v>
      </c>
      <c r="J11" s="71">
        <f>IF(VLOOKUP(A11,Fiktive_Dividende!A$3:AM$103,16,FALSE)&lt;&gt;"",IF(VLOOKUP(A11,Ergebnis_je_Aktie_verwässert!A$3:AK$103,10,FALSE)&lt;&gt;"",IF(VLOOKUP(A11,Ergebnis_je_Aktie_verwässert!A$3:AK$103,10,FALSE)&lt;=0,2,IF(VLOOKUP(A11,Fiktive_Dividende!A$3:AM$103,16,FALSE)/VLOOKUP(A11,Ergebnis_je_Aktie_verwässert!A$3:AK$103,10,FALSE)&gt;=2,2,VLOOKUP(A11,Fiktive_Dividende!A$3:AM$103,16,FALSE)/VLOOKUP(A11,Ergebnis_je_Aktie_verwässert!A$3:AK$103,10,FALSE))),""),"")</f>
        <v>0.22</v>
      </c>
      <c r="K11" s="71">
        <f>IF(VLOOKUP(A11,Fiktive_Dividende!A$3:AM$103,17,FALSE)&lt;&gt;"",IF(VLOOKUP(A11,Ergebnis_je_Aktie_verwässert!A$3:AK$103,11,FALSE)&lt;&gt;"",IF(VLOOKUP(A11,Ergebnis_je_Aktie_verwässert!A$3:AK$103,11,FALSE)&lt;=0,2,IF(VLOOKUP(A11,Fiktive_Dividende!A$3:AM$103,17,FALSE)/VLOOKUP(A11,Ergebnis_je_Aktie_verwässert!A$3:AK$103,11,FALSE)&gt;=2,2,VLOOKUP(A11,Fiktive_Dividende!A$3:AM$103,17,FALSE)/VLOOKUP(A11,Ergebnis_je_Aktie_verwässert!A$3:AK$103,11,FALSE))),""),"")</f>
        <v>0.21660649819494585</v>
      </c>
      <c r="L11" s="71">
        <f>IF(VLOOKUP(A11,Fiktive_Dividende!A$3:AM$103,18,FALSE)&lt;&gt;"",IF(VLOOKUP(A11,Ergebnis_je_Aktie_verwässert!A$3:AK$103,12,FALSE)&lt;&gt;"",IF(VLOOKUP(A11,Ergebnis_je_Aktie_verwässert!A$3:AK$103,12,FALSE)&lt;=0,2,IF(VLOOKUP(A11,Fiktive_Dividende!A$3:AM$103,18,FALSE)/VLOOKUP(A11,Ergebnis_je_Aktie_verwässert!A$3:AK$103,12,FALSE)&gt;=2,2,VLOOKUP(A11,Fiktive_Dividende!A$3:AM$103,18,FALSE)/VLOOKUP(A11,Ergebnis_je_Aktie_verwässert!A$3:AK$103,12,FALSE))),""),"")</f>
        <v>0.20705092333519867</v>
      </c>
      <c r="M11" s="71">
        <f>IF(VLOOKUP(A11,Fiktive_Dividende!A$3:AM$103,19,FALSE)&lt;&gt;"",IF(VLOOKUP(A11,Ergebnis_je_Aktie_verwässert!A$3:AK$103,13,FALSE)&lt;&gt;"",IF(VLOOKUP(A11,Ergebnis_je_Aktie_verwässert!A$3:AK$103,13,FALSE)&lt;=0,2,IF(VLOOKUP(A11,Fiktive_Dividende!A$3:AM$103,19,FALSE)/VLOOKUP(A11,Ergebnis_je_Aktie_verwässert!A$3:AK$103,13,FALSE)&gt;=2,2,VLOOKUP(A11,Fiktive_Dividende!A$3:AM$103,19,FALSE)/VLOOKUP(A11,Ergebnis_je_Aktie_verwässert!A$3:AK$103,13,FALSE))),""),"")</f>
        <v>0.20578778135048234</v>
      </c>
      <c r="N11" s="71">
        <f>IF(VLOOKUP(A11,Fiktive_Dividende!A$3:AM$103,20,FALSE)&lt;&gt;"",IF(VLOOKUP(A11,Ergebnis_je_Aktie_verwässert!A$3:AK$103,14,FALSE)&lt;&gt;"",IF(VLOOKUP(A11,Ergebnis_je_Aktie_verwässert!A$3:AK$103,14,FALSE)&lt;=0,2,IF(VLOOKUP(A11,Fiktive_Dividende!A$3:AM$103,20,FALSE)/VLOOKUP(A11,Ergebnis_je_Aktie_verwässert!A$3:AK$103,14,FALSE)&gt;=2,2,VLOOKUP(A11,Fiktive_Dividende!A$3:AM$103,20,FALSE)/VLOOKUP(A11,Ergebnis_je_Aktie_verwässert!A$3:AK$103,14,FALSE))),""),"")</f>
        <v>0.21657953696788648</v>
      </c>
      <c r="O11" s="71">
        <f>IF(VLOOKUP(A11,Fiktive_Dividende!A$3:AM$103,21,FALSE)&lt;&gt;"",IF(VLOOKUP(A11,Ergebnis_je_Aktie_verwässert!A$3:AK$103,15,FALSE)&lt;&gt;"",IF(VLOOKUP(A11,Ergebnis_je_Aktie_verwässert!A$3:AK$103,15,FALSE)&lt;=0,2,IF(VLOOKUP(A11,Fiktive_Dividende!A$3:AM$103,21,FALSE)/VLOOKUP(A11,Ergebnis_je_Aktie_verwässert!A$3:AK$103,15,FALSE)&gt;=2,2,VLOOKUP(A11,Fiktive_Dividende!A$3:AM$103,21,FALSE)/VLOOKUP(A11,Ergebnis_je_Aktie_verwässert!A$3:AK$103,15,FALSE))),""),"")</f>
        <v>0.23809523809523808</v>
      </c>
      <c r="P11" s="71">
        <f>IF(VLOOKUP(A11,Fiktive_Dividende!A$3:AM$103,22,FALSE)&lt;&gt;"",IF(VLOOKUP(A11,Ergebnis_je_Aktie_verwässert!A$3:AK$103,16,FALSE)&lt;&gt;"",IF(VLOOKUP(A11,Ergebnis_je_Aktie_verwässert!A$3:AK$103,16,FALSE)&lt;=0,2,IF(VLOOKUP(A11,Fiktive_Dividende!A$3:AM$103,22,FALSE)/VLOOKUP(A11,Ergebnis_je_Aktie_verwässert!A$3:AK$103,16,FALSE)&gt;=2,2,VLOOKUP(A11,Fiktive_Dividende!A$3:AM$103,22,FALSE)/VLOOKUP(A11,Ergebnis_je_Aktie_verwässert!A$3:AK$103,16,FALSE))),""),"")</f>
        <v>0.26047565118912797</v>
      </c>
      <c r="Q11" s="71">
        <f>IF(VLOOKUP(A11,Fiktive_Dividende!A$3:AM$103,23,FALSE)&lt;&gt;"",IF(VLOOKUP(A11,Ergebnis_je_Aktie_verwässert!A$3:AK$103,17,FALSE)&lt;&gt;"",IF(VLOOKUP(A11,Ergebnis_je_Aktie_verwässert!A$3:AK$103,17,FALSE)&lt;=0,2,IF(VLOOKUP(A11,Fiktive_Dividende!A$3:AM$103,23,FALSE)/VLOOKUP(A11,Ergebnis_je_Aktie_verwässert!A$3:AK$103,17,FALSE)&gt;=2,2,VLOOKUP(A11,Fiktive_Dividende!A$3:AM$103,23,FALSE)/VLOOKUP(A11,Ergebnis_je_Aktie_verwässert!A$3:AK$103,17,FALSE))),""),"")</f>
        <v>0.25287356321839083</v>
      </c>
      <c r="R11" s="71">
        <f>IF(VLOOKUP(A11,Fiktive_Dividende!A$3:AM$103,24,FALSE)&lt;&gt;"",IF(VLOOKUP(A11,Ergebnis_je_Aktie_verwässert!A$3:AK$103,18,FALSE)&lt;&gt;"",IF(VLOOKUP(A11,Ergebnis_je_Aktie_verwässert!A$3:AK$103,18,FALSE)&lt;=0,2,IF(VLOOKUP(A11,Fiktive_Dividende!A$3:AM$103,24,FALSE)/VLOOKUP(A11,Ergebnis_je_Aktie_verwässert!A$3:AK$103,18,FALSE)&gt;=2,2,VLOOKUP(A11,Fiktive_Dividende!A$3:AM$103,24,FALSE)/VLOOKUP(A11,Ergebnis_je_Aktie_verwässert!A$3:AK$103,18,FALSE))),""),"")</f>
        <v>0.26760563380281693</v>
      </c>
      <c r="S11" s="105">
        <f t="shared" si="0"/>
        <v>0.2273147361212674</v>
      </c>
      <c r="T11" s="71">
        <f>IF(VLOOKUP(A11,Dividende_je_Aktie!A$3:AM$103,6,FALSE)&lt;&gt;"",IF(VLOOKUP(A11,Ergebnis_je_Aktie_verwässert!A$3:AK$103,6,FALSE)&lt;&gt;"",IF(VLOOKUP(A11,Ergebnis_je_Aktie_verwässert!A$3:AK$103,6,FALSE)&lt;=0,2,IF(VLOOKUP(A11,Dividende_je_Aktie!A$3:AM$103,6,FALSE)/VLOOKUP(A11,Ergebnis_je_Aktie_verwässert!A$3:AK$103,6,FALSE)&gt;=2,2,VLOOKUP(A11,Dividende_je_Aktie!A$3:AM$103,6,FALSE)/VLOOKUP(A11,Ergebnis_je_Aktie_verwässert!A$3:AK$103,6,FALSE))),""),"")</f>
        <v>0.20786516853932585</v>
      </c>
      <c r="U11" s="71">
        <f>IF(VLOOKUP(A11,Dividende_je_Aktie!A$3:AM$103,7,FALSE)&lt;&gt;"",IF(VLOOKUP(A11,Ergebnis_je_Aktie_verwässert!A$3:AK$103,7,FALSE)&lt;&gt;"",IF(VLOOKUP(A11,Ergebnis_je_Aktie_verwässert!A$3:AK$103,7,FALSE)&lt;=0,2,IF(VLOOKUP(A11,Dividende_je_Aktie!A$3:AM$103,7,FALSE)/VLOOKUP(A11,Ergebnis_je_Aktie_verwässert!A$3:AK$103,7,FALSE)&gt;=2,2,VLOOKUP(A11,Dividende_je_Aktie!A$3:AM$103,7,FALSE)/VLOOKUP(A11,Ergebnis_je_Aktie_verwässert!A$3:AK$103,7,FALSE))),""),"")</f>
        <v>0.22291021671826625</v>
      </c>
      <c r="V11" s="71">
        <f>IF(VLOOKUP(A11,Dividende_je_Aktie!A$3:AM$103,8,FALSE)&lt;&gt;"",IF(VLOOKUP(A11,Ergebnis_je_Aktie_verwässert!A$3:AK$103,8,FALSE)&lt;&gt;"",IF(VLOOKUP(A11,Ergebnis_je_Aktie_verwässert!A$3:AK$103,8,FALSE)&lt;=0,2,IF(VLOOKUP(A11,Dividende_je_Aktie!A$3:AM$103,8,FALSE)/VLOOKUP(A11,Ergebnis_je_Aktie_verwässert!A$3:AK$103,8,FALSE)&gt;=2,2,VLOOKUP(A11,Dividende_je_Aktie!A$3:AM$103,8,FALSE)/VLOOKUP(A11,Ergebnis_je_Aktie_verwässert!A$3:AK$103,8,FALSE))),""),"")</f>
        <v>0.22680412371134021</v>
      </c>
      <c r="W11" s="71">
        <f>IF(VLOOKUP(A11,Dividende_je_Aktie!A$3:AM$103,9,FALSE)&lt;&gt;"",IF(VLOOKUP(A11,Ergebnis_je_Aktie_verwässert!A$3:AK$103,9,FALSE)&lt;&gt;"",IF(VLOOKUP(A11,Ergebnis_je_Aktie_verwässert!A$3:AK$103,9,FALSE)&lt;=0,2,IF(VLOOKUP(A11,Dividende_je_Aktie!A$3:AM$103,9,FALSE)/VLOOKUP(A11,Ergebnis_je_Aktie_verwässert!A$3:AK$103,9,FALSE)&gt;=2,2,VLOOKUP(A11,Dividende_je_Aktie!A$3:AM$103,9,FALSE)/VLOOKUP(A11,Ergebnis_je_Aktie_verwässert!A$3:AK$103,9,FALSE))),""),"")</f>
        <v>0.21243723445345694</v>
      </c>
      <c r="X11" s="71">
        <f>IF(VLOOKUP(A11,Dividende_je_Aktie!A$3:AM$103,10,FALSE)&lt;&gt;"",IF(VLOOKUP(A11,Ergebnis_je_Aktie_verwässert!A$3:AK$103,10,FALSE)&lt;&gt;"",IF(VLOOKUP(A11,Ergebnis_je_Aktie_verwässert!A$3:AK$103,10,FALSE)&lt;=0,2,IF(VLOOKUP(A11,Dividende_je_Aktie!A$3:AM$103,10,FALSE)/VLOOKUP(A11,Ergebnis_je_Aktie_verwässert!A$3:AK$103,10,FALSE)&gt;=2,2,VLOOKUP(A11,Dividende_je_Aktie!A$3:AM$103,10,FALSE)/VLOOKUP(A11,Ergebnis_je_Aktie_verwässert!A$3:AK$103,10,FALSE))),""),"")</f>
        <v>0.22</v>
      </c>
      <c r="Y11" s="71">
        <f>IF(VLOOKUP(A11,Dividende_je_Aktie!A$3:AM$103,11,FALSE)&lt;&gt;"",IF(VLOOKUP(A11,Ergebnis_je_Aktie_verwässert!A$3:AK$103,11,FALSE)&lt;&gt;"",IF(VLOOKUP(A11,Ergebnis_je_Aktie_verwässert!A$3:AK$103,11,FALSE)&lt;=0,2,IF(VLOOKUP(A11,Dividende_je_Aktie!A$3:AM$103,11,FALSE)/VLOOKUP(A11,Ergebnis_je_Aktie_verwässert!A$3:AK$103,11,FALSE)&gt;=2,2,VLOOKUP(A11,Dividende_je_Aktie!A$3:AM$103,11,FALSE)/VLOOKUP(A11,Ergebnis_je_Aktie_verwässert!A$3:AK$103,11,FALSE))),""),"")</f>
        <v>0.21660649819494585</v>
      </c>
      <c r="Z11" s="71">
        <f>IF(VLOOKUP(A11,Dividende_je_Aktie!A$3:AM$103,12,FALSE)&lt;&gt;"",IF(VLOOKUP(A11,Ergebnis_je_Aktie_verwässert!A$3:AK$103,12,FALSE)&lt;&gt;"",IF(VLOOKUP(A11,Ergebnis_je_Aktie_verwässert!A$3:AK$103,12,FALSE)&lt;=0,2,IF(VLOOKUP(A11,Dividende_je_Aktie!A$3:AM$103,12,FALSE)/VLOOKUP(A11,Ergebnis_je_Aktie_verwässert!A$3:AK$103,12,FALSE)&gt;=2,2,VLOOKUP(A11,Dividende_je_Aktie!A$3:AM$103,12,FALSE)/VLOOKUP(A11,Ergebnis_je_Aktie_verwässert!A$3:AK$103,12,FALSE))),""),"")</f>
        <v>0.20705092333519867</v>
      </c>
      <c r="AA11" s="71">
        <f>IF(VLOOKUP(A11,Dividende_je_Aktie!A$3:AM$103,13,FALSE)&lt;&gt;"",IF(VLOOKUP(A11,Ergebnis_je_Aktie_verwässert!A$3:AK$103,13,FALSE)&lt;&gt;"",IF(VLOOKUP(A11,Ergebnis_je_Aktie_verwässert!A$3:AK$103,13,FALSE)&lt;=0,2,IF(VLOOKUP(A11,Dividende_je_Aktie!A$3:AM$103,13,FALSE)/VLOOKUP(A11,Ergebnis_je_Aktie_verwässert!A$3:AK$103,13,FALSE)&gt;=2,2,VLOOKUP(A11,Dividende_je_Aktie!A$3:AM$103,13,FALSE)/VLOOKUP(A11,Ergebnis_je_Aktie_verwässert!A$3:AK$103,13,FALSE))),""),"")</f>
        <v>0.20578778135048234</v>
      </c>
      <c r="AB11" s="71">
        <f>IF(VLOOKUP(A11,Dividende_je_Aktie!A$3:AM$103,14,FALSE)&lt;&gt;"",IF(VLOOKUP(A11,Ergebnis_je_Aktie_verwässert!A$3:AK$103,14,FALSE)&lt;&gt;"",IF(VLOOKUP(A11,Ergebnis_je_Aktie_verwässert!A$3:AK$103,14,FALSE)&lt;=0,2,IF(VLOOKUP(A11,Dividende_je_Aktie!A$3:AM$103,14,FALSE)/VLOOKUP(A11,Ergebnis_je_Aktie_verwässert!A$3:AK$103,14,FALSE)&gt;=2,2,VLOOKUP(A11,Dividende_je_Aktie!A$3:AM$103,14,FALSE)/VLOOKUP(A11,Ergebnis_je_Aktie_verwässert!A$3:AK$103,14,FALSE))),""),"")</f>
        <v>0.21657953696788648</v>
      </c>
      <c r="AC11" s="71">
        <f>IF(VLOOKUP(A11,Dividende_je_Aktie!A$3:AM$103,15,FALSE)&lt;&gt;"",IF(VLOOKUP(A11,Ergebnis_je_Aktie_verwässert!A$3:AK$103,15,FALSE)&lt;&gt;"",IF(VLOOKUP(A11,Ergebnis_je_Aktie_verwässert!A$3:AK$103,15,FALSE)&lt;=0,2,IF(VLOOKUP(A11,Dividende_je_Aktie!A$3:AM$103,15,FALSE)/VLOOKUP(A11,Ergebnis_je_Aktie_verwässert!A$3:AK$103,15,FALSE)&gt;=2,2,VLOOKUP(A11,Dividende_je_Aktie!A$3:AM$103,15,FALSE)/VLOOKUP(A11,Ergebnis_je_Aktie_verwässert!A$3:AK$103,15,FALSE))),""),"")</f>
        <v>0.23809523809523808</v>
      </c>
      <c r="AD11" s="71">
        <f>IF(VLOOKUP(A11,Dividende_je_Aktie!A$3:AM$103,16,FALSE)&lt;&gt;"",IF(VLOOKUP(A11,Ergebnis_je_Aktie_verwässert!A$3:AK$103,16,FALSE)&lt;&gt;"",IF(VLOOKUP(A11,Ergebnis_je_Aktie_verwässert!A$3:AK$103,16,FALSE)&lt;=0,2,IF(VLOOKUP(A11,Dividende_je_Aktie!A$3:AM$103,16,FALSE)/VLOOKUP(A11,Ergebnis_je_Aktie_verwässert!A$3:AK$103,16,FALSE)&gt;=2,2,VLOOKUP(A11,Dividende_je_Aktie!A$3:AM$103,16,FALSE)/VLOOKUP(A11,Ergebnis_je_Aktie_verwässert!A$3:AK$103,16,FALSE))),""),"")</f>
        <v>0.26047565118912797</v>
      </c>
      <c r="AE11" s="71">
        <f>IF(VLOOKUP(A11,Dividende_je_Aktie!A$3:AM$103,17,FALSE)&lt;&gt;"",IF(VLOOKUP(A11,Ergebnis_je_Aktie_verwässert!A$3:AK$103,17,FALSE)&lt;&gt;"",IF(VLOOKUP(A11,Ergebnis_je_Aktie_verwässert!A$3:AK$103,17,FALSE)&lt;=0,2,IF(VLOOKUP(A11,Dividende_je_Aktie!A$3:AM$103,17,FALSE)/VLOOKUP(A11,Ergebnis_je_Aktie_verwässert!A$3:AK$103,17,FALSE)&gt;=2,2,VLOOKUP(A11,Dividende_je_Aktie!A$3:AM$103,17,FALSE)/VLOOKUP(A11,Ergebnis_je_Aktie_verwässert!A$3:AK$103,17,FALSE))),""),"")</f>
        <v>0.25287356321839083</v>
      </c>
      <c r="AF11" s="71">
        <f>IF(VLOOKUP(A11,Dividende_je_Aktie!A$3:AM$103,18,FALSE)&lt;&gt;"",IF(VLOOKUP(A11,Ergebnis_je_Aktie_verwässert!A$3:AK$103,18,FALSE)&lt;&gt;"",IF(VLOOKUP(A11,Ergebnis_je_Aktie_verwässert!A$3:AK$103,18,FALSE)&lt;=0,2,IF(VLOOKUP(A11,Dividende_je_Aktie!A$3:AM$103,18,FALSE)/VLOOKUP(A11,Ergebnis_je_Aktie_verwässert!A$3:AK$103,18,FALSE)&gt;=2,2,VLOOKUP(A11,Dividende_je_Aktie!A$3:AM$103,18,FALSE)/VLOOKUP(A11,Ergebnis_je_Aktie_verwässert!A$3:AK$103,18,FALSE))),""),"")</f>
        <v>0.26760563380281693</v>
      </c>
      <c r="AG11" s="105">
        <f t="shared" si="1"/>
        <v>0.2273147361212674</v>
      </c>
      <c r="AH11" s="4">
        <f t="shared" ca="1" si="2"/>
        <v>0</v>
      </c>
      <c r="AI11" s="4">
        <f t="shared" ca="1" si="3"/>
        <v>108</v>
      </c>
      <c r="AJ11" s="4">
        <f t="shared" ca="1" si="4"/>
        <v>252</v>
      </c>
      <c r="AK11" s="10">
        <f t="shared" ca="1" si="5"/>
        <v>0.22563595161341804</v>
      </c>
      <c r="AL11" s="5">
        <f t="shared" ca="1" si="6"/>
        <v>-7.3852867460109106E-3</v>
      </c>
    </row>
    <row r="12" spans="1:38">
      <c r="A12" t="s">
        <v>14</v>
      </c>
      <c r="B12" t="s">
        <v>15</v>
      </c>
      <c r="C12" s="60">
        <v>31</v>
      </c>
      <c r="D12" s="60">
        <v>12</v>
      </c>
      <c r="E12" s="60">
        <v>2016</v>
      </c>
      <c r="F12" s="71">
        <f>IF(VLOOKUP(A12,Dividende_je_Aktie!A$3:AM$103,6,FALSE)&lt;&gt;"",IF(VLOOKUP(A12,Ergebnis_je_Aktie_verwässert!A$3:AK$103,6,FALSE)&lt;&gt;"",IF(VLOOKUP(A12,Ergebnis_je_Aktie_verwässert!A$3:AK$103,6,FALSE)&lt;=0,2,IF(VLOOKUP(A12,Dividende_je_Aktie!A$3:AM$103,6,FALSE)/VLOOKUP(A12,Ergebnis_je_Aktie_verwässert!A$3:AK$103,6,FALSE)&gt;=2,2,VLOOKUP(A12,Dividende_je_Aktie!A$3:AM$103,6,FALSE)/VLOOKUP(A12,Ergebnis_je_Aktie_verwässert!A$3:AK$103,6,FALSE))),""),"")</f>
        <v>0.33860045146726864</v>
      </c>
      <c r="G12" s="71">
        <f>IF(VLOOKUP(A12,Dividende_je_Aktie!A$3:AM$103,7,FALSE)&lt;&gt;"",IF(VLOOKUP(A12,Ergebnis_je_Aktie_verwässert!A$3:AK$103,7,FALSE)&lt;&gt;"",IF(VLOOKUP(A12,Ergebnis_je_Aktie_verwässert!A$3:AK$103,7,FALSE)&lt;=0,2,IF(VLOOKUP(A12,Dividende_je_Aktie!A$3:AM$103,7,FALSE)/VLOOKUP(A12,Ergebnis_je_Aktie_verwässert!A$3:AK$103,7,FALSE)&gt;=2,2,VLOOKUP(A12,Dividende_je_Aktie!A$3:AM$103,7,FALSE)/VLOOKUP(A12,Ergebnis_je_Aktie_verwässert!A$3:AK$103,7,FALSE))),""),"")</f>
        <v>0.35492227979274615</v>
      </c>
      <c r="H12" s="71">
        <f>IF(VLOOKUP(A12,Fiktive_Dividende!A$3:AM$103,14,FALSE)&lt;&gt;"",IF(VLOOKUP(A12,Ergebnis_je_Aktie_verwässert!A$3:AK$103,8,FALSE)&lt;&gt;"",IF(VLOOKUP(A12,Ergebnis_je_Aktie_verwässert!A$3:AK$103,8,FALSE)&lt;=0,2,IF(VLOOKUP(A12,Fiktive_Dividende!A$3:AM$103,14,FALSE)/VLOOKUP(A12,Ergebnis_je_Aktie_verwässert!A$3:AK$103,8,FALSE)&gt;=2,2,VLOOKUP(A12,Fiktive_Dividende!A$3:AM$103,14,FALSE)/VLOOKUP(A12,Ergebnis_je_Aktie_verwässert!A$3:AK$103,8,FALSE))),""),"")</f>
        <v>0.35977337110481589</v>
      </c>
      <c r="I12" s="71">
        <f>IF(VLOOKUP(A12,Fiktive_Dividende!A$3:AM$103,15,FALSE)&lt;&gt;"",IF(VLOOKUP(A12,Ergebnis_je_Aktie_verwässert!A$3:AK$103,9,FALSE)&lt;&gt;"",IF(VLOOKUP(A12,Ergebnis_je_Aktie_verwässert!A$3:AK$103,9,FALSE)&lt;=0,2,IF(VLOOKUP(A12,Fiktive_Dividende!A$3:AM$103,15,FALSE)/VLOOKUP(A12,Ergebnis_je_Aktie_verwässert!A$3:AK$103,9,FALSE)&gt;=2,2,VLOOKUP(A12,Fiktive_Dividende!A$3:AM$103,15,FALSE)/VLOOKUP(A12,Ergebnis_je_Aktie_verwässert!A$3:AK$103,9,FALSE))),""),"")</f>
        <v>0.44921874999999994</v>
      </c>
      <c r="J12" s="71">
        <f>IF(VLOOKUP(A12,Fiktive_Dividende!A$3:AM$103,16,FALSE)&lt;&gt;"",IF(VLOOKUP(A12,Ergebnis_je_Aktie_verwässert!A$3:AK$103,10,FALSE)&lt;&gt;"",IF(VLOOKUP(A12,Ergebnis_je_Aktie_verwässert!A$3:AK$103,10,FALSE)&lt;=0,2,IF(VLOOKUP(A12,Fiktive_Dividende!A$3:AM$103,16,FALSE)/VLOOKUP(A12,Ergebnis_je_Aktie_verwässert!A$3:AK$103,10,FALSE)&gt;=2,2,VLOOKUP(A12,Fiktive_Dividende!A$3:AM$103,16,FALSE)/VLOOKUP(A12,Ergebnis_je_Aktie_verwässert!A$3:AK$103,10,FALSE))),""),"")</f>
        <v>0.37414965986394561</v>
      </c>
      <c r="K12" s="71">
        <f>IF(VLOOKUP(A12,Fiktive_Dividende!A$3:AM$103,17,FALSE)&lt;&gt;"",IF(VLOOKUP(A12,Ergebnis_je_Aktie_verwässert!A$3:AK$103,11,FALSE)&lt;&gt;"",IF(VLOOKUP(A12,Ergebnis_je_Aktie_verwässert!A$3:AK$103,11,FALSE)&lt;=0,2,IF(VLOOKUP(A12,Fiktive_Dividende!A$3:AM$103,17,FALSE)/VLOOKUP(A12,Ergebnis_je_Aktie_verwässert!A$3:AK$103,11,FALSE)&gt;=2,2,VLOOKUP(A12,Fiktive_Dividende!A$3:AM$103,17,FALSE)/VLOOKUP(A12,Ergebnis_je_Aktie_verwässert!A$3:AK$103,11,FALSE))),""),"")</f>
        <v>0.35971223021582738</v>
      </c>
      <c r="L12" s="71">
        <f>IF(VLOOKUP(A12,Fiktive_Dividende!A$3:AM$103,18,FALSE)&lt;&gt;"",IF(VLOOKUP(A12,Ergebnis_je_Aktie_verwässert!A$3:AK$103,12,FALSE)&lt;&gt;"",IF(VLOOKUP(A12,Ergebnis_je_Aktie_verwässert!A$3:AK$103,12,FALSE)&lt;=0,2,IF(VLOOKUP(A12,Fiktive_Dividende!A$3:AM$103,18,FALSE)/VLOOKUP(A12,Ergebnis_je_Aktie_verwässert!A$3:AK$103,12,FALSE)&gt;=2,2,VLOOKUP(A12,Fiktive_Dividende!A$3:AM$103,18,FALSE)/VLOOKUP(A12,Ergebnis_je_Aktie_verwässert!A$3:AK$103,12,FALSE))),""),"")</f>
        <v>0.35864978902953581</v>
      </c>
      <c r="M12" s="71">
        <f>IF(VLOOKUP(A12,Fiktive_Dividende!A$3:AM$103,19,FALSE)&lt;&gt;"",IF(VLOOKUP(A12,Ergebnis_je_Aktie_verwässert!A$3:AK$103,13,FALSE)&lt;&gt;"",IF(VLOOKUP(A12,Ergebnis_je_Aktie_verwässert!A$3:AK$103,13,FALSE)&lt;=0,2,IF(VLOOKUP(A12,Fiktive_Dividende!A$3:AM$103,19,FALSE)/VLOOKUP(A12,Ergebnis_je_Aktie_verwässert!A$3:AK$103,13,FALSE)&gt;=2,2,VLOOKUP(A12,Fiktive_Dividende!A$3:AM$103,19,FALSE)/VLOOKUP(A12,Ergebnis_je_Aktie_verwässert!A$3:AK$103,13,FALSE))),""),"")</f>
        <v>0.30241935483870969</v>
      </c>
      <c r="N12" s="71">
        <f>IF(VLOOKUP(A12,Fiktive_Dividende!A$3:AM$103,20,FALSE)&lt;&gt;"",IF(VLOOKUP(A12,Ergebnis_je_Aktie_verwässert!A$3:AK$103,14,FALSE)&lt;&gt;"",IF(VLOOKUP(A12,Ergebnis_je_Aktie_verwässert!A$3:AK$103,14,FALSE)&lt;=0,2,IF(VLOOKUP(A12,Fiktive_Dividende!A$3:AM$103,20,FALSE)/VLOOKUP(A12,Ergebnis_je_Aktie_verwässert!A$3:AK$103,14,FALSE)&gt;=2,2,VLOOKUP(A12,Fiktive_Dividende!A$3:AM$103,20,FALSE)/VLOOKUP(A12,Ergebnis_je_Aktie_verwässert!A$3:AK$103,14,FALSE))),""),"")</f>
        <v>0.29556650246305421</v>
      </c>
      <c r="O12" s="71">
        <f>IF(VLOOKUP(A12,Fiktive_Dividende!A$3:AM$103,21,FALSE)&lt;&gt;"",IF(VLOOKUP(A12,Ergebnis_je_Aktie_verwässert!A$3:AK$103,15,FALSE)&lt;&gt;"",IF(VLOOKUP(A12,Ergebnis_je_Aktie_verwässert!A$3:AK$103,15,FALSE)&lt;=0,2,IF(VLOOKUP(A12,Fiktive_Dividende!A$3:AM$103,21,FALSE)/VLOOKUP(A12,Ergebnis_je_Aktie_verwässert!A$3:AK$103,15,FALSE)&gt;=2,2,VLOOKUP(A12,Fiktive_Dividende!A$3:AM$103,21,FALSE)/VLOOKUP(A12,Ergebnis_je_Aktie_verwässert!A$3:AK$103,15,FALSE))),""),"")</f>
        <v>0.3401360544217687</v>
      </c>
      <c r="P12" s="71">
        <f>IF(VLOOKUP(A12,Fiktive_Dividende!A$3:AM$103,22,FALSE)&lt;&gt;"",IF(VLOOKUP(A12,Ergebnis_je_Aktie_verwässert!A$3:AK$103,16,FALSE)&lt;&gt;"",IF(VLOOKUP(A12,Ergebnis_je_Aktie_verwässert!A$3:AK$103,16,FALSE)&lt;=0,2,IF(VLOOKUP(A12,Fiktive_Dividende!A$3:AM$103,22,FALSE)/VLOOKUP(A12,Ergebnis_je_Aktie_verwässert!A$3:AK$103,16,FALSE)&gt;=2,2,VLOOKUP(A12,Fiktive_Dividende!A$3:AM$103,22,FALSE)/VLOOKUP(A12,Ergebnis_je_Aktie_verwässert!A$3:AK$103,16,FALSE))),""),"")</f>
        <v>0.58822291217176226</v>
      </c>
      <c r="Q12" s="71">
        <f>IF(VLOOKUP(A12,Fiktive_Dividende!A$3:AM$103,23,FALSE)&lt;&gt;"",IF(VLOOKUP(A12,Ergebnis_je_Aktie_verwässert!A$3:AK$103,17,FALSE)&lt;&gt;"",IF(VLOOKUP(A12,Ergebnis_je_Aktie_verwässert!A$3:AK$103,17,FALSE)&lt;=0,2,IF(VLOOKUP(A12,Fiktive_Dividende!A$3:AM$103,23,FALSE)/VLOOKUP(A12,Ergebnis_je_Aktie_verwässert!A$3:AK$103,17,FALSE)&gt;=2,2,VLOOKUP(A12,Fiktive_Dividende!A$3:AM$103,23,FALSE)/VLOOKUP(A12,Ergebnis_je_Aktie_verwässert!A$3:AK$103,17,FALSE))),""),"")</f>
        <v>0.70901602107877282</v>
      </c>
      <c r="R12" s="71">
        <f>IF(VLOOKUP(A12,Fiktive_Dividende!A$3:AM$103,24,FALSE)&lt;&gt;"",IF(VLOOKUP(A12,Ergebnis_je_Aktie_verwässert!A$3:AK$103,18,FALSE)&lt;&gt;"",IF(VLOOKUP(A12,Ergebnis_je_Aktie_verwässert!A$3:AK$103,18,FALSE)&lt;=0,2,IF(VLOOKUP(A12,Fiktive_Dividende!A$3:AM$103,24,FALSE)/VLOOKUP(A12,Ergebnis_je_Aktie_verwässert!A$3:AK$103,18,FALSE)&gt;=2,2,VLOOKUP(A12,Fiktive_Dividende!A$3:AM$103,24,FALSE)/VLOOKUP(A12,Ergebnis_je_Aktie_verwässert!A$3:AK$103,18,FALSE))),""),"")</f>
        <v>0.30263157894736842</v>
      </c>
      <c r="S12" s="105">
        <f t="shared" si="0"/>
        <v>0.39484761195350576</v>
      </c>
      <c r="T12" s="71">
        <f>IF(VLOOKUP(A12,Dividende_je_Aktie!A$3:AM$103,6,FALSE)&lt;&gt;"",IF(VLOOKUP(A12,Ergebnis_je_Aktie_verwässert!A$3:AK$103,6,FALSE)&lt;&gt;"",IF(VLOOKUP(A12,Ergebnis_je_Aktie_verwässert!A$3:AK$103,6,FALSE)&lt;=0,2,IF(VLOOKUP(A12,Dividende_je_Aktie!A$3:AM$103,6,FALSE)/VLOOKUP(A12,Ergebnis_je_Aktie_verwässert!A$3:AK$103,6,FALSE)&gt;=2,2,VLOOKUP(A12,Dividende_je_Aktie!A$3:AM$103,6,FALSE)/VLOOKUP(A12,Ergebnis_je_Aktie_verwässert!A$3:AK$103,6,FALSE))),""),"")</f>
        <v>0.33860045146726864</v>
      </c>
      <c r="U12" s="71">
        <f>IF(VLOOKUP(A12,Dividende_je_Aktie!A$3:AM$103,7,FALSE)&lt;&gt;"",IF(VLOOKUP(A12,Ergebnis_je_Aktie_verwässert!A$3:AK$103,7,FALSE)&lt;&gt;"",IF(VLOOKUP(A12,Ergebnis_je_Aktie_verwässert!A$3:AK$103,7,FALSE)&lt;=0,2,IF(VLOOKUP(A12,Dividende_je_Aktie!A$3:AM$103,7,FALSE)/VLOOKUP(A12,Ergebnis_je_Aktie_verwässert!A$3:AK$103,7,FALSE)&gt;=2,2,VLOOKUP(A12,Dividende_je_Aktie!A$3:AM$103,7,FALSE)/VLOOKUP(A12,Ergebnis_je_Aktie_verwässert!A$3:AK$103,7,FALSE))),""),"")</f>
        <v>0.35492227979274615</v>
      </c>
      <c r="V12" s="71">
        <f>IF(VLOOKUP(A12,Dividende_je_Aktie!A$3:AM$103,8,FALSE)&lt;&gt;"",IF(VLOOKUP(A12,Ergebnis_je_Aktie_verwässert!A$3:AK$103,8,FALSE)&lt;&gt;"",IF(VLOOKUP(A12,Ergebnis_je_Aktie_verwässert!A$3:AK$103,8,FALSE)&lt;=0,2,IF(VLOOKUP(A12,Dividende_je_Aktie!A$3:AM$103,8,FALSE)/VLOOKUP(A12,Ergebnis_je_Aktie_verwässert!A$3:AK$103,8,FALSE)&gt;=2,2,VLOOKUP(A12,Dividende_je_Aktie!A$3:AM$103,8,FALSE)/VLOOKUP(A12,Ergebnis_je_Aktie_verwässert!A$3:AK$103,8,FALSE))),""),"")</f>
        <v>0.35977337110481589</v>
      </c>
      <c r="W12" s="71">
        <f>IF(VLOOKUP(A12,Dividende_je_Aktie!A$3:AM$103,9,FALSE)&lt;&gt;"",IF(VLOOKUP(A12,Ergebnis_je_Aktie_verwässert!A$3:AK$103,9,FALSE)&lt;&gt;"",IF(VLOOKUP(A12,Ergebnis_je_Aktie_verwässert!A$3:AK$103,9,FALSE)&lt;=0,2,IF(VLOOKUP(A12,Dividende_je_Aktie!A$3:AM$103,9,FALSE)/VLOOKUP(A12,Ergebnis_je_Aktie_verwässert!A$3:AK$103,9,FALSE)&gt;=2,2,VLOOKUP(A12,Dividende_je_Aktie!A$3:AM$103,9,FALSE)/VLOOKUP(A12,Ergebnis_je_Aktie_verwässert!A$3:AK$103,9,FALSE))),""),"")</f>
        <v>0.44921874999999994</v>
      </c>
      <c r="X12" s="71">
        <f>IF(VLOOKUP(A12,Dividende_je_Aktie!A$3:AM$103,10,FALSE)&lt;&gt;"",IF(VLOOKUP(A12,Ergebnis_je_Aktie_verwässert!A$3:AK$103,10,FALSE)&lt;&gt;"",IF(VLOOKUP(A12,Ergebnis_je_Aktie_verwässert!A$3:AK$103,10,FALSE)&lt;=0,2,IF(VLOOKUP(A12,Dividende_je_Aktie!A$3:AM$103,10,FALSE)/VLOOKUP(A12,Ergebnis_je_Aktie_verwässert!A$3:AK$103,10,FALSE)&gt;=2,2,VLOOKUP(A12,Dividende_je_Aktie!A$3:AM$103,10,FALSE)/VLOOKUP(A12,Ergebnis_je_Aktie_verwässert!A$3:AK$103,10,FALSE))),""),"")</f>
        <v>0.37414965986394561</v>
      </c>
      <c r="Y12" s="71">
        <f>IF(VLOOKUP(A12,Dividende_je_Aktie!A$3:AM$103,11,FALSE)&lt;&gt;"",IF(VLOOKUP(A12,Ergebnis_je_Aktie_verwässert!A$3:AK$103,11,FALSE)&lt;&gt;"",IF(VLOOKUP(A12,Ergebnis_je_Aktie_verwässert!A$3:AK$103,11,FALSE)&lt;=0,2,IF(VLOOKUP(A12,Dividende_je_Aktie!A$3:AM$103,11,FALSE)/VLOOKUP(A12,Ergebnis_je_Aktie_verwässert!A$3:AK$103,11,FALSE)&gt;=2,2,VLOOKUP(A12,Dividende_je_Aktie!A$3:AM$103,11,FALSE)/VLOOKUP(A12,Ergebnis_je_Aktie_verwässert!A$3:AK$103,11,FALSE))),""),"")</f>
        <v>0.35971223021582738</v>
      </c>
      <c r="Z12" s="71">
        <f>IF(VLOOKUP(A12,Dividende_je_Aktie!A$3:AM$103,12,FALSE)&lt;&gt;"",IF(VLOOKUP(A12,Ergebnis_je_Aktie_verwässert!A$3:AK$103,12,FALSE)&lt;&gt;"",IF(VLOOKUP(A12,Ergebnis_je_Aktie_verwässert!A$3:AK$103,12,FALSE)&lt;=0,2,IF(VLOOKUP(A12,Dividende_je_Aktie!A$3:AM$103,12,FALSE)/VLOOKUP(A12,Ergebnis_je_Aktie_verwässert!A$3:AK$103,12,FALSE)&gt;=2,2,VLOOKUP(A12,Dividende_je_Aktie!A$3:AM$103,12,FALSE)/VLOOKUP(A12,Ergebnis_je_Aktie_verwässert!A$3:AK$103,12,FALSE))),""),"")</f>
        <v>0.35864978902953581</v>
      </c>
      <c r="AA12" s="71">
        <f>IF(VLOOKUP(A12,Dividende_je_Aktie!A$3:AM$103,13,FALSE)&lt;&gt;"",IF(VLOOKUP(A12,Ergebnis_je_Aktie_verwässert!A$3:AK$103,13,FALSE)&lt;&gt;"",IF(VLOOKUP(A12,Ergebnis_je_Aktie_verwässert!A$3:AK$103,13,FALSE)&lt;=0,2,IF(VLOOKUP(A12,Dividende_je_Aktie!A$3:AM$103,13,FALSE)/VLOOKUP(A12,Ergebnis_je_Aktie_verwässert!A$3:AK$103,13,FALSE)&gt;=2,2,VLOOKUP(A12,Dividende_je_Aktie!A$3:AM$103,13,FALSE)/VLOOKUP(A12,Ergebnis_je_Aktie_verwässert!A$3:AK$103,13,FALSE))),""),"")</f>
        <v>0.30241935483870969</v>
      </c>
      <c r="AB12" s="71">
        <f>IF(VLOOKUP(A12,Dividende_je_Aktie!A$3:AM$103,14,FALSE)&lt;&gt;"",IF(VLOOKUP(A12,Ergebnis_je_Aktie_verwässert!A$3:AK$103,14,FALSE)&lt;&gt;"",IF(VLOOKUP(A12,Ergebnis_je_Aktie_verwässert!A$3:AK$103,14,FALSE)&lt;=0,2,IF(VLOOKUP(A12,Dividende_je_Aktie!A$3:AM$103,14,FALSE)/VLOOKUP(A12,Ergebnis_je_Aktie_verwässert!A$3:AK$103,14,FALSE)&gt;=2,2,VLOOKUP(A12,Dividende_je_Aktie!A$3:AM$103,14,FALSE)/VLOOKUP(A12,Ergebnis_je_Aktie_verwässert!A$3:AK$103,14,FALSE))),""),"")</f>
        <v>0.29556650246305421</v>
      </c>
      <c r="AC12" s="71">
        <f>IF(VLOOKUP(A12,Dividende_je_Aktie!A$3:AM$103,15,FALSE)&lt;&gt;"",IF(VLOOKUP(A12,Ergebnis_je_Aktie_verwässert!A$3:AK$103,15,FALSE)&lt;&gt;"",IF(VLOOKUP(A12,Ergebnis_je_Aktie_verwässert!A$3:AK$103,15,FALSE)&lt;=0,2,IF(VLOOKUP(A12,Dividende_je_Aktie!A$3:AM$103,15,FALSE)/VLOOKUP(A12,Ergebnis_je_Aktie_verwässert!A$3:AK$103,15,FALSE)&gt;=2,2,VLOOKUP(A12,Dividende_je_Aktie!A$3:AM$103,15,FALSE)/VLOOKUP(A12,Ergebnis_je_Aktie_verwässert!A$3:AK$103,15,FALSE))),""),"")</f>
        <v>0.3401360544217687</v>
      </c>
      <c r="AD12" s="71">
        <f>IF(VLOOKUP(A12,Dividende_je_Aktie!A$3:AM$103,16,FALSE)&lt;&gt;"",IF(VLOOKUP(A12,Ergebnis_je_Aktie_verwässert!A$3:AK$103,16,FALSE)&lt;&gt;"",IF(VLOOKUP(A12,Ergebnis_je_Aktie_verwässert!A$3:AK$103,16,FALSE)&lt;=0,2,IF(VLOOKUP(A12,Dividende_je_Aktie!A$3:AM$103,16,FALSE)/VLOOKUP(A12,Ergebnis_je_Aktie_verwässert!A$3:AK$103,16,FALSE)&gt;=2,2,VLOOKUP(A12,Dividende_je_Aktie!A$3:AM$103,16,FALSE)/VLOOKUP(A12,Ergebnis_je_Aktie_verwässert!A$3:AK$103,16,FALSE))),""),"")</f>
        <v>0.32258064516129031</v>
      </c>
      <c r="AE12" s="71">
        <f>IF(VLOOKUP(A12,Dividende_je_Aktie!A$3:AM$103,17,FALSE)&lt;&gt;"",IF(VLOOKUP(A12,Ergebnis_je_Aktie_verwässert!A$3:AK$103,17,FALSE)&lt;&gt;"",IF(VLOOKUP(A12,Ergebnis_je_Aktie_verwässert!A$3:AK$103,17,FALSE)&lt;=0,2,IF(VLOOKUP(A12,Dividende_je_Aktie!A$3:AM$103,17,FALSE)/VLOOKUP(A12,Ergebnis_je_Aktie_verwässert!A$3:AK$103,17,FALSE)&gt;=2,2,VLOOKUP(A12,Dividende_je_Aktie!A$3:AM$103,17,FALSE)/VLOOKUP(A12,Ergebnis_je_Aktie_verwässert!A$3:AK$103,17,FALSE))),""),"")</f>
        <v>0.31446540880503143</v>
      </c>
      <c r="AF12" s="71">
        <f>IF(VLOOKUP(A12,Dividende_je_Aktie!A$3:AM$103,18,FALSE)&lt;&gt;"",IF(VLOOKUP(A12,Ergebnis_je_Aktie_verwässert!A$3:AK$103,18,FALSE)&lt;&gt;"",IF(VLOOKUP(A12,Ergebnis_je_Aktie_verwässert!A$3:AK$103,18,FALSE)&lt;=0,2,IF(VLOOKUP(A12,Dividende_je_Aktie!A$3:AM$103,18,FALSE)/VLOOKUP(A12,Ergebnis_je_Aktie_verwässert!A$3:AK$103,18,FALSE)&gt;=2,2,VLOOKUP(A12,Dividende_je_Aktie!A$3:AM$103,18,FALSE)/VLOOKUP(A12,Ergebnis_je_Aktie_verwässert!A$3:AK$103,18,FALSE))),""),"")</f>
        <v>0.30263157894736842</v>
      </c>
      <c r="AG12" s="105">
        <f t="shared" si="1"/>
        <v>0.34406354431625863</v>
      </c>
      <c r="AH12" s="4">
        <f t="shared" ca="1" si="2"/>
        <v>0</v>
      </c>
      <c r="AI12" s="4">
        <f t="shared" ca="1" si="3"/>
        <v>108</v>
      </c>
      <c r="AJ12" s="4">
        <f t="shared" ca="1" si="4"/>
        <v>252</v>
      </c>
      <c r="AK12" s="10">
        <f t="shared" ca="1" si="5"/>
        <v>0.35831804371119502</v>
      </c>
      <c r="AL12" s="5">
        <f t="shared" ca="1" si="6"/>
        <v>4.1429845243452501E-2</v>
      </c>
    </row>
    <row r="13" spans="1:38">
      <c r="A13" t="s">
        <v>16</v>
      </c>
      <c r="B13" t="s">
        <v>17</v>
      </c>
      <c r="C13" s="60">
        <v>30</v>
      </c>
      <c r="D13" s="60">
        <v>9</v>
      </c>
      <c r="E13" s="60">
        <v>2016</v>
      </c>
      <c r="F13" s="71">
        <f>IF(VLOOKUP(A13,Dividende_je_Aktie!A$3:AM$103,6,FALSE)&lt;&gt;"",IF(VLOOKUP(A13,Ergebnis_je_Aktie_verwässert!A$3:AK$103,6,FALSE)&lt;&gt;"",IF(VLOOKUP(A13,Ergebnis_je_Aktie_verwässert!A$3:AK$103,6,FALSE)&lt;=0,2,IF(VLOOKUP(A13,Dividende_je_Aktie!A$3:AM$103,6,FALSE)/VLOOKUP(A13,Ergebnis_je_Aktie_verwässert!A$3:AK$103,6,FALSE)&gt;=2,2,VLOOKUP(A13,Dividende_je_Aktie!A$3:AM$103,6,FALSE)/VLOOKUP(A13,Ergebnis_je_Aktie_verwässert!A$3:AK$103,6,FALSE))),""),"")</f>
        <v>0.5</v>
      </c>
      <c r="G13" s="71">
        <f>IF(VLOOKUP(A13,Dividende_je_Aktie!A$3:AM$103,7,FALSE)&lt;&gt;"",IF(VLOOKUP(A13,Ergebnis_je_Aktie_verwässert!A$3:AK$103,7,FALSE)&lt;&gt;"",IF(VLOOKUP(A13,Ergebnis_je_Aktie_verwässert!A$3:AK$103,7,FALSE)&lt;=0,2,IF(VLOOKUP(A13,Dividende_je_Aktie!A$3:AM$103,7,FALSE)/VLOOKUP(A13,Ergebnis_je_Aktie_verwässert!A$3:AK$103,7,FALSE)&gt;=2,2,VLOOKUP(A13,Dividende_je_Aktie!A$3:AM$103,7,FALSE)/VLOOKUP(A13,Ergebnis_je_Aktie_verwässert!A$3:AK$103,7,FALSE))),""),"")</f>
        <v>0.53501400560224088</v>
      </c>
      <c r="H13" s="71">
        <f>IF(VLOOKUP(A13,Fiktive_Dividende!A$3:AM$103,14,FALSE)&lt;&gt;"",IF(VLOOKUP(A13,Ergebnis_je_Aktie_verwässert!A$3:AK$103,8,FALSE)&lt;&gt;"",IF(VLOOKUP(A13,Ergebnis_je_Aktie_verwässert!A$3:AK$103,8,FALSE)&lt;=0,2,IF(VLOOKUP(A13,Fiktive_Dividende!A$3:AM$103,14,FALSE)/VLOOKUP(A13,Ergebnis_je_Aktie_verwässert!A$3:AK$103,8,FALSE)&gt;=2,2,VLOOKUP(A13,Fiktive_Dividende!A$3:AM$103,14,FALSE)/VLOOKUP(A13,Ergebnis_je_Aktie_verwässert!A$3:AK$103,8,FALSE))),""),"")</f>
        <v>0.56406249999999991</v>
      </c>
      <c r="I13" s="71">
        <f>IF(VLOOKUP(A13,Fiktive_Dividende!A$3:AM$103,15,FALSE)&lt;&gt;"",IF(VLOOKUP(A13,Ergebnis_je_Aktie_verwässert!A$3:AK$103,9,FALSE)&lt;&gt;"",IF(VLOOKUP(A13,Ergebnis_je_Aktie_verwässert!A$3:AK$103,9,FALSE)&lt;=0,2,IF(VLOOKUP(A13,Fiktive_Dividende!A$3:AM$103,15,FALSE)/VLOOKUP(A13,Ergebnis_je_Aktie_verwässert!A$3:AK$103,9,FALSE)&gt;=2,2,VLOOKUP(A13,Fiktive_Dividende!A$3:AM$103,15,FALSE)/VLOOKUP(A13,Ergebnis_je_Aktie_verwässert!A$3:AK$103,9,FALSE))),""),"")</f>
        <v>0.40045766590389015</v>
      </c>
      <c r="J13" s="71">
        <f>IF(VLOOKUP(A13,Fiktive_Dividende!A$3:AM$103,16,FALSE)&lt;&gt;"",IF(VLOOKUP(A13,Ergebnis_je_Aktie_verwässert!A$3:AK$103,10,FALSE)&lt;&gt;"",IF(VLOOKUP(A13,Ergebnis_je_Aktie_verwässert!A$3:AK$103,10,FALSE)&lt;=0,2,IF(VLOOKUP(A13,Fiktive_Dividende!A$3:AM$103,16,FALSE)/VLOOKUP(A13,Ergebnis_je_Aktie_verwässert!A$3:AK$103,10,FALSE)&gt;=2,2,VLOOKUP(A13,Fiktive_Dividende!A$3:AM$103,16,FALSE)/VLOOKUP(A13,Ergebnis_je_Aktie_verwässert!A$3:AK$103,10,FALSE))),""),"")</f>
        <v>0.52297939778129954</v>
      </c>
      <c r="K13" s="71">
        <f>IF(VLOOKUP(A13,Fiktive_Dividende!A$3:AM$103,17,FALSE)&lt;&gt;"",IF(VLOOKUP(A13,Ergebnis_je_Aktie_verwässert!A$3:AK$103,11,FALSE)&lt;&gt;"",IF(VLOOKUP(A13,Ergebnis_je_Aktie_verwässert!A$3:AK$103,11,FALSE)&lt;=0,2,IF(VLOOKUP(A13,Fiktive_Dividende!A$3:AM$103,17,FALSE)/VLOOKUP(A13,Ergebnis_je_Aktie_verwässert!A$3:AK$103,11,FALSE)&gt;=2,2,VLOOKUP(A13,Fiktive_Dividende!A$3:AM$103,17,FALSE)/VLOOKUP(A13,Ergebnis_je_Aktie_verwässert!A$3:AK$103,11,FALSE))),""),"")</f>
        <v>0.59642147117296218</v>
      </c>
      <c r="L13" s="71">
        <f>IF(VLOOKUP(A13,Fiktive_Dividende!A$3:AM$103,18,FALSE)&lt;&gt;"",IF(VLOOKUP(A13,Ergebnis_je_Aktie_verwässert!A$3:AK$103,12,FALSE)&lt;&gt;"",IF(VLOOKUP(A13,Ergebnis_je_Aktie_verwässert!A$3:AK$103,12,FALSE)&lt;=0,2,IF(VLOOKUP(A13,Fiktive_Dividende!A$3:AM$103,18,FALSE)/VLOOKUP(A13,Ergebnis_je_Aktie_verwässert!A$3:AK$103,12,FALSE)&gt;=2,2,VLOOKUP(A13,Fiktive_Dividende!A$3:AM$103,18,FALSE)/VLOOKUP(A13,Ergebnis_je_Aktie_verwässert!A$3:AK$103,12,FALSE))),""),"")</f>
        <v>1.1755337549321667</v>
      </c>
      <c r="M13" s="71">
        <f>IF(VLOOKUP(A13,Fiktive_Dividende!A$3:AM$103,19,FALSE)&lt;&gt;"",IF(VLOOKUP(A13,Ergebnis_je_Aktie_verwässert!A$3:AK$103,13,FALSE)&lt;&gt;"",IF(VLOOKUP(A13,Ergebnis_je_Aktie_verwässert!A$3:AK$103,13,FALSE)&lt;=0,2,IF(VLOOKUP(A13,Fiktive_Dividende!A$3:AM$103,19,FALSE)/VLOOKUP(A13,Ergebnis_je_Aktie_verwässert!A$3:AK$103,13,FALSE)&gt;=2,2,VLOOKUP(A13,Fiktive_Dividende!A$3:AM$103,19,FALSE)/VLOOKUP(A13,Ergebnis_je_Aktie_verwässert!A$3:AK$103,13,FALSE))),""),"")</f>
        <v>0.43103448275862072</v>
      </c>
      <c r="N13" s="71">
        <f>IF(VLOOKUP(A13,Fiktive_Dividende!A$3:AM$103,20,FALSE)&lt;&gt;"",IF(VLOOKUP(A13,Ergebnis_je_Aktie_verwässert!A$3:AK$103,14,FALSE)&lt;&gt;"",IF(VLOOKUP(A13,Ergebnis_je_Aktie_verwässert!A$3:AK$103,14,FALSE)&lt;=0,2,IF(VLOOKUP(A13,Fiktive_Dividende!A$3:AM$103,20,FALSE)/VLOOKUP(A13,Ergebnis_je_Aktie_verwässert!A$3:AK$103,14,FALSE)&gt;=2,2,VLOOKUP(A13,Fiktive_Dividende!A$3:AM$103,20,FALSE)/VLOOKUP(A13,Ergebnis_je_Aktie_verwässert!A$3:AK$103,14,FALSE))),""),"")</f>
        <v>0.60810810810810811</v>
      </c>
      <c r="O13" s="71">
        <f>IF(VLOOKUP(A13,Fiktive_Dividende!A$3:AM$103,21,FALSE)&lt;&gt;"",IF(VLOOKUP(A13,Ergebnis_je_Aktie_verwässert!A$3:AK$103,15,FALSE)&lt;&gt;"",IF(VLOOKUP(A13,Ergebnis_je_Aktie_verwässert!A$3:AK$103,15,FALSE)&lt;=0,2,IF(VLOOKUP(A13,Fiktive_Dividende!A$3:AM$103,21,FALSE)/VLOOKUP(A13,Ergebnis_je_Aktie_verwässert!A$3:AK$103,15,FALSE)&gt;=2,2,VLOOKUP(A13,Fiktive_Dividende!A$3:AM$103,21,FALSE)/VLOOKUP(A13,Ergebnis_je_Aktie_verwässert!A$3:AK$103,15,FALSE))),""),"")</f>
        <v>0.60836501901140694</v>
      </c>
      <c r="P13" s="71">
        <f>IF(VLOOKUP(A13,Fiktive_Dividende!A$3:AM$103,22,FALSE)&lt;&gt;"",IF(VLOOKUP(A13,Ergebnis_je_Aktie_verwässert!A$3:AK$103,16,FALSE)&lt;&gt;"",IF(VLOOKUP(A13,Ergebnis_je_Aktie_verwässert!A$3:AK$103,16,FALSE)&lt;=0,2,IF(VLOOKUP(A13,Fiktive_Dividende!A$3:AM$103,22,FALSE)/VLOOKUP(A13,Ergebnis_je_Aktie_verwässert!A$3:AK$103,16,FALSE)&gt;=2,2,VLOOKUP(A13,Fiktive_Dividende!A$3:AM$103,22,FALSE)/VLOOKUP(A13,Ergebnis_je_Aktie_verwässert!A$3:AK$103,16,FALSE))),""),"")</f>
        <v>0.79207920792079212</v>
      </c>
      <c r="Q13" s="71">
        <f>IF(VLOOKUP(A13,Fiktive_Dividende!A$3:AM$103,23,FALSE)&lt;&gt;"",IF(VLOOKUP(A13,Ergebnis_je_Aktie_verwässert!A$3:AK$103,17,FALSE)&lt;&gt;"",IF(VLOOKUP(A13,Ergebnis_je_Aktie_verwässert!A$3:AK$103,17,FALSE)&lt;=0,2,IF(VLOOKUP(A13,Fiktive_Dividende!A$3:AM$103,23,FALSE)/VLOOKUP(A13,Ergebnis_je_Aktie_verwässert!A$3:AK$103,17,FALSE)&gt;=2,2,VLOOKUP(A13,Fiktive_Dividende!A$3:AM$103,23,FALSE)/VLOOKUP(A13,Ergebnis_je_Aktie_verwässert!A$3:AK$103,17,FALSE))),""),"")</f>
        <v>0.41450777202072542</v>
      </c>
      <c r="R13" s="71">
        <f>IF(VLOOKUP(A13,Fiktive_Dividende!A$3:AM$103,24,FALSE)&lt;&gt;"",IF(VLOOKUP(A13,Ergebnis_je_Aktie_verwässert!A$3:AK$103,18,FALSE)&lt;&gt;"",IF(VLOOKUP(A13,Ergebnis_je_Aktie_verwässert!A$3:AK$103,18,FALSE)&lt;=0,2,IF(VLOOKUP(A13,Fiktive_Dividende!A$3:AM$103,24,FALSE)/VLOOKUP(A13,Ergebnis_je_Aktie_verwässert!A$3:AK$103,18,FALSE)&gt;=2,2,VLOOKUP(A13,Fiktive_Dividende!A$3:AM$103,24,FALSE)/VLOOKUP(A13,Ergebnis_je_Aktie_verwässert!A$3:AK$103,18,FALSE))),""),"")</f>
        <v>0.44478527607361967</v>
      </c>
      <c r="S13" s="105">
        <f t="shared" si="0"/>
        <v>0.58410374317583313</v>
      </c>
      <c r="T13" s="71">
        <f>IF(VLOOKUP(A13,Dividende_je_Aktie!A$3:AM$103,6,FALSE)&lt;&gt;"",IF(VLOOKUP(A13,Ergebnis_je_Aktie_verwässert!A$3:AK$103,6,FALSE)&lt;&gt;"",IF(VLOOKUP(A13,Ergebnis_je_Aktie_verwässert!A$3:AK$103,6,FALSE)&lt;=0,2,IF(VLOOKUP(A13,Dividende_je_Aktie!A$3:AM$103,6,FALSE)/VLOOKUP(A13,Ergebnis_je_Aktie_verwässert!A$3:AK$103,6,FALSE)&gt;=2,2,VLOOKUP(A13,Dividende_je_Aktie!A$3:AM$103,6,FALSE)/VLOOKUP(A13,Ergebnis_je_Aktie_verwässert!A$3:AK$103,6,FALSE))),""),"")</f>
        <v>0.5</v>
      </c>
      <c r="U13" s="71">
        <f>IF(VLOOKUP(A13,Dividende_je_Aktie!A$3:AM$103,7,FALSE)&lt;&gt;"",IF(VLOOKUP(A13,Ergebnis_je_Aktie_verwässert!A$3:AK$103,7,FALSE)&lt;&gt;"",IF(VLOOKUP(A13,Ergebnis_je_Aktie_verwässert!A$3:AK$103,7,FALSE)&lt;=0,2,IF(VLOOKUP(A13,Dividende_je_Aktie!A$3:AM$103,7,FALSE)/VLOOKUP(A13,Ergebnis_je_Aktie_verwässert!A$3:AK$103,7,FALSE)&gt;=2,2,VLOOKUP(A13,Dividende_je_Aktie!A$3:AM$103,7,FALSE)/VLOOKUP(A13,Ergebnis_je_Aktie_verwässert!A$3:AK$103,7,FALSE))),""),"")</f>
        <v>0.53501400560224088</v>
      </c>
      <c r="V13" s="71">
        <f>IF(VLOOKUP(A13,Dividende_je_Aktie!A$3:AM$103,8,FALSE)&lt;&gt;"",IF(VLOOKUP(A13,Ergebnis_je_Aktie_verwässert!A$3:AK$103,8,FALSE)&lt;&gt;"",IF(VLOOKUP(A13,Ergebnis_je_Aktie_verwässert!A$3:AK$103,8,FALSE)&lt;=0,2,IF(VLOOKUP(A13,Dividende_je_Aktie!A$3:AM$103,8,FALSE)/VLOOKUP(A13,Ergebnis_je_Aktie_verwässert!A$3:AK$103,8,FALSE)&gt;=2,2,VLOOKUP(A13,Dividende_je_Aktie!A$3:AM$103,8,FALSE)/VLOOKUP(A13,Ergebnis_je_Aktie_verwässert!A$3:AK$103,8,FALSE))),""),"")</f>
        <v>0.56406249999999991</v>
      </c>
      <c r="W13" s="71">
        <f>IF(VLOOKUP(A13,Dividende_je_Aktie!A$3:AM$103,9,FALSE)&lt;&gt;"",IF(VLOOKUP(A13,Ergebnis_je_Aktie_verwässert!A$3:AK$103,9,FALSE)&lt;&gt;"",IF(VLOOKUP(A13,Ergebnis_je_Aktie_verwässert!A$3:AK$103,9,FALSE)&lt;=0,2,IF(VLOOKUP(A13,Dividende_je_Aktie!A$3:AM$103,9,FALSE)/VLOOKUP(A13,Ergebnis_je_Aktie_verwässert!A$3:AK$103,9,FALSE)&gt;=2,2,VLOOKUP(A13,Dividende_je_Aktie!A$3:AM$103,9,FALSE)/VLOOKUP(A13,Ergebnis_je_Aktie_verwässert!A$3:AK$103,9,FALSE))),""),"")</f>
        <v>0.40045766590389015</v>
      </c>
      <c r="X13" s="71">
        <f>IF(VLOOKUP(A13,Dividende_je_Aktie!A$3:AM$103,10,FALSE)&lt;&gt;"",IF(VLOOKUP(A13,Ergebnis_je_Aktie_verwässert!A$3:AK$103,10,FALSE)&lt;&gt;"",IF(VLOOKUP(A13,Ergebnis_je_Aktie_verwässert!A$3:AK$103,10,FALSE)&lt;=0,2,IF(VLOOKUP(A13,Dividende_je_Aktie!A$3:AM$103,10,FALSE)/VLOOKUP(A13,Ergebnis_je_Aktie_verwässert!A$3:AK$103,10,FALSE)&gt;=2,2,VLOOKUP(A13,Dividende_je_Aktie!A$3:AM$103,10,FALSE)/VLOOKUP(A13,Ergebnis_je_Aktie_verwässert!A$3:AK$103,10,FALSE))),""),"")</f>
        <v>0.52297939778129954</v>
      </c>
      <c r="Y13" s="71">
        <f>IF(VLOOKUP(A13,Dividende_je_Aktie!A$3:AM$103,11,FALSE)&lt;&gt;"",IF(VLOOKUP(A13,Ergebnis_je_Aktie_verwässert!A$3:AK$103,11,FALSE)&lt;&gt;"",IF(VLOOKUP(A13,Ergebnis_je_Aktie_verwässert!A$3:AK$103,11,FALSE)&lt;=0,2,IF(VLOOKUP(A13,Dividende_je_Aktie!A$3:AM$103,11,FALSE)/VLOOKUP(A13,Ergebnis_je_Aktie_verwässert!A$3:AK$103,11,FALSE)&gt;=2,2,VLOOKUP(A13,Dividende_je_Aktie!A$3:AM$103,11,FALSE)/VLOOKUP(A13,Ergebnis_je_Aktie_verwässert!A$3:AK$103,11,FALSE))),""),"")</f>
        <v>0.59642147117296218</v>
      </c>
      <c r="Z13" s="71">
        <f>IF(VLOOKUP(A13,Dividende_je_Aktie!A$3:AM$103,12,FALSE)&lt;&gt;"",IF(VLOOKUP(A13,Ergebnis_je_Aktie_verwässert!A$3:AK$103,12,FALSE)&lt;&gt;"",IF(VLOOKUP(A13,Ergebnis_je_Aktie_verwässert!A$3:AK$103,12,FALSE)&lt;=0,2,IF(VLOOKUP(A13,Dividende_je_Aktie!A$3:AM$103,12,FALSE)/VLOOKUP(A13,Ergebnis_je_Aktie_verwässert!A$3:AK$103,12,FALSE)&gt;=2,2,VLOOKUP(A13,Dividende_je_Aktie!A$3:AM$103,12,FALSE)/VLOOKUP(A13,Ergebnis_je_Aktie_verwässert!A$3:AK$103,12,FALSE))),""),"")</f>
        <v>0.59523809523809523</v>
      </c>
      <c r="AA13" s="71">
        <f>IF(VLOOKUP(A13,Dividende_je_Aktie!A$3:AM$103,13,FALSE)&lt;&gt;"",IF(VLOOKUP(A13,Ergebnis_je_Aktie_verwässert!A$3:AK$103,13,FALSE)&lt;&gt;"",IF(VLOOKUP(A13,Ergebnis_je_Aktie_verwässert!A$3:AK$103,13,FALSE)&lt;=0,2,IF(VLOOKUP(A13,Dividende_je_Aktie!A$3:AM$103,13,FALSE)/VLOOKUP(A13,Ergebnis_je_Aktie_verwässert!A$3:AK$103,13,FALSE)&gt;=2,2,VLOOKUP(A13,Dividende_je_Aktie!A$3:AM$103,13,FALSE)/VLOOKUP(A13,Ergebnis_je_Aktie_verwässert!A$3:AK$103,13,FALSE))),""),"")</f>
        <v>0.43103448275862072</v>
      </c>
      <c r="AB13" s="71">
        <f>IF(VLOOKUP(A13,Dividende_je_Aktie!A$3:AM$103,14,FALSE)&lt;&gt;"",IF(VLOOKUP(A13,Ergebnis_je_Aktie_verwässert!A$3:AK$103,14,FALSE)&lt;&gt;"",IF(VLOOKUP(A13,Ergebnis_je_Aktie_verwässert!A$3:AK$103,14,FALSE)&lt;=0,2,IF(VLOOKUP(A13,Dividende_je_Aktie!A$3:AM$103,14,FALSE)/VLOOKUP(A13,Ergebnis_je_Aktie_verwässert!A$3:AK$103,14,FALSE)&gt;=2,2,VLOOKUP(A13,Dividende_je_Aktie!A$3:AM$103,14,FALSE)/VLOOKUP(A13,Ergebnis_je_Aktie_verwässert!A$3:AK$103,14,FALSE))),""),"")</f>
        <v>0.60810810810810811</v>
      </c>
      <c r="AC13" s="71">
        <f>IF(VLOOKUP(A13,Dividende_je_Aktie!A$3:AM$103,15,FALSE)&lt;&gt;"",IF(VLOOKUP(A13,Ergebnis_je_Aktie_verwässert!A$3:AK$103,15,FALSE)&lt;&gt;"",IF(VLOOKUP(A13,Ergebnis_je_Aktie_verwässert!A$3:AK$103,15,FALSE)&lt;=0,2,IF(VLOOKUP(A13,Dividende_je_Aktie!A$3:AM$103,15,FALSE)/VLOOKUP(A13,Ergebnis_je_Aktie_verwässert!A$3:AK$103,15,FALSE)&gt;=2,2,VLOOKUP(A13,Dividende_je_Aktie!A$3:AM$103,15,FALSE)/VLOOKUP(A13,Ergebnis_je_Aktie_verwässert!A$3:AK$103,15,FALSE))),""),"")</f>
        <v>0.60836501901140694</v>
      </c>
      <c r="AD13" s="71">
        <f>IF(VLOOKUP(A13,Dividende_je_Aktie!A$3:AM$103,16,FALSE)&lt;&gt;"",IF(VLOOKUP(A13,Ergebnis_je_Aktie_verwässert!A$3:AK$103,16,FALSE)&lt;&gt;"",IF(VLOOKUP(A13,Ergebnis_je_Aktie_verwässert!A$3:AK$103,16,FALSE)&lt;=0,2,IF(VLOOKUP(A13,Dividende_je_Aktie!A$3:AM$103,16,FALSE)/VLOOKUP(A13,Ergebnis_je_Aktie_verwässert!A$3:AK$103,16,FALSE)&gt;=2,2,VLOOKUP(A13,Dividende_je_Aktie!A$3:AM$103,16,FALSE)/VLOOKUP(A13,Ergebnis_je_Aktie_verwässert!A$3:AK$103,16,FALSE))),""),"")</f>
        <v>0.79207920792079212</v>
      </c>
      <c r="AE13" s="71">
        <f>IF(VLOOKUP(A13,Dividende_je_Aktie!A$3:AM$103,17,FALSE)&lt;&gt;"",IF(VLOOKUP(A13,Ergebnis_je_Aktie_verwässert!A$3:AK$103,17,FALSE)&lt;&gt;"",IF(VLOOKUP(A13,Ergebnis_je_Aktie_verwässert!A$3:AK$103,17,FALSE)&lt;=0,2,IF(VLOOKUP(A13,Dividende_je_Aktie!A$3:AM$103,17,FALSE)/VLOOKUP(A13,Ergebnis_je_Aktie_verwässert!A$3:AK$103,17,FALSE)&gt;=2,2,VLOOKUP(A13,Dividende_je_Aktie!A$3:AM$103,17,FALSE)/VLOOKUP(A13,Ergebnis_je_Aktie_verwässert!A$3:AK$103,17,FALSE))),""),"")</f>
        <v>0.41450777202072542</v>
      </c>
      <c r="AF13" s="71">
        <f>IF(VLOOKUP(A13,Dividende_je_Aktie!A$3:AM$103,18,FALSE)&lt;&gt;"",IF(VLOOKUP(A13,Ergebnis_je_Aktie_verwässert!A$3:AK$103,18,FALSE)&lt;&gt;"",IF(VLOOKUP(A13,Ergebnis_je_Aktie_verwässert!A$3:AK$103,18,FALSE)&lt;=0,2,IF(VLOOKUP(A13,Dividende_je_Aktie!A$3:AM$103,18,FALSE)/VLOOKUP(A13,Ergebnis_je_Aktie_verwässert!A$3:AK$103,18,FALSE)&gt;=2,2,VLOOKUP(A13,Dividende_je_Aktie!A$3:AM$103,18,FALSE)/VLOOKUP(A13,Ergebnis_je_Aktie_verwässert!A$3:AK$103,18,FALSE))),""),"")</f>
        <v>0.44478527607361967</v>
      </c>
      <c r="AG13" s="105">
        <f t="shared" si="1"/>
        <v>0.5394656155070584</v>
      </c>
      <c r="AH13" s="4">
        <f t="shared" ca="1" si="2"/>
        <v>0</v>
      </c>
      <c r="AI13" s="4">
        <f t="shared" ca="1" si="3"/>
        <v>199</v>
      </c>
      <c r="AJ13" s="4">
        <f t="shared" ca="1" si="4"/>
        <v>161</v>
      </c>
      <c r="AK13" s="10">
        <f t="shared" ca="1" si="5"/>
        <v>0.5480051378190165</v>
      </c>
      <c r="AL13" s="5">
        <f t="shared" ca="1" si="6"/>
        <v>1.5829595189179146E-2</v>
      </c>
    </row>
    <row r="14" spans="1:38">
      <c r="A14" t="s">
        <v>18</v>
      </c>
      <c r="B14" t="s">
        <v>19</v>
      </c>
      <c r="C14" s="60">
        <v>31</v>
      </c>
      <c r="D14" s="60">
        <v>12</v>
      </c>
      <c r="E14" s="60">
        <v>2016</v>
      </c>
      <c r="F14" s="71">
        <f>IF(VLOOKUP(A14,Dividende_je_Aktie!A$3:AM$103,6,FALSE)&lt;&gt;"",IF(VLOOKUP(A14,Ergebnis_je_Aktie_verwässert!A$3:AK$103,6,FALSE)&lt;&gt;"",IF(VLOOKUP(A14,Ergebnis_je_Aktie_verwässert!A$3:AK$103,6,FALSE)&lt;=0,2,IF(VLOOKUP(A14,Dividende_je_Aktie!A$3:AM$103,6,FALSE)/VLOOKUP(A14,Ergebnis_je_Aktie_verwässert!A$3:AK$103,6,FALSE)&gt;=2,2,VLOOKUP(A14,Dividende_je_Aktie!A$3:AM$103,6,FALSE)/VLOOKUP(A14,Ergebnis_je_Aktie_verwässert!A$3:AK$103,6,FALSE))),""),"")</f>
        <v>0.5</v>
      </c>
      <c r="G14" s="71">
        <f>IF(VLOOKUP(A14,Dividende_je_Aktie!A$3:AM$103,7,FALSE)&lt;&gt;"",IF(VLOOKUP(A14,Ergebnis_je_Aktie_verwässert!A$3:AK$103,7,FALSE)&lt;&gt;"",IF(VLOOKUP(A14,Ergebnis_je_Aktie_verwässert!A$3:AK$103,7,FALSE)&lt;=0,2,IF(VLOOKUP(A14,Dividende_je_Aktie!A$3:AM$103,7,FALSE)/VLOOKUP(A14,Ergebnis_je_Aktie_verwässert!A$3:AK$103,7,FALSE)&gt;=2,2,VLOOKUP(A14,Dividende_je_Aktie!A$3:AM$103,7,FALSE)/VLOOKUP(A14,Ergebnis_je_Aktie_verwässert!A$3:AK$103,7,FALSE))),""),"")</f>
        <v>0.50324675324675328</v>
      </c>
      <c r="H14" s="71">
        <f>IF(VLOOKUP(A14,Fiktive_Dividende!A$3:AM$103,14,FALSE)&lt;&gt;"",IF(VLOOKUP(A14,Ergebnis_je_Aktie_verwässert!A$3:AK$103,8,FALSE)&lt;&gt;"",IF(VLOOKUP(A14,Ergebnis_je_Aktie_verwässert!A$3:AK$103,8,FALSE)&lt;=0,2,IF(VLOOKUP(A14,Fiktive_Dividende!A$3:AM$103,14,FALSE)/VLOOKUP(A14,Ergebnis_je_Aktie_verwässert!A$3:AK$103,8,FALSE)&gt;=2,2,VLOOKUP(A14,Fiktive_Dividende!A$3:AM$103,14,FALSE)/VLOOKUP(A14,Ergebnis_je_Aktie_verwässert!A$3:AK$103,8,FALSE))),""),"")</f>
        <v>0.50872483221476505</v>
      </c>
      <c r="I14" s="71">
        <f>IF(VLOOKUP(A14,Fiktive_Dividende!A$3:AM$103,15,FALSE)&lt;&gt;"",IF(VLOOKUP(A14,Ergebnis_je_Aktie_verwässert!A$3:AK$103,9,FALSE)&lt;&gt;"",IF(VLOOKUP(A14,Ergebnis_je_Aktie_verwässert!A$3:AK$103,9,FALSE)&lt;=0,2,IF(VLOOKUP(A14,Fiktive_Dividende!A$3:AM$103,15,FALSE)/VLOOKUP(A14,Ergebnis_je_Aktie_verwässert!A$3:AK$103,9,FALSE)&gt;=2,2,VLOOKUP(A14,Fiktive_Dividende!A$3:AM$103,15,FALSE)/VLOOKUP(A14,Ergebnis_je_Aktie_verwässert!A$3:AK$103,9,FALSE))),""),"")</f>
        <v>0.50171821305841924</v>
      </c>
      <c r="J14" s="71">
        <f>IF(VLOOKUP(A14,Fiktive_Dividende!A$3:AM$103,16,FALSE)&lt;&gt;"",IF(VLOOKUP(A14,Ergebnis_je_Aktie_verwässert!A$3:AK$103,10,FALSE)&lt;&gt;"",IF(VLOOKUP(A14,Ergebnis_je_Aktie_verwässert!A$3:AK$103,10,FALSE)&lt;=0,2,IF(VLOOKUP(A14,Fiktive_Dividende!A$3:AM$103,16,FALSE)/VLOOKUP(A14,Ergebnis_je_Aktie_verwässert!A$3:AK$103,10,FALSE)&gt;=2,2,VLOOKUP(A14,Fiktive_Dividende!A$3:AM$103,16,FALSE)/VLOOKUP(A14,Ergebnis_je_Aktie_verwässert!A$3:AK$103,10,FALSE))),""),"")</f>
        <v>0.50219941348973607</v>
      </c>
      <c r="K14" s="71">
        <f>IF(VLOOKUP(A14,Fiktive_Dividende!A$3:AM$103,17,FALSE)&lt;&gt;"",IF(VLOOKUP(A14,Ergebnis_je_Aktie_verwässert!A$3:AK$103,11,FALSE)&lt;&gt;"",IF(VLOOKUP(A14,Ergebnis_je_Aktie_verwässert!A$3:AK$103,11,FALSE)&lt;=0,2,IF(VLOOKUP(A14,Fiktive_Dividende!A$3:AM$103,17,FALSE)/VLOOKUP(A14,Ergebnis_je_Aktie_verwässert!A$3:AK$103,11,FALSE)&gt;=2,2,VLOOKUP(A14,Fiktive_Dividende!A$3:AM$103,17,FALSE)/VLOOKUP(A14,Ergebnis_je_Aktie_verwässert!A$3:AK$103,11,FALSE))),""),"")</f>
        <v>0.4061302681992337</v>
      </c>
      <c r="L14" s="71">
        <f>IF(VLOOKUP(A14,Fiktive_Dividende!A$3:AM$103,18,FALSE)&lt;&gt;"",IF(VLOOKUP(A14,Ergebnis_je_Aktie_verwässert!A$3:AK$103,12,FALSE)&lt;&gt;"",IF(VLOOKUP(A14,Ergebnis_je_Aktie_verwässert!A$3:AK$103,12,FALSE)&lt;=0,2,IF(VLOOKUP(A14,Fiktive_Dividende!A$3:AM$103,18,FALSE)/VLOOKUP(A14,Ergebnis_je_Aktie_verwässert!A$3:AK$103,12,FALSE)&gt;=2,2,VLOOKUP(A14,Fiktive_Dividende!A$3:AM$103,18,FALSE)/VLOOKUP(A14,Ergebnis_je_Aktie_verwässert!A$3:AK$103,12,FALSE))),""),"")</f>
        <v>0.3968253968253968</v>
      </c>
      <c r="M14" s="71">
        <f>IF(VLOOKUP(A14,Fiktive_Dividende!A$3:AM$103,19,FALSE)&lt;&gt;"",IF(VLOOKUP(A14,Ergebnis_je_Aktie_verwässert!A$3:AK$103,13,FALSE)&lt;&gt;"",IF(VLOOKUP(A14,Ergebnis_je_Aktie_verwässert!A$3:AK$103,13,FALSE)&lt;=0,2,IF(VLOOKUP(A14,Fiktive_Dividende!A$3:AM$103,19,FALSE)/VLOOKUP(A14,Ergebnis_je_Aktie_verwässert!A$3:AK$103,13,FALSE)&gt;=2,2,VLOOKUP(A14,Fiktive_Dividende!A$3:AM$103,19,FALSE)/VLOOKUP(A14,Ergebnis_je_Aktie_verwässert!A$3:AK$103,13,FALSE))),""),"")</f>
        <v>0.82116788321167877</v>
      </c>
      <c r="N14" s="71">
        <f>IF(VLOOKUP(A14,Fiktive_Dividende!A$3:AM$103,20,FALSE)&lt;&gt;"",IF(VLOOKUP(A14,Ergebnis_je_Aktie_verwässert!A$3:AK$103,14,FALSE)&lt;&gt;"",IF(VLOOKUP(A14,Ergebnis_je_Aktie_verwässert!A$3:AK$103,14,FALSE)&lt;=0,2,IF(VLOOKUP(A14,Fiktive_Dividende!A$3:AM$103,20,FALSE)/VLOOKUP(A14,Ergebnis_je_Aktie_verwässert!A$3:AK$103,14,FALSE)&gt;=2,2,VLOOKUP(A14,Fiktive_Dividende!A$3:AM$103,20,FALSE)/VLOOKUP(A14,Ergebnis_je_Aktie_verwässert!A$3:AK$103,14,FALSE))),""),"")</f>
        <v>0.40467625899280579</v>
      </c>
      <c r="O14" s="71">
        <f>IF(VLOOKUP(A14,Fiktive_Dividende!A$3:AM$103,21,FALSE)&lt;&gt;"",IF(VLOOKUP(A14,Ergebnis_je_Aktie_verwässert!A$3:AK$103,15,FALSE)&lt;&gt;"",IF(VLOOKUP(A14,Ergebnis_je_Aktie_verwässert!A$3:AK$103,15,FALSE)&lt;=0,2,IF(VLOOKUP(A14,Fiktive_Dividende!A$3:AM$103,21,FALSE)/VLOOKUP(A14,Ergebnis_je_Aktie_verwässert!A$3:AK$103,15,FALSE)&gt;=2,2,VLOOKUP(A14,Fiktive_Dividende!A$3:AM$103,21,FALSE)/VLOOKUP(A14,Ergebnis_je_Aktie_verwässert!A$3:AK$103,15,FALSE))),""),"")</f>
        <v>0.43157894736842101</v>
      </c>
      <c r="P14" s="71">
        <f>IF(VLOOKUP(A14,Fiktive_Dividende!A$3:AM$103,22,FALSE)&lt;&gt;"",IF(VLOOKUP(A14,Ergebnis_je_Aktie_verwässert!A$3:AK$103,16,FALSE)&lt;&gt;"",IF(VLOOKUP(A14,Ergebnis_je_Aktie_verwässert!A$3:AK$103,16,FALSE)&lt;=0,2,IF(VLOOKUP(A14,Fiktive_Dividende!A$3:AM$103,22,FALSE)/VLOOKUP(A14,Ergebnis_je_Aktie_verwässert!A$3:AK$103,16,FALSE)&gt;=2,2,VLOOKUP(A14,Fiktive_Dividende!A$3:AM$103,22,FALSE)/VLOOKUP(A14,Ergebnis_je_Aktie_verwässert!A$3:AK$103,16,FALSE))),""),"")</f>
        <v>2</v>
      </c>
      <c r="Q14" s="71">
        <f>IF(VLOOKUP(A14,Fiktive_Dividende!A$3:AM$103,23,FALSE)&lt;&gt;"",IF(VLOOKUP(A14,Ergebnis_je_Aktie_verwässert!A$3:AK$103,17,FALSE)&lt;&gt;"",IF(VLOOKUP(A14,Ergebnis_je_Aktie_verwässert!A$3:AK$103,17,FALSE)&lt;=0,2,IF(VLOOKUP(A14,Fiktive_Dividende!A$3:AM$103,23,FALSE)/VLOOKUP(A14,Ergebnis_je_Aktie_verwässert!A$3:AK$103,17,FALSE)&gt;=2,2,VLOOKUP(A14,Fiktive_Dividende!A$3:AM$103,23,FALSE)/VLOOKUP(A14,Ergebnis_je_Aktie_verwässert!A$3:AK$103,17,FALSE))),""),"")</f>
        <v>0.3105590062111801</v>
      </c>
      <c r="R14" s="71">
        <f>IF(VLOOKUP(A14,Fiktive_Dividende!A$3:AM$103,24,FALSE)&lt;&gt;"",IF(VLOOKUP(A14,Ergebnis_je_Aktie_verwässert!A$3:AK$103,18,FALSE)&lt;&gt;"",IF(VLOOKUP(A14,Ergebnis_je_Aktie_verwässert!A$3:AK$103,18,FALSE)&lt;=0,2,IF(VLOOKUP(A14,Fiktive_Dividende!A$3:AM$103,24,FALSE)/VLOOKUP(A14,Ergebnis_je_Aktie_verwässert!A$3:AK$103,18,FALSE)&gt;=2,2,VLOOKUP(A14,Fiktive_Dividende!A$3:AM$103,24,FALSE)/VLOOKUP(A14,Ergebnis_je_Aktie_verwässert!A$3:AK$103,18,FALSE))),""),"")</f>
        <v>0.22646007151370676</v>
      </c>
      <c r="S14" s="105">
        <f t="shared" si="0"/>
        <v>0.57794515725631512</v>
      </c>
      <c r="T14" s="71">
        <f>IF(VLOOKUP(A14,Dividende_je_Aktie!A$3:AM$103,6,FALSE)&lt;&gt;"",IF(VLOOKUP(A14,Ergebnis_je_Aktie_verwässert!A$3:AK$103,6,FALSE)&lt;&gt;"",IF(VLOOKUP(A14,Ergebnis_je_Aktie_verwässert!A$3:AK$103,6,FALSE)&lt;=0,2,IF(VLOOKUP(A14,Dividende_je_Aktie!A$3:AM$103,6,FALSE)/VLOOKUP(A14,Ergebnis_je_Aktie_verwässert!A$3:AK$103,6,FALSE)&gt;=2,2,VLOOKUP(A14,Dividende_je_Aktie!A$3:AM$103,6,FALSE)/VLOOKUP(A14,Ergebnis_je_Aktie_verwässert!A$3:AK$103,6,FALSE))),""),"")</f>
        <v>0.5</v>
      </c>
      <c r="U14" s="71">
        <f>IF(VLOOKUP(A14,Dividende_je_Aktie!A$3:AM$103,7,FALSE)&lt;&gt;"",IF(VLOOKUP(A14,Ergebnis_je_Aktie_verwässert!A$3:AK$103,7,FALSE)&lt;&gt;"",IF(VLOOKUP(A14,Ergebnis_je_Aktie_verwässert!A$3:AK$103,7,FALSE)&lt;=0,2,IF(VLOOKUP(A14,Dividende_je_Aktie!A$3:AM$103,7,FALSE)/VLOOKUP(A14,Ergebnis_je_Aktie_verwässert!A$3:AK$103,7,FALSE)&gt;=2,2,VLOOKUP(A14,Dividende_je_Aktie!A$3:AM$103,7,FALSE)/VLOOKUP(A14,Ergebnis_je_Aktie_verwässert!A$3:AK$103,7,FALSE))),""),"")</f>
        <v>0.50324675324675328</v>
      </c>
      <c r="V14" s="71">
        <f>IF(VLOOKUP(A14,Dividende_je_Aktie!A$3:AM$103,8,FALSE)&lt;&gt;"",IF(VLOOKUP(A14,Ergebnis_je_Aktie_verwässert!A$3:AK$103,8,FALSE)&lt;&gt;"",IF(VLOOKUP(A14,Ergebnis_je_Aktie_verwässert!A$3:AK$103,8,FALSE)&lt;=0,2,IF(VLOOKUP(A14,Dividende_je_Aktie!A$3:AM$103,8,FALSE)/VLOOKUP(A14,Ergebnis_je_Aktie_verwässert!A$3:AK$103,8,FALSE)&gt;=2,2,VLOOKUP(A14,Dividende_je_Aktie!A$3:AM$103,8,FALSE)/VLOOKUP(A14,Ergebnis_je_Aktie_verwässert!A$3:AK$103,8,FALSE))),""),"")</f>
        <v>0.50872483221476505</v>
      </c>
      <c r="W14" s="71">
        <f>IF(VLOOKUP(A14,Dividende_je_Aktie!A$3:AM$103,9,FALSE)&lt;&gt;"",IF(VLOOKUP(A14,Ergebnis_je_Aktie_verwässert!A$3:AK$103,9,FALSE)&lt;&gt;"",IF(VLOOKUP(A14,Ergebnis_je_Aktie_verwässert!A$3:AK$103,9,FALSE)&lt;=0,2,IF(VLOOKUP(A14,Dividende_je_Aktie!A$3:AM$103,9,FALSE)/VLOOKUP(A14,Ergebnis_je_Aktie_verwässert!A$3:AK$103,9,FALSE)&gt;=2,2,VLOOKUP(A14,Dividende_je_Aktie!A$3:AM$103,9,FALSE)/VLOOKUP(A14,Ergebnis_je_Aktie_verwässert!A$3:AK$103,9,FALSE))),""),"")</f>
        <v>0.50171821305841924</v>
      </c>
      <c r="X14" s="71">
        <f>IF(VLOOKUP(A14,Dividende_je_Aktie!A$3:AM$103,10,FALSE)&lt;&gt;"",IF(VLOOKUP(A14,Ergebnis_je_Aktie_verwässert!A$3:AK$103,10,FALSE)&lt;&gt;"",IF(VLOOKUP(A14,Ergebnis_je_Aktie_verwässert!A$3:AK$103,10,FALSE)&lt;=0,2,IF(VLOOKUP(A14,Dividende_je_Aktie!A$3:AM$103,10,FALSE)/VLOOKUP(A14,Ergebnis_je_Aktie_verwässert!A$3:AK$103,10,FALSE)&gt;=2,2,VLOOKUP(A14,Dividende_je_Aktie!A$3:AM$103,10,FALSE)/VLOOKUP(A14,Ergebnis_je_Aktie_verwässert!A$3:AK$103,10,FALSE))),""),"")</f>
        <v>0.50219941348973607</v>
      </c>
      <c r="Y14" s="71">
        <f>IF(VLOOKUP(A14,Dividende_je_Aktie!A$3:AM$103,11,FALSE)&lt;&gt;"",IF(VLOOKUP(A14,Ergebnis_je_Aktie_verwässert!A$3:AK$103,11,FALSE)&lt;&gt;"",IF(VLOOKUP(A14,Ergebnis_je_Aktie_verwässert!A$3:AK$103,11,FALSE)&lt;=0,2,IF(VLOOKUP(A14,Dividende_je_Aktie!A$3:AM$103,11,FALSE)/VLOOKUP(A14,Ergebnis_je_Aktie_verwässert!A$3:AK$103,11,FALSE)&gt;=2,2,VLOOKUP(A14,Dividende_je_Aktie!A$3:AM$103,11,FALSE)/VLOOKUP(A14,Ergebnis_je_Aktie_verwässert!A$3:AK$103,11,FALSE))),""),"")</f>
        <v>0.4061302681992337</v>
      </c>
      <c r="Z14" s="71">
        <f>IF(VLOOKUP(A14,Dividende_je_Aktie!A$3:AM$103,12,FALSE)&lt;&gt;"",IF(VLOOKUP(A14,Ergebnis_je_Aktie_verwässert!A$3:AK$103,12,FALSE)&lt;&gt;"",IF(VLOOKUP(A14,Ergebnis_je_Aktie_verwässert!A$3:AK$103,12,FALSE)&lt;=0,2,IF(VLOOKUP(A14,Dividende_je_Aktie!A$3:AM$103,12,FALSE)/VLOOKUP(A14,Ergebnis_je_Aktie_verwässert!A$3:AK$103,12,FALSE)&gt;=2,2,VLOOKUP(A14,Dividende_je_Aktie!A$3:AM$103,12,FALSE)/VLOOKUP(A14,Ergebnis_je_Aktie_verwässert!A$3:AK$103,12,FALSE))),""),"")</f>
        <v>0.3968253968253968</v>
      </c>
      <c r="AA14" s="71">
        <f>IF(VLOOKUP(A14,Dividende_je_Aktie!A$3:AM$103,13,FALSE)&lt;&gt;"",IF(VLOOKUP(A14,Ergebnis_je_Aktie_verwässert!A$3:AK$103,13,FALSE)&lt;&gt;"",IF(VLOOKUP(A14,Ergebnis_je_Aktie_verwässert!A$3:AK$103,13,FALSE)&lt;=0,2,IF(VLOOKUP(A14,Dividende_je_Aktie!A$3:AM$103,13,FALSE)/VLOOKUP(A14,Ergebnis_je_Aktie_verwässert!A$3:AK$103,13,FALSE)&gt;=2,2,VLOOKUP(A14,Dividende_je_Aktie!A$3:AM$103,13,FALSE)/VLOOKUP(A14,Ergebnis_je_Aktie_verwässert!A$3:AK$103,13,FALSE))),""),"")</f>
        <v>0.82116788321167877</v>
      </c>
      <c r="AB14" s="71">
        <f>IF(VLOOKUP(A14,Dividende_je_Aktie!A$3:AM$103,14,FALSE)&lt;&gt;"",IF(VLOOKUP(A14,Ergebnis_je_Aktie_verwässert!A$3:AK$103,14,FALSE)&lt;&gt;"",IF(VLOOKUP(A14,Ergebnis_je_Aktie_verwässert!A$3:AK$103,14,FALSE)&lt;=0,2,IF(VLOOKUP(A14,Dividende_je_Aktie!A$3:AM$103,14,FALSE)/VLOOKUP(A14,Ergebnis_je_Aktie_verwässert!A$3:AK$103,14,FALSE)&gt;=2,2,VLOOKUP(A14,Dividende_je_Aktie!A$3:AM$103,14,FALSE)/VLOOKUP(A14,Ergebnis_je_Aktie_verwässert!A$3:AK$103,14,FALSE))),""),"")</f>
        <v>0.40467625899280579</v>
      </c>
      <c r="AC14" s="71">
        <f>IF(VLOOKUP(A14,Dividende_je_Aktie!A$3:AM$103,15,FALSE)&lt;&gt;"",IF(VLOOKUP(A14,Ergebnis_je_Aktie_verwässert!A$3:AK$103,15,FALSE)&lt;&gt;"",IF(VLOOKUP(A14,Ergebnis_je_Aktie_verwässert!A$3:AK$103,15,FALSE)&lt;=0,2,IF(VLOOKUP(A14,Dividende_je_Aktie!A$3:AM$103,15,FALSE)/VLOOKUP(A14,Ergebnis_je_Aktie_verwässert!A$3:AK$103,15,FALSE)&gt;=2,2,VLOOKUP(A14,Dividende_je_Aktie!A$3:AM$103,15,FALSE)/VLOOKUP(A14,Ergebnis_je_Aktie_verwässert!A$3:AK$103,15,FALSE))),""),"")</f>
        <v>0.43157894736842101</v>
      </c>
      <c r="AD14" s="71">
        <f>IF(VLOOKUP(A14,Dividende_je_Aktie!A$3:AM$103,16,FALSE)&lt;&gt;"",IF(VLOOKUP(A14,Ergebnis_je_Aktie_verwässert!A$3:AK$103,16,FALSE)&lt;&gt;"",IF(VLOOKUP(A14,Ergebnis_je_Aktie_verwässert!A$3:AK$103,16,FALSE)&lt;=0,2,IF(VLOOKUP(A14,Dividende_je_Aktie!A$3:AM$103,16,FALSE)/VLOOKUP(A14,Ergebnis_je_Aktie_verwässert!A$3:AK$103,16,FALSE)&gt;=2,2,VLOOKUP(A14,Dividende_je_Aktie!A$3:AM$103,16,FALSE)/VLOOKUP(A14,Ergebnis_je_Aktie_verwässert!A$3:AK$103,16,FALSE))),""),"")</f>
        <v>2</v>
      </c>
      <c r="AE14" s="71">
        <f>IF(VLOOKUP(A14,Dividende_je_Aktie!A$3:AM$103,17,FALSE)&lt;&gt;"",IF(VLOOKUP(A14,Ergebnis_je_Aktie_verwässert!A$3:AK$103,17,FALSE)&lt;&gt;"",IF(VLOOKUP(A14,Ergebnis_je_Aktie_verwässert!A$3:AK$103,17,FALSE)&lt;=0,2,IF(VLOOKUP(A14,Dividende_je_Aktie!A$3:AM$103,17,FALSE)/VLOOKUP(A14,Ergebnis_je_Aktie_verwässert!A$3:AK$103,17,FALSE)&gt;=2,2,VLOOKUP(A14,Dividende_je_Aktie!A$3:AM$103,17,FALSE)/VLOOKUP(A14,Ergebnis_je_Aktie_verwässert!A$3:AK$103,17,FALSE))),""),"")</f>
        <v>0.3105590062111801</v>
      </c>
      <c r="AF14" s="71">
        <f>IF(VLOOKUP(A14,Dividende_je_Aktie!A$3:AM$103,18,FALSE)&lt;&gt;"",IF(VLOOKUP(A14,Ergebnis_je_Aktie_verwässert!A$3:AK$103,18,FALSE)&lt;&gt;"",IF(VLOOKUP(A14,Ergebnis_je_Aktie_verwässert!A$3:AK$103,18,FALSE)&lt;=0,2,IF(VLOOKUP(A14,Dividende_je_Aktie!A$3:AM$103,18,FALSE)/VLOOKUP(A14,Ergebnis_je_Aktie_verwässert!A$3:AK$103,18,FALSE)&gt;=2,2,VLOOKUP(A14,Dividende_je_Aktie!A$3:AM$103,18,FALSE)/VLOOKUP(A14,Ergebnis_je_Aktie_verwässert!A$3:AK$103,18,FALSE))),""),"")</f>
        <v>0.22646007151370676</v>
      </c>
      <c r="AG14" s="105">
        <f t="shared" si="1"/>
        <v>0.57794515725631512</v>
      </c>
      <c r="AH14" s="4">
        <f t="shared" ca="1" si="2"/>
        <v>0</v>
      </c>
      <c r="AI14" s="4">
        <f t="shared" ca="1" si="3"/>
        <v>108</v>
      </c>
      <c r="AJ14" s="4">
        <f t="shared" ca="1" si="4"/>
        <v>252</v>
      </c>
      <c r="AK14" s="10">
        <f t="shared" ca="1" si="5"/>
        <v>0.50708140852436157</v>
      </c>
      <c r="AL14" s="5">
        <f t="shared" ca="1" si="6"/>
        <v>-0.12261327539859623</v>
      </c>
    </row>
    <row r="15" spans="1:38">
      <c r="A15" t="s">
        <v>20</v>
      </c>
      <c r="B15" t="s">
        <v>21</v>
      </c>
      <c r="C15" s="60">
        <v>31</v>
      </c>
      <c r="D15" s="60">
        <v>12</v>
      </c>
      <c r="E15" s="60">
        <v>2016</v>
      </c>
      <c r="F15" s="71">
        <f>IF(VLOOKUP(A15,Dividende_je_Aktie!A$3:AM$103,6,FALSE)&lt;&gt;"",IF(VLOOKUP(A15,Ergebnis_je_Aktie_verwässert!A$3:AK$103,6,FALSE)&lt;&gt;"",IF(VLOOKUP(A15,Ergebnis_je_Aktie_verwässert!A$3:AK$103,6,FALSE)&lt;=0,2,IF(VLOOKUP(A15,Dividende_je_Aktie!A$3:AM$103,6,FALSE)/VLOOKUP(A15,Ergebnis_je_Aktie_verwässert!A$3:AK$103,6,FALSE)&gt;=2,2,VLOOKUP(A15,Dividende_je_Aktie!A$3:AM$103,6,FALSE)/VLOOKUP(A15,Ergebnis_je_Aktie_verwässert!A$3:AK$103,6,FALSE))),""),"")</f>
        <v>0.52023121387283233</v>
      </c>
      <c r="G15" s="71">
        <f>IF(VLOOKUP(A15,Dividende_je_Aktie!A$3:AM$103,7,FALSE)&lt;&gt;"",IF(VLOOKUP(A15,Ergebnis_je_Aktie_verwässert!A$3:AK$103,7,FALSE)&lt;&gt;"",IF(VLOOKUP(A15,Ergebnis_je_Aktie_verwässert!A$3:AK$103,7,FALSE)&lt;=0,2,IF(VLOOKUP(A15,Dividende_je_Aktie!A$3:AM$103,7,FALSE)/VLOOKUP(A15,Ergebnis_je_Aktie_verwässert!A$3:AK$103,7,FALSE)&gt;=2,2,VLOOKUP(A15,Dividende_je_Aktie!A$3:AM$103,7,FALSE)/VLOOKUP(A15,Ergebnis_je_Aktie_verwässert!A$3:AK$103,7,FALSE))),""),"")</f>
        <v>0.50994152046783625</v>
      </c>
      <c r="H15" s="71">
        <f>IF(VLOOKUP(A15,Fiktive_Dividende!A$3:AM$103,14,FALSE)&lt;&gt;"",IF(VLOOKUP(A15,Ergebnis_je_Aktie_verwässert!A$3:AK$103,8,FALSE)&lt;&gt;"",IF(VLOOKUP(A15,Ergebnis_je_Aktie_verwässert!A$3:AK$103,8,FALSE)&lt;=0,2,IF(VLOOKUP(A15,Fiktive_Dividende!A$3:AM$103,14,FALSE)/VLOOKUP(A15,Ergebnis_je_Aktie_verwässert!A$3:AK$103,8,FALSE)&gt;=2,2,VLOOKUP(A15,Fiktive_Dividende!A$3:AM$103,14,FALSE)/VLOOKUP(A15,Ergebnis_je_Aktie_verwässert!A$3:AK$103,8,FALSE))),""),"")</f>
        <v>0.50357142857142856</v>
      </c>
      <c r="I15" s="71">
        <f>IF(VLOOKUP(A15,Fiktive_Dividende!A$3:AM$103,15,FALSE)&lt;&gt;"",IF(VLOOKUP(A15,Ergebnis_je_Aktie_verwässert!A$3:AK$103,9,FALSE)&lt;&gt;"",IF(VLOOKUP(A15,Ergebnis_je_Aktie_verwässert!A$3:AK$103,9,FALSE)&lt;=0,2,IF(VLOOKUP(A15,Fiktive_Dividende!A$3:AM$103,15,FALSE)/VLOOKUP(A15,Ergebnis_je_Aktie_verwässert!A$3:AK$103,9,FALSE)&gt;=2,2,VLOOKUP(A15,Fiktive_Dividende!A$3:AM$103,15,FALSE)/VLOOKUP(A15,Ergebnis_je_Aktie_verwässert!A$3:AK$103,9,FALSE))),""),"")</f>
        <v>0.80072144083874042</v>
      </c>
      <c r="J15" s="71">
        <f>IF(VLOOKUP(A15,Fiktive_Dividende!A$3:AM$103,16,FALSE)&lt;&gt;"",IF(VLOOKUP(A15,Ergebnis_je_Aktie_verwässert!A$3:AK$103,10,FALSE)&lt;&gt;"",IF(VLOOKUP(A15,Ergebnis_je_Aktie_verwässert!A$3:AK$103,10,FALSE)&lt;=0,2,IF(VLOOKUP(A15,Fiktive_Dividende!A$3:AM$103,16,FALSE)/VLOOKUP(A15,Ergebnis_je_Aktie_verwässert!A$3:AK$103,10,FALSE)&gt;=2,2,VLOOKUP(A15,Fiktive_Dividende!A$3:AM$103,16,FALSE)/VLOOKUP(A15,Ergebnis_je_Aktie_verwässert!A$3:AK$103,10,FALSE))),""),"")</f>
        <v>0.75826975851242184</v>
      </c>
      <c r="K15" s="71">
        <f>IF(VLOOKUP(A15,Fiktive_Dividende!A$3:AM$103,17,FALSE)&lt;&gt;"",IF(VLOOKUP(A15,Ergebnis_je_Aktie_verwässert!A$3:AK$103,11,FALSE)&lt;&gt;"",IF(VLOOKUP(A15,Ergebnis_je_Aktie_verwässert!A$3:AK$103,11,FALSE)&lt;=0,2,IF(VLOOKUP(A15,Fiktive_Dividende!A$3:AM$103,17,FALSE)/VLOOKUP(A15,Ergebnis_je_Aktie_verwässert!A$3:AK$103,11,FALSE)&gt;=2,2,VLOOKUP(A15,Fiktive_Dividende!A$3:AM$103,17,FALSE)/VLOOKUP(A15,Ergebnis_je_Aktie_verwässert!A$3:AK$103,11,FALSE))),""),"")</f>
        <v>0.39189189189189189</v>
      </c>
      <c r="L15" s="71">
        <f>IF(VLOOKUP(A15,Fiktive_Dividende!A$3:AM$103,18,FALSE)&lt;&gt;"",IF(VLOOKUP(A15,Ergebnis_je_Aktie_verwässert!A$3:AK$103,12,FALSE)&lt;&gt;"",IF(VLOOKUP(A15,Ergebnis_je_Aktie_verwässert!A$3:AK$103,12,FALSE)&lt;=0,2,IF(VLOOKUP(A15,Fiktive_Dividende!A$3:AM$103,18,FALSE)/VLOOKUP(A15,Ergebnis_je_Aktie_verwässert!A$3:AK$103,12,FALSE)&gt;=2,2,VLOOKUP(A15,Fiktive_Dividende!A$3:AM$103,18,FALSE)/VLOOKUP(A15,Ergebnis_je_Aktie_verwässert!A$3:AK$103,12,FALSE))),""),"")</f>
        <v>0.38932146829810899</v>
      </c>
      <c r="M15" s="71">
        <f>IF(VLOOKUP(A15,Fiktive_Dividende!A$3:AM$103,19,FALSE)&lt;&gt;"",IF(VLOOKUP(A15,Ergebnis_je_Aktie_verwässert!A$3:AK$103,13,FALSE)&lt;&gt;"",IF(VLOOKUP(A15,Ergebnis_je_Aktie_verwässert!A$3:AK$103,13,FALSE)&lt;=0,2,IF(VLOOKUP(A15,Fiktive_Dividende!A$3:AM$103,19,FALSE)/VLOOKUP(A15,Ergebnis_je_Aktie_verwässert!A$3:AK$103,13,FALSE)&gt;=2,2,VLOOKUP(A15,Fiktive_Dividende!A$3:AM$103,19,FALSE)/VLOOKUP(A15,Ergebnis_je_Aktie_verwässert!A$3:AK$103,13,FALSE))),""),"")</f>
        <v>1.2266251266576289</v>
      </c>
      <c r="N15" s="71">
        <f>IF(VLOOKUP(A15,Fiktive_Dividende!A$3:AM$103,20,FALSE)&lt;&gt;"",IF(VLOOKUP(A15,Ergebnis_je_Aktie_verwässert!A$3:AK$103,14,FALSE)&lt;&gt;"",IF(VLOOKUP(A15,Ergebnis_je_Aktie_verwässert!A$3:AK$103,14,FALSE)&lt;=0,2,IF(VLOOKUP(A15,Fiktive_Dividende!A$3:AM$103,20,FALSE)/VLOOKUP(A15,Ergebnis_je_Aktie_verwässert!A$3:AK$103,14,FALSE)&gt;=2,2,VLOOKUP(A15,Fiktive_Dividende!A$3:AM$103,20,FALSE)/VLOOKUP(A15,Ergebnis_je_Aktie_verwässert!A$3:AK$103,14,FALSE))),""),"")</f>
        <v>0.88870790190957094</v>
      </c>
      <c r="O15" s="71">
        <f>IF(VLOOKUP(A15,Fiktive_Dividende!A$3:AM$103,21,FALSE)&lt;&gt;"",IF(VLOOKUP(A15,Ergebnis_je_Aktie_verwässert!A$3:AK$103,15,FALSE)&lt;&gt;"",IF(VLOOKUP(A15,Ergebnis_je_Aktie_verwässert!A$3:AK$103,15,FALSE)&lt;=0,2,IF(VLOOKUP(A15,Fiktive_Dividende!A$3:AM$103,21,FALSE)/VLOOKUP(A15,Ergebnis_je_Aktie_verwässert!A$3:AK$103,15,FALSE)&gt;=2,2,VLOOKUP(A15,Fiktive_Dividende!A$3:AM$103,21,FALSE)/VLOOKUP(A15,Ergebnis_je_Aktie_verwässert!A$3:AK$103,15,FALSE))),""),"")</f>
        <v>0.82660689347619454</v>
      </c>
      <c r="P15" s="71">
        <f>IF(VLOOKUP(A15,Fiktive_Dividende!A$3:AM$103,22,FALSE)&lt;&gt;"",IF(VLOOKUP(A15,Ergebnis_je_Aktie_verwässert!A$3:AK$103,16,FALSE)&lt;&gt;"",IF(VLOOKUP(A15,Ergebnis_je_Aktie_verwässert!A$3:AK$103,16,FALSE)&lt;=0,2,IF(VLOOKUP(A15,Fiktive_Dividende!A$3:AM$103,22,FALSE)/VLOOKUP(A15,Ergebnis_je_Aktie_verwässert!A$3:AK$103,16,FALSE)&gt;=2,2,VLOOKUP(A15,Fiktive_Dividende!A$3:AM$103,22,FALSE)/VLOOKUP(A15,Ergebnis_je_Aktie_verwässert!A$3:AK$103,16,FALSE))),""),"")</f>
        <v>1.5621113667454296</v>
      </c>
      <c r="Q15" s="71">
        <f>IF(VLOOKUP(A15,Fiktive_Dividende!A$3:AM$103,23,FALSE)&lt;&gt;"",IF(VLOOKUP(A15,Ergebnis_je_Aktie_verwässert!A$3:AK$103,17,FALSE)&lt;&gt;"",IF(VLOOKUP(A15,Ergebnis_je_Aktie_verwässert!A$3:AK$103,17,FALSE)&lt;=0,2,IF(VLOOKUP(A15,Fiktive_Dividende!A$3:AM$103,23,FALSE)/VLOOKUP(A15,Ergebnis_je_Aktie_verwässert!A$3:AK$103,17,FALSE)&gt;=2,2,VLOOKUP(A15,Fiktive_Dividende!A$3:AM$103,23,FALSE)/VLOOKUP(A15,Ergebnis_je_Aktie_verwässert!A$3:AK$103,17,FALSE))),""),"")</f>
        <v>0.7060406470089039</v>
      </c>
      <c r="R15" s="71">
        <f>IF(VLOOKUP(A15,Fiktive_Dividende!A$3:AM$103,24,FALSE)&lt;&gt;"",IF(VLOOKUP(A15,Ergebnis_je_Aktie_verwässert!A$3:AK$103,18,FALSE)&lt;&gt;"",IF(VLOOKUP(A15,Ergebnis_je_Aktie_verwässert!A$3:AK$103,18,FALSE)&lt;=0,2,IF(VLOOKUP(A15,Fiktive_Dividende!A$3:AM$103,24,FALSE)/VLOOKUP(A15,Ergebnis_je_Aktie_verwässert!A$3:AK$103,18,FALSE)&gt;=2,2,VLOOKUP(A15,Fiktive_Dividende!A$3:AM$103,24,FALSE)/VLOOKUP(A15,Ergebnis_je_Aktie_verwässert!A$3:AK$103,18,FALSE))),""),"")</f>
        <v>0.29761904761904762</v>
      </c>
      <c r="S15" s="105">
        <f t="shared" si="0"/>
        <v>0.72166613122077194</v>
      </c>
      <c r="T15" s="71">
        <f>IF(VLOOKUP(A15,Dividende_je_Aktie!A$3:AM$103,6,FALSE)&lt;&gt;"",IF(VLOOKUP(A15,Ergebnis_je_Aktie_verwässert!A$3:AK$103,6,FALSE)&lt;&gt;"",IF(VLOOKUP(A15,Ergebnis_je_Aktie_verwässert!A$3:AK$103,6,FALSE)&lt;=0,2,IF(VLOOKUP(A15,Dividende_je_Aktie!A$3:AM$103,6,FALSE)/VLOOKUP(A15,Ergebnis_je_Aktie_verwässert!A$3:AK$103,6,FALSE)&gt;=2,2,VLOOKUP(A15,Dividende_je_Aktie!A$3:AM$103,6,FALSE)/VLOOKUP(A15,Ergebnis_je_Aktie_verwässert!A$3:AK$103,6,FALSE))),""),"")</f>
        <v>0.52023121387283233</v>
      </c>
      <c r="U15" s="71">
        <f>IF(VLOOKUP(A15,Dividende_je_Aktie!A$3:AM$103,7,FALSE)&lt;&gt;"",IF(VLOOKUP(A15,Ergebnis_je_Aktie_verwässert!A$3:AK$103,7,FALSE)&lt;&gt;"",IF(VLOOKUP(A15,Ergebnis_je_Aktie_verwässert!A$3:AK$103,7,FALSE)&lt;=0,2,IF(VLOOKUP(A15,Dividende_je_Aktie!A$3:AM$103,7,FALSE)/VLOOKUP(A15,Ergebnis_je_Aktie_verwässert!A$3:AK$103,7,FALSE)&gt;=2,2,VLOOKUP(A15,Dividende_je_Aktie!A$3:AM$103,7,FALSE)/VLOOKUP(A15,Ergebnis_je_Aktie_verwässert!A$3:AK$103,7,FALSE))),""),"")</f>
        <v>0.50994152046783625</v>
      </c>
      <c r="V15" s="71">
        <f>IF(VLOOKUP(A15,Dividende_je_Aktie!A$3:AM$103,8,FALSE)&lt;&gt;"",IF(VLOOKUP(A15,Ergebnis_je_Aktie_verwässert!A$3:AK$103,8,FALSE)&lt;&gt;"",IF(VLOOKUP(A15,Ergebnis_je_Aktie_verwässert!A$3:AK$103,8,FALSE)&lt;=0,2,IF(VLOOKUP(A15,Dividende_je_Aktie!A$3:AM$103,8,FALSE)/VLOOKUP(A15,Ergebnis_je_Aktie_verwässert!A$3:AK$103,8,FALSE)&gt;=2,2,VLOOKUP(A15,Dividende_je_Aktie!A$3:AM$103,8,FALSE)/VLOOKUP(A15,Ergebnis_je_Aktie_verwässert!A$3:AK$103,8,FALSE))),""),"")</f>
        <v>0.50357142857142856</v>
      </c>
      <c r="W15" s="71">
        <f>IF(VLOOKUP(A15,Dividende_je_Aktie!A$3:AM$103,9,FALSE)&lt;&gt;"",IF(VLOOKUP(A15,Ergebnis_je_Aktie_verwässert!A$3:AK$103,9,FALSE)&lt;&gt;"",IF(VLOOKUP(A15,Ergebnis_je_Aktie_verwässert!A$3:AK$103,9,FALSE)&lt;=0,2,IF(VLOOKUP(A15,Dividende_je_Aktie!A$3:AM$103,9,FALSE)/VLOOKUP(A15,Ergebnis_je_Aktie_verwässert!A$3:AK$103,9,FALSE)&gt;=2,2,VLOOKUP(A15,Dividende_je_Aktie!A$3:AM$103,9,FALSE)/VLOOKUP(A15,Ergebnis_je_Aktie_verwässert!A$3:AK$103,9,FALSE))),""),"")</f>
        <v>0.44046983449012278</v>
      </c>
      <c r="X15" s="71">
        <f>IF(VLOOKUP(A15,Dividende_je_Aktie!A$3:AM$103,10,FALSE)&lt;&gt;"",IF(VLOOKUP(A15,Ergebnis_je_Aktie_verwässert!A$3:AK$103,10,FALSE)&lt;&gt;"",IF(VLOOKUP(A15,Ergebnis_je_Aktie_verwässert!A$3:AK$103,10,FALSE)&lt;=0,2,IF(VLOOKUP(A15,Dividende_je_Aktie!A$3:AM$103,10,FALSE)/VLOOKUP(A15,Ergebnis_je_Aktie_verwässert!A$3:AK$103,10,FALSE)&gt;=2,2,VLOOKUP(A15,Dividende_je_Aktie!A$3:AM$103,10,FALSE)/VLOOKUP(A15,Ergebnis_je_Aktie_verwässert!A$3:AK$103,10,FALSE))),""),"")</f>
        <v>0.42326597487711637</v>
      </c>
      <c r="Y15" s="71">
        <f>IF(VLOOKUP(A15,Dividende_je_Aktie!A$3:AM$103,11,FALSE)&lt;&gt;"",IF(VLOOKUP(A15,Ergebnis_je_Aktie_verwässert!A$3:AK$103,11,FALSE)&lt;&gt;"",IF(VLOOKUP(A15,Ergebnis_je_Aktie_verwässert!A$3:AK$103,11,FALSE)&lt;=0,2,IF(VLOOKUP(A15,Dividende_je_Aktie!A$3:AM$103,11,FALSE)/VLOOKUP(A15,Ergebnis_je_Aktie_verwässert!A$3:AK$103,11,FALSE)&gt;=2,2,VLOOKUP(A15,Dividende_je_Aktie!A$3:AM$103,11,FALSE)/VLOOKUP(A15,Ergebnis_je_Aktie_verwässert!A$3:AK$103,11,FALSE))),""),"")</f>
        <v>0.39189189189189189</v>
      </c>
      <c r="Z15" s="71">
        <f>IF(VLOOKUP(A15,Dividende_je_Aktie!A$3:AM$103,12,FALSE)&lt;&gt;"",IF(VLOOKUP(A15,Ergebnis_je_Aktie_verwässert!A$3:AK$103,12,FALSE)&lt;&gt;"",IF(VLOOKUP(A15,Ergebnis_je_Aktie_verwässert!A$3:AK$103,12,FALSE)&lt;=0,2,IF(VLOOKUP(A15,Dividende_je_Aktie!A$3:AM$103,12,FALSE)/VLOOKUP(A15,Ergebnis_je_Aktie_verwässert!A$3:AK$103,12,FALSE)&gt;=2,2,VLOOKUP(A15,Dividende_je_Aktie!A$3:AM$103,12,FALSE)/VLOOKUP(A15,Ergebnis_je_Aktie_verwässert!A$3:AK$103,12,FALSE))),""),"")</f>
        <v>0.38932146829810899</v>
      </c>
      <c r="AA15" s="71">
        <f>IF(VLOOKUP(A15,Dividende_je_Aktie!A$3:AM$103,13,FALSE)&lt;&gt;"",IF(VLOOKUP(A15,Ergebnis_je_Aktie_verwässert!A$3:AK$103,13,FALSE)&lt;&gt;"",IF(VLOOKUP(A15,Ergebnis_je_Aktie_verwässert!A$3:AK$103,13,FALSE)&lt;=0,2,IF(VLOOKUP(A15,Dividende_je_Aktie!A$3:AM$103,13,FALSE)/VLOOKUP(A15,Ergebnis_je_Aktie_verwässert!A$3:AK$103,13,FALSE)&gt;=2,2,VLOOKUP(A15,Dividende_je_Aktie!A$3:AM$103,13,FALSE)/VLOOKUP(A15,Ergebnis_je_Aktie_verwässert!A$3:AK$103,13,FALSE))),""),"")</f>
        <v>0.6898454746136865</v>
      </c>
      <c r="AB15" s="71">
        <f>IF(VLOOKUP(A15,Dividende_je_Aktie!A$3:AM$103,14,FALSE)&lt;&gt;"",IF(VLOOKUP(A15,Ergebnis_je_Aktie_verwässert!A$3:AK$103,14,FALSE)&lt;&gt;"",IF(VLOOKUP(A15,Ergebnis_je_Aktie_verwässert!A$3:AK$103,14,FALSE)&lt;=0,2,IF(VLOOKUP(A15,Dividende_je_Aktie!A$3:AM$103,14,FALSE)/VLOOKUP(A15,Ergebnis_je_Aktie_verwässert!A$3:AK$103,14,FALSE)&gt;=2,2,VLOOKUP(A15,Dividende_je_Aktie!A$3:AM$103,14,FALSE)/VLOOKUP(A15,Ergebnis_je_Aktie_verwässert!A$3:AK$103,14,FALSE))),""),"")</f>
        <v>0.47856049004594181</v>
      </c>
      <c r="AC15" s="71">
        <f>IF(VLOOKUP(A15,Dividende_je_Aktie!A$3:AM$103,15,FALSE)&lt;&gt;"",IF(VLOOKUP(A15,Ergebnis_je_Aktie_verwässert!A$3:AK$103,15,FALSE)&lt;&gt;"",IF(VLOOKUP(A15,Ergebnis_je_Aktie_verwässert!A$3:AK$103,15,FALSE)&lt;=0,2,IF(VLOOKUP(A15,Dividende_je_Aktie!A$3:AM$103,15,FALSE)/VLOOKUP(A15,Ergebnis_je_Aktie_verwässert!A$3:AK$103,15,FALSE)&gt;=2,2,VLOOKUP(A15,Dividende_je_Aktie!A$3:AM$103,15,FALSE)/VLOOKUP(A15,Ergebnis_je_Aktie_verwässert!A$3:AK$103,15,FALSE))),""),"")</f>
        <v>0.44401544401544402</v>
      </c>
      <c r="AD15" s="71">
        <f>IF(VLOOKUP(A15,Dividende_je_Aktie!A$3:AM$103,16,FALSE)&lt;&gt;"",IF(VLOOKUP(A15,Ergebnis_je_Aktie_verwässert!A$3:AK$103,16,FALSE)&lt;&gt;"",IF(VLOOKUP(A15,Ergebnis_je_Aktie_verwässert!A$3:AK$103,16,FALSE)&lt;=0,2,IF(VLOOKUP(A15,Dividende_je_Aktie!A$3:AM$103,16,FALSE)/VLOOKUP(A15,Ergebnis_je_Aktie_verwässert!A$3:AK$103,16,FALSE)&gt;=2,2,VLOOKUP(A15,Dividende_je_Aktie!A$3:AM$103,16,FALSE)/VLOOKUP(A15,Ergebnis_je_Aktie_verwässert!A$3:AK$103,16,FALSE))),""),"")</f>
        <v>0.73529411764705876</v>
      </c>
      <c r="AE15" s="71">
        <f>IF(VLOOKUP(A15,Dividende_je_Aktie!A$3:AM$103,17,FALSE)&lt;&gt;"",IF(VLOOKUP(A15,Ergebnis_je_Aktie_verwässert!A$3:AK$103,17,FALSE)&lt;&gt;"",IF(VLOOKUP(A15,Ergebnis_je_Aktie_verwässert!A$3:AK$103,17,FALSE)&lt;=0,2,IF(VLOOKUP(A15,Dividende_je_Aktie!A$3:AM$103,17,FALSE)/VLOOKUP(A15,Ergebnis_je_Aktie_verwässert!A$3:AK$103,17,FALSE)&gt;=2,2,VLOOKUP(A15,Dividende_je_Aktie!A$3:AM$103,17,FALSE)/VLOOKUP(A15,Ergebnis_je_Aktie_verwässert!A$3:AK$103,17,FALSE))),""),"")</f>
        <v>0.30726256983240224</v>
      </c>
      <c r="AF15" s="71">
        <f>IF(VLOOKUP(A15,Dividende_je_Aktie!A$3:AM$103,18,FALSE)&lt;&gt;"",IF(VLOOKUP(A15,Ergebnis_je_Aktie_verwässert!A$3:AK$103,18,FALSE)&lt;&gt;"",IF(VLOOKUP(A15,Ergebnis_je_Aktie_verwässert!A$3:AK$103,18,FALSE)&lt;=0,2,IF(VLOOKUP(A15,Dividende_je_Aktie!A$3:AM$103,18,FALSE)/VLOOKUP(A15,Ergebnis_je_Aktie_verwässert!A$3:AK$103,18,FALSE)&gt;=2,2,VLOOKUP(A15,Dividende_je_Aktie!A$3:AM$103,18,FALSE)/VLOOKUP(A15,Ergebnis_je_Aktie_verwässert!A$3:AK$103,18,FALSE))),""),"")</f>
        <v>0.29761904761904762</v>
      </c>
      <c r="AG15" s="105">
        <f t="shared" si="1"/>
        <v>0.47163772894176292</v>
      </c>
      <c r="AH15" s="4">
        <f t="shared" ca="1" si="2"/>
        <v>0</v>
      </c>
      <c r="AI15" s="4">
        <f t="shared" ca="1" si="3"/>
        <v>108</v>
      </c>
      <c r="AJ15" s="4">
        <f t="shared" ca="1" si="4"/>
        <v>252</v>
      </c>
      <c r="AK15" s="10">
        <f t="shared" ca="1" si="5"/>
        <v>0.50548245614035081</v>
      </c>
      <c r="AL15" s="5">
        <f t="shared" ca="1" si="6"/>
        <v>7.1760007992844432E-2</v>
      </c>
    </row>
    <row r="16" spans="1:38">
      <c r="A16" t="s">
        <v>22</v>
      </c>
      <c r="B16" t="s">
        <v>23</v>
      </c>
      <c r="C16" s="60">
        <v>31</v>
      </c>
      <c r="D16" s="60">
        <v>12</v>
      </c>
      <c r="E16" s="60">
        <v>2016</v>
      </c>
      <c r="F16" s="71">
        <f>IF(VLOOKUP(A16,Dividende_je_Aktie!A$3:AM$103,6,FALSE)&lt;&gt;"",IF(VLOOKUP(A16,Ergebnis_je_Aktie_verwässert!A$3:AK$103,6,FALSE)&lt;&gt;"",IF(VLOOKUP(A16,Ergebnis_je_Aktie_verwässert!A$3:AK$103,6,FALSE)&lt;=0,2,IF(VLOOKUP(A16,Dividende_je_Aktie!A$3:AM$103,6,FALSE)/VLOOKUP(A16,Ergebnis_je_Aktie_verwässert!A$3:AK$103,6,FALSE)&gt;=2,2,VLOOKUP(A16,Dividende_je_Aktie!A$3:AM$103,6,FALSE)/VLOOKUP(A16,Ergebnis_je_Aktie_verwässert!A$3:AK$103,6,FALSE))),""),"")</f>
        <v>0.60305343511450382</v>
      </c>
      <c r="G16" s="71">
        <f>IF(VLOOKUP(A16,Dividende_je_Aktie!A$3:AM$103,7,FALSE)&lt;&gt;"",IF(VLOOKUP(A16,Ergebnis_je_Aktie_verwässert!A$3:AK$103,7,FALSE)&lt;&gt;"",IF(VLOOKUP(A16,Ergebnis_je_Aktie_verwässert!A$3:AK$103,7,FALSE)&lt;=0,2,IF(VLOOKUP(A16,Dividende_je_Aktie!A$3:AM$103,7,FALSE)/VLOOKUP(A16,Ergebnis_je_Aktie_verwässert!A$3:AK$103,7,FALSE)&gt;=2,2,VLOOKUP(A16,Dividende_je_Aktie!A$3:AM$103,7,FALSE)/VLOOKUP(A16,Ergebnis_je_Aktie_verwässert!A$3:AK$103,7,FALSE))),""),"")</f>
        <v>0.67180616740088106</v>
      </c>
      <c r="H16" s="71">
        <f>IF(VLOOKUP(A16,Fiktive_Dividende!A$3:AM$103,14,FALSE)&lt;&gt;"",IF(VLOOKUP(A16,Ergebnis_je_Aktie_verwässert!A$3:AK$103,8,FALSE)&lt;&gt;"",IF(VLOOKUP(A16,Ergebnis_je_Aktie_verwässert!A$3:AK$103,8,FALSE)&lt;=0,2,IF(VLOOKUP(A16,Fiktive_Dividende!A$3:AM$103,14,FALSE)/VLOOKUP(A16,Ergebnis_je_Aktie_verwässert!A$3:AK$103,8,FALSE)&gt;=2,2,VLOOKUP(A16,Fiktive_Dividende!A$3:AM$103,14,FALSE)/VLOOKUP(A16,Ergebnis_je_Aktie_verwässert!A$3:AK$103,8,FALSE))),""),"")</f>
        <v>0.7195121951219513</v>
      </c>
      <c r="I16" s="71">
        <f>IF(VLOOKUP(A16,Fiktive_Dividende!A$3:AM$103,15,FALSE)&lt;&gt;"",IF(VLOOKUP(A16,Ergebnis_je_Aktie_verwässert!A$3:AK$103,9,FALSE)&lt;&gt;"",IF(VLOOKUP(A16,Ergebnis_je_Aktie_verwässert!A$3:AK$103,9,FALSE)&lt;=0,2,IF(VLOOKUP(A16,Fiktive_Dividende!A$3:AM$103,15,FALSE)/VLOOKUP(A16,Ergebnis_je_Aktie_verwässert!A$3:AK$103,9,FALSE)&gt;=2,2,VLOOKUP(A16,Fiktive_Dividende!A$3:AM$103,15,FALSE)/VLOOKUP(A16,Ergebnis_je_Aktie_verwässert!A$3:AK$103,9,FALSE))),""),"")</f>
        <v>0.57999999999999996</v>
      </c>
      <c r="J16" s="71">
        <f>IF(VLOOKUP(A16,Fiktive_Dividende!A$3:AM$103,16,FALSE)&lt;&gt;"",IF(VLOOKUP(A16,Ergebnis_je_Aktie_verwässert!A$3:AK$103,10,FALSE)&lt;&gt;"",IF(VLOOKUP(A16,Ergebnis_je_Aktie_verwässert!A$3:AK$103,10,FALSE)&lt;=0,2,IF(VLOOKUP(A16,Fiktive_Dividende!A$3:AM$103,16,FALSE)/VLOOKUP(A16,Ergebnis_je_Aktie_verwässert!A$3:AK$103,10,FALSE)&gt;=2,2,VLOOKUP(A16,Fiktive_Dividende!A$3:AM$103,16,FALSE)/VLOOKUP(A16,Ergebnis_je_Aktie_verwässert!A$3:AK$103,10,FALSE))),""),"")</f>
        <v>0.51470588235294112</v>
      </c>
      <c r="K16" s="71">
        <f>IF(VLOOKUP(A16,Fiktive_Dividende!A$3:AM$103,17,FALSE)&lt;&gt;"",IF(VLOOKUP(A16,Ergebnis_je_Aktie_verwässert!A$3:AK$103,11,FALSE)&lt;&gt;"",IF(VLOOKUP(A16,Ergebnis_je_Aktie_verwässert!A$3:AK$103,11,FALSE)&lt;=0,2,IF(VLOOKUP(A16,Fiktive_Dividende!A$3:AM$103,17,FALSE)/VLOOKUP(A16,Ergebnis_je_Aktie_verwässert!A$3:AK$103,11,FALSE)&gt;=2,2,VLOOKUP(A16,Fiktive_Dividende!A$3:AM$103,17,FALSE)/VLOOKUP(A16,Ergebnis_je_Aktie_verwässert!A$3:AK$103,11,FALSE))),""),"")</f>
        <v>0.50847457627118653</v>
      </c>
      <c r="L16" s="71">
        <f>IF(VLOOKUP(A16,Fiktive_Dividende!A$3:AM$103,18,FALSE)&lt;&gt;"",IF(VLOOKUP(A16,Ergebnis_je_Aktie_verwässert!A$3:AK$103,12,FALSE)&lt;&gt;"",IF(VLOOKUP(A16,Ergebnis_je_Aktie_verwässert!A$3:AK$103,12,FALSE)&lt;=0,2,IF(VLOOKUP(A16,Fiktive_Dividende!A$3:AM$103,18,FALSE)/VLOOKUP(A16,Ergebnis_je_Aktie_verwässert!A$3:AK$103,12,FALSE)&gt;=2,2,VLOOKUP(A16,Fiktive_Dividende!A$3:AM$103,18,FALSE)/VLOOKUP(A16,Ergebnis_je_Aktie_verwässert!A$3:AK$103,12,FALSE))),""),"")</f>
        <v>0.46099290780141849</v>
      </c>
      <c r="M16" s="71">
        <f>IF(VLOOKUP(A16,Fiktive_Dividende!A$3:AM$103,19,FALSE)&lt;&gt;"",IF(VLOOKUP(A16,Ergebnis_je_Aktie_verwässert!A$3:AK$103,13,FALSE)&lt;&gt;"",IF(VLOOKUP(A16,Ergebnis_je_Aktie_verwässert!A$3:AK$103,13,FALSE)&lt;=0,2,IF(VLOOKUP(A16,Fiktive_Dividende!A$3:AM$103,19,FALSE)/VLOOKUP(A16,Ergebnis_je_Aktie_verwässert!A$3:AK$103,13,FALSE)&gt;=2,2,VLOOKUP(A16,Fiktive_Dividende!A$3:AM$103,19,FALSE)/VLOOKUP(A16,Ergebnis_je_Aktie_verwässert!A$3:AK$103,13,FALSE))),""),"")</f>
        <v>0.39936102236421728</v>
      </c>
      <c r="N16" s="71">
        <f>IF(VLOOKUP(A16,Fiktive_Dividende!A$3:AM$103,20,FALSE)&lt;&gt;"",IF(VLOOKUP(A16,Ergebnis_je_Aktie_verwässert!A$3:AK$103,14,FALSE)&lt;&gt;"",IF(VLOOKUP(A16,Ergebnis_je_Aktie_verwässert!A$3:AK$103,14,FALSE)&lt;=0,2,IF(VLOOKUP(A16,Fiktive_Dividende!A$3:AM$103,20,FALSE)/VLOOKUP(A16,Ergebnis_je_Aktie_verwässert!A$3:AK$103,14,FALSE)&gt;=2,2,VLOOKUP(A16,Fiktive_Dividende!A$3:AM$103,20,FALSE)/VLOOKUP(A16,Ergebnis_je_Aktie_verwässert!A$3:AK$103,14,FALSE))),""),"")</f>
        <v>0.38394415357766143</v>
      </c>
      <c r="O16" s="71">
        <f>IF(VLOOKUP(A16,Fiktive_Dividende!A$3:AM$103,21,FALSE)&lt;&gt;"",IF(VLOOKUP(A16,Ergebnis_je_Aktie_verwässert!A$3:AK$103,15,FALSE)&lt;&gt;"",IF(VLOOKUP(A16,Ergebnis_je_Aktie_verwässert!A$3:AK$103,15,FALSE)&lt;=0,2,IF(VLOOKUP(A16,Fiktive_Dividende!A$3:AM$103,21,FALSE)/VLOOKUP(A16,Ergebnis_je_Aktie_verwässert!A$3:AK$103,15,FALSE)&gt;=2,2,VLOOKUP(A16,Fiktive_Dividende!A$3:AM$103,21,FALSE)/VLOOKUP(A16,Ergebnis_je_Aktie_verwässert!A$3:AK$103,15,FALSE))),""),"")</f>
        <v>0.56478405315614622</v>
      </c>
      <c r="P16" s="71">
        <f>IF(VLOOKUP(A16,Fiktive_Dividende!A$3:AM$103,22,FALSE)&lt;&gt;"",IF(VLOOKUP(A16,Ergebnis_je_Aktie_verwässert!A$3:AK$103,16,FALSE)&lt;&gt;"",IF(VLOOKUP(A16,Ergebnis_je_Aktie_verwässert!A$3:AK$103,16,FALSE)&lt;=0,2,IF(VLOOKUP(A16,Fiktive_Dividende!A$3:AM$103,22,FALSE)/VLOOKUP(A16,Ergebnis_je_Aktie_verwässert!A$3:AK$103,16,FALSE)&gt;=2,2,VLOOKUP(A16,Fiktive_Dividende!A$3:AM$103,22,FALSE)/VLOOKUP(A16,Ergebnis_je_Aktie_verwässert!A$3:AK$103,16,FALSE))),""),"")</f>
        <v>0.80369376948582161</v>
      </c>
      <c r="Q16" s="71">
        <f>IF(VLOOKUP(A16,Fiktive_Dividende!A$3:AM$103,23,FALSE)&lt;&gt;"",IF(VLOOKUP(A16,Ergebnis_je_Aktie_verwässert!A$3:AK$103,17,FALSE)&lt;&gt;"",IF(VLOOKUP(A16,Ergebnis_je_Aktie_verwässert!A$3:AK$103,17,FALSE)&lt;=0,2,IF(VLOOKUP(A16,Fiktive_Dividende!A$3:AM$103,23,FALSE)/VLOOKUP(A16,Ergebnis_je_Aktie_verwässert!A$3:AK$103,17,FALSE)&gt;=2,2,VLOOKUP(A16,Fiktive_Dividende!A$3:AM$103,23,FALSE)/VLOOKUP(A16,Ergebnis_je_Aktie_verwässert!A$3:AK$103,17,FALSE))),""),"")</f>
        <v>1.0167573010166329</v>
      </c>
      <c r="R16" s="71">
        <f>IF(VLOOKUP(A16,Fiktive_Dividende!A$3:AM$103,24,FALSE)&lt;&gt;"",IF(VLOOKUP(A16,Ergebnis_je_Aktie_verwässert!A$3:AK$103,18,FALSE)&lt;&gt;"",IF(VLOOKUP(A16,Ergebnis_je_Aktie_verwässert!A$3:AK$103,18,FALSE)&lt;=0,2,IF(VLOOKUP(A16,Fiktive_Dividende!A$3:AM$103,24,FALSE)/VLOOKUP(A16,Ergebnis_je_Aktie_verwässert!A$3:AK$103,18,FALSE)&gt;=2,2,VLOOKUP(A16,Fiktive_Dividende!A$3:AM$103,24,FALSE)/VLOOKUP(A16,Ergebnis_je_Aktie_verwässert!A$3:AK$103,18,FALSE))),""),"")</f>
        <v>0.81305209457963201</v>
      </c>
      <c r="S16" s="105">
        <f t="shared" si="0"/>
        <v>0.61847211986484563</v>
      </c>
      <c r="T16" s="71">
        <f>IF(VLOOKUP(A16,Dividende_je_Aktie!A$3:AM$103,6,FALSE)&lt;&gt;"",IF(VLOOKUP(A16,Ergebnis_je_Aktie_verwässert!A$3:AK$103,6,FALSE)&lt;&gt;"",IF(VLOOKUP(A16,Ergebnis_je_Aktie_verwässert!A$3:AK$103,6,FALSE)&lt;=0,2,IF(VLOOKUP(A16,Dividende_je_Aktie!A$3:AM$103,6,FALSE)/VLOOKUP(A16,Ergebnis_je_Aktie_verwässert!A$3:AK$103,6,FALSE)&gt;=2,2,VLOOKUP(A16,Dividende_je_Aktie!A$3:AM$103,6,FALSE)/VLOOKUP(A16,Ergebnis_je_Aktie_verwässert!A$3:AK$103,6,FALSE))),""),"")</f>
        <v>0.60305343511450382</v>
      </c>
      <c r="U16" s="71">
        <f>IF(VLOOKUP(A16,Dividende_je_Aktie!A$3:AM$103,7,FALSE)&lt;&gt;"",IF(VLOOKUP(A16,Ergebnis_je_Aktie_verwässert!A$3:AK$103,7,FALSE)&lt;&gt;"",IF(VLOOKUP(A16,Ergebnis_je_Aktie_verwässert!A$3:AK$103,7,FALSE)&lt;=0,2,IF(VLOOKUP(A16,Dividende_je_Aktie!A$3:AM$103,7,FALSE)/VLOOKUP(A16,Ergebnis_je_Aktie_verwässert!A$3:AK$103,7,FALSE)&gt;=2,2,VLOOKUP(A16,Dividende_je_Aktie!A$3:AM$103,7,FALSE)/VLOOKUP(A16,Ergebnis_je_Aktie_verwässert!A$3:AK$103,7,FALSE))),""),"")</f>
        <v>0.67180616740088106</v>
      </c>
      <c r="V16" s="71">
        <f>IF(VLOOKUP(A16,Dividende_je_Aktie!A$3:AM$103,8,FALSE)&lt;&gt;"",IF(VLOOKUP(A16,Ergebnis_je_Aktie_verwässert!A$3:AK$103,8,FALSE)&lt;&gt;"",IF(VLOOKUP(A16,Ergebnis_je_Aktie_verwässert!A$3:AK$103,8,FALSE)&lt;=0,2,IF(VLOOKUP(A16,Dividende_je_Aktie!A$3:AM$103,8,FALSE)/VLOOKUP(A16,Ergebnis_je_Aktie_verwässert!A$3:AK$103,8,FALSE)&gt;=2,2,VLOOKUP(A16,Dividende_je_Aktie!A$3:AM$103,8,FALSE)/VLOOKUP(A16,Ergebnis_je_Aktie_verwässert!A$3:AK$103,8,FALSE))),""),"")</f>
        <v>0.7195121951219513</v>
      </c>
      <c r="W16" s="71">
        <f>IF(VLOOKUP(A16,Dividende_je_Aktie!A$3:AM$103,9,FALSE)&lt;&gt;"",IF(VLOOKUP(A16,Ergebnis_je_Aktie_verwässert!A$3:AK$103,9,FALSE)&lt;&gt;"",IF(VLOOKUP(A16,Ergebnis_je_Aktie_verwässert!A$3:AK$103,9,FALSE)&lt;=0,2,IF(VLOOKUP(A16,Dividende_je_Aktie!A$3:AM$103,9,FALSE)/VLOOKUP(A16,Ergebnis_je_Aktie_verwässert!A$3:AK$103,9,FALSE)&gt;=2,2,VLOOKUP(A16,Dividende_je_Aktie!A$3:AM$103,9,FALSE)/VLOOKUP(A16,Ergebnis_je_Aktie_verwässert!A$3:AK$103,9,FALSE))),""),"")</f>
        <v>0.57999999999999996</v>
      </c>
      <c r="X16" s="71">
        <f>IF(VLOOKUP(A16,Dividende_je_Aktie!A$3:AM$103,10,FALSE)&lt;&gt;"",IF(VLOOKUP(A16,Ergebnis_je_Aktie_verwässert!A$3:AK$103,10,FALSE)&lt;&gt;"",IF(VLOOKUP(A16,Ergebnis_je_Aktie_verwässert!A$3:AK$103,10,FALSE)&lt;=0,2,IF(VLOOKUP(A16,Dividende_je_Aktie!A$3:AM$103,10,FALSE)/VLOOKUP(A16,Ergebnis_je_Aktie_verwässert!A$3:AK$103,10,FALSE)&gt;=2,2,VLOOKUP(A16,Dividende_je_Aktie!A$3:AM$103,10,FALSE)/VLOOKUP(A16,Ergebnis_je_Aktie_verwässert!A$3:AK$103,10,FALSE))),""),"")</f>
        <v>0.51470588235294112</v>
      </c>
      <c r="Y16" s="71">
        <f>IF(VLOOKUP(A16,Dividende_je_Aktie!A$3:AM$103,11,FALSE)&lt;&gt;"",IF(VLOOKUP(A16,Ergebnis_je_Aktie_verwässert!A$3:AK$103,11,FALSE)&lt;&gt;"",IF(VLOOKUP(A16,Ergebnis_je_Aktie_verwässert!A$3:AK$103,11,FALSE)&lt;=0,2,IF(VLOOKUP(A16,Dividende_je_Aktie!A$3:AM$103,11,FALSE)/VLOOKUP(A16,Ergebnis_je_Aktie_verwässert!A$3:AK$103,11,FALSE)&gt;=2,2,VLOOKUP(A16,Dividende_je_Aktie!A$3:AM$103,11,FALSE)/VLOOKUP(A16,Ergebnis_je_Aktie_verwässert!A$3:AK$103,11,FALSE))),""),"")</f>
        <v>0.50847457627118653</v>
      </c>
      <c r="Z16" s="71">
        <f>IF(VLOOKUP(A16,Dividende_je_Aktie!A$3:AM$103,12,FALSE)&lt;&gt;"",IF(VLOOKUP(A16,Ergebnis_je_Aktie_verwässert!A$3:AK$103,12,FALSE)&lt;&gt;"",IF(VLOOKUP(A16,Ergebnis_je_Aktie_verwässert!A$3:AK$103,12,FALSE)&lt;=0,2,IF(VLOOKUP(A16,Dividende_je_Aktie!A$3:AM$103,12,FALSE)/VLOOKUP(A16,Ergebnis_je_Aktie_verwässert!A$3:AK$103,12,FALSE)&gt;=2,2,VLOOKUP(A16,Dividende_je_Aktie!A$3:AM$103,12,FALSE)/VLOOKUP(A16,Ergebnis_je_Aktie_verwässert!A$3:AK$103,12,FALSE))),""),"")</f>
        <v>0.46099290780141849</v>
      </c>
      <c r="AA16" s="71">
        <f>IF(VLOOKUP(A16,Dividende_je_Aktie!A$3:AM$103,13,FALSE)&lt;&gt;"",IF(VLOOKUP(A16,Ergebnis_je_Aktie_verwässert!A$3:AK$103,13,FALSE)&lt;&gt;"",IF(VLOOKUP(A16,Ergebnis_je_Aktie_verwässert!A$3:AK$103,13,FALSE)&lt;=0,2,IF(VLOOKUP(A16,Dividende_je_Aktie!A$3:AM$103,13,FALSE)/VLOOKUP(A16,Ergebnis_je_Aktie_verwässert!A$3:AK$103,13,FALSE)&gt;=2,2,VLOOKUP(A16,Dividende_je_Aktie!A$3:AM$103,13,FALSE)/VLOOKUP(A16,Ergebnis_je_Aktie_verwässert!A$3:AK$103,13,FALSE))),""),"")</f>
        <v>0.39936102236421728</v>
      </c>
      <c r="AB16" s="71">
        <f>IF(VLOOKUP(A16,Dividende_je_Aktie!A$3:AM$103,14,FALSE)&lt;&gt;"",IF(VLOOKUP(A16,Ergebnis_je_Aktie_verwässert!A$3:AK$103,14,FALSE)&lt;&gt;"",IF(VLOOKUP(A16,Ergebnis_je_Aktie_verwässert!A$3:AK$103,14,FALSE)&lt;=0,2,IF(VLOOKUP(A16,Dividende_je_Aktie!A$3:AM$103,14,FALSE)/VLOOKUP(A16,Ergebnis_je_Aktie_verwässert!A$3:AK$103,14,FALSE)&gt;=2,2,VLOOKUP(A16,Dividende_je_Aktie!A$3:AM$103,14,FALSE)/VLOOKUP(A16,Ergebnis_je_Aktie_verwässert!A$3:AK$103,14,FALSE))),""),"")</f>
        <v>0.38394415357766143</v>
      </c>
      <c r="AC16" s="71">
        <f>IF(VLOOKUP(A16,Dividende_je_Aktie!A$3:AM$103,15,FALSE)&lt;&gt;"",IF(VLOOKUP(A16,Ergebnis_je_Aktie_verwässert!A$3:AK$103,15,FALSE)&lt;&gt;"",IF(VLOOKUP(A16,Ergebnis_je_Aktie_verwässert!A$3:AK$103,15,FALSE)&lt;=0,2,IF(VLOOKUP(A16,Dividende_je_Aktie!A$3:AM$103,15,FALSE)/VLOOKUP(A16,Ergebnis_je_Aktie_verwässert!A$3:AK$103,15,FALSE)&gt;=2,2,VLOOKUP(A16,Dividende_je_Aktie!A$3:AM$103,15,FALSE)/VLOOKUP(A16,Ergebnis_je_Aktie_verwässert!A$3:AK$103,15,FALSE))),""),"")</f>
        <v>0.56478405315614622</v>
      </c>
      <c r="AD16" s="71">
        <f>IF(VLOOKUP(A16,Dividende_je_Aktie!A$3:AM$103,16,FALSE)&lt;&gt;"",IF(VLOOKUP(A16,Ergebnis_je_Aktie_verwässert!A$3:AK$103,16,FALSE)&lt;&gt;"",IF(VLOOKUP(A16,Ergebnis_je_Aktie_verwässert!A$3:AK$103,16,FALSE)&lt;=0,2,IF(VLOOKUP(A16,Dividende_je_Aktie!A$3:AM$103,16,FALSE)/VLOOKUP(A16,Ergebnis_je_Aktie_verwässert!A$3:AK$103,16,FALSE)&gt;=2,2,VLOOKUP(A16,Dividende_je_Aktie!A$3:AM$103,16,FALSE)/VLOOKUP(A16,Ergebnis_je_Aktie_verwässert!A$3:AK$103,16,FALSE))),""),"")</f>
        <v>0.50649350649350644</v>
      </c>
      <c r="AE16" s="71">
        <f>IF(VLOOKUP(A16,Dividende_je_Aktie!A$3:AM$103,17,FALSE)&lt;&gt;"",IF(VLOOKUP(A16,Ergebnis_je_Aktie_verwässert!A$3:AK$103,17,FALSE)&lt;&gt;"",IF(VLOOKUP(A16,Ergebnis_je_Aktie_verwässert!A$3:AK$103,17,FALSE)&lt;=0,2,IF(VLOOKUP(A16,Dividende_je_Aktie!A$3:AM$103,17,FALSE)/VLOOKUP(A16,Ergebnis_je_Aktie_verwässert!A$3:AK$103,17,FALSE)&gt;=2,2,VLOOKUP(A16,Dividende_je_Aktie!A$3:AM$103,17,FALSE)/VLOOKUP(A16,Ergebnis_je_Aktie_verwässert!A$3:AK$103,17,FALSE))),""),"")</f>
        <v>0.46875</v>
      </c>
      <c r="AF16" s="71">
        <f>IF(VLOOKUP(A16,Dividende_je_Aktie!A$3:AM$103,18,FALSE)&lt;&gt;"",IF(VLOOKUP(A16,Ergebnis_je_Aktie_verwässert!A$3:AK$103,18,FALSE)&lt;&gt;"",IF(VLOOKUP(A16,Ergebnis_je_Aktie_verwässert!A$3:AK$103,18,FALSE)&lt;=0,2,IF(VLOOKUP(A16,Dividende_je_Aktie!A$3:AM$103,18,FALSE)/VLOOKUP(A16,Ergebnis_je_Aktie_verwässert!A$3:AK$103,18,FALSE)&gt;=2,2,VLOOKUP(A16,Dividende_je_Aktie!A$3:AM$103,18,FALSE)/VLOOKUP(A16,Ergebnis_je_Aktie_verwässert!A$3:AK$103,18,FALSE))),""),"")</f>
        <v>0.47021943573667713</v>
      </c>
      <c r="AG16" s="105">
        <f t="shared" si="1"/>
        <v>0.52708441041469922</v>
      </c>
      <c r="AH16" s="4">
        <f t="shared" ca="1" si="2"/>
        <v>0</v>
      </c>
      <c r="AI16" s="4">
        <f t="shared" ca="1" si="3"/>
        <v>108</v>
      </c>
      <c r="AJ16" s="4">
        <f t="shared" ca="1" si="4"/>
        <v>252</v>
      </c>
      <c r="AK16" s="10">
        <f t="shared" ca="1" si="5"/>
        <v>0.70520038680563024</v>
      </c>
      <c r="AL16" s="5">
        <f t="shared" ca="1" si="6"/>
        <v>0.33792685359597918</v>
      </c>
    </row>
    <row r="17" spans="1:38">
      <c r="A17" t="s">
        <v>24</v>
      </c>
      <c r="B17" t="s">
        <v>25</v>
      </c>
      <c r="C17" s="60">
        <v>31</v>
      </c>
      <c r="D17" s="60">
        <v>12</v>
      </c>
      <c r="E17" s="60">
        <v>2016</v>
      </c>
      <c r="F17" s="71">
        <f>IF(VLOOKUP(A17,Dividende_je_Aktie!A$3:AM$103,6,FALSE)&lt;&gt;"",IF(VLOOKUP(A17,Ergebnis_je_Aktie_verwässert!A$3:AK$103,6,FALSE)&lt;&gt;"",IF(VLOOKUP(A17,Ergebnis_je_Aktie_verwässert!A$3:AK$103,6,FALSE)&lt;=0,2,IF(VLOOKUP(A17,Dividende_je_Aktie!A$3:AM$103,6,FALSE)/VLOOKUP(A17,Ergebnis_je_Aktie_verwässert!A$3:AK$103,6,FALSE)&gt;=2,2,VLOOKUP(A17,Dividende_je_Aktie!A$3:AM$103,6,FALSE)/VLOOKUP(A17,Ergebnis_je_Aktie_verwässert!A$3:AK$103,6,FALSE))),""),"")</f>
        <v>0.44113475177304962</v>
      </c>
      <c r="G17" s="71">
        <f>IF(VLOOKUP(A17,Dividende_je_Aktie!A$3:AM$103,7,FALSE)&lt;&gt;"",IF(VLOOKUP(A17,Ergebnis_je_Aktie_verwässert!A$3:AK$103,7,FALSE)&lt;&gt;"",IF(VLOOKUP(A17,Ergebnis_je_Aktie_verwässert!A$3:AK$103,7,FALSE)&lt;=0,2,IF(VLOOKUP(A17,Dividende_je_Aktie!A$3:AM$103,7,FALSE)/VLOOKUP(A17,Ergebnis_je_Aktie_verwässert!A$3:AK$103,7,FALSE)&gt;=2,2,VLOOKUP(A17,Dividende_je_Aktie!A$3:AM$103,7,FALSE)/VLOOKUP(A17,Ergebnis_je_Aktie_verwässert!A$3:AK$103,7,FALSE))),""),"")</f>
        <v>0.44875776397515527</v>
      </c>
      <c r="H17" s="71">
        <f>IF(VLOOKUP(A17,Fiktive_Dividende!A$3:AM$103,14,FALSE)&lt;&gt;"",IF(VLOOKUP(A17,Ergebnis_je_Aktie_verwässert!A$3:AK$103,8,FALSE)&lt;&gt;"",IF(VLOOKUP(A17,Ergebnis_je_Aktie_verwässert!A$3:AK$103,8,FALSE)&lt;=0,2,IF(VLOOKUP(A17,Fiktive_Dividende!A$3:AM$103,14,FALSE)/VLOOKUP(A17,Ergebnis_je_Aktie_verwässert!A$3:AK$103,8,FALSE)&gt;=2,2,VLOOKUP(A17,Fiktive_Dividende!A$3:AM$103,14,FALSE)/VLOOKUP(A17,Ergebnis_je_Aktie_verwässert!A$3:AK$103,8,FALSE))),""),"")</f>
        <v>0.47927927927927932</v>
      </c>
      <c r="I17" s="71">
        <f>IF(VLOOKUP(A17,Fiktive_Dividende!A$3:AM$103,15,FALSE)&lt;&gt;"",IF(VLOOKUP(A17,Ergebnis_je_Aktie_verwässert!A$3:AK$103,9,FALSE)&lt;&gt;"",IF(VLOOKUP(A17,Ergebnis_je_Aktie_verwässert!A$3:AK$103,9,FALSE)&lt;=0,2,IF(VLOOKUP(A17,Fiktive_Dividende!A$3:AM$103,15,FALSE)/VLOOKUP(A17,Ergebnis_je_Aktie_verwässert!A$3:AK$103,9,FALSE)&gt;=2,2,VLOOKUP(A17,Fiktive_Dividende!A$3:AM$103,15,FALSE)/VLOOKUP(A17,Ergebnis_je_Aktie_verwässert!A$3:AK$103,9,FALSE))),""),"")</f>
        <v>0.50301810865191154</v>
      </c>
      <c r="J17" s="71">
        <f>IF(VLOOKUP(A17,Fiktive_Dividende!A$3:AM$103,16,FALSE)&lt;&gt;"",IF(VLOOKUP(A17,Ergebnis_je_Aktie_verwässert!A$3:AK$103,10,FALSE)&lt;&gt;"",IF(VLOOKUP(A17,Ergebnis_je_Aktie_verwässert!A$3:AK$103,10,FALSE)&lt;=0,2,IF(VLOOKUP(A17,Fiktive_Dividende!A$3:AM$103,16,FALSE)/VLOOKUP(A17,Ergebnis_je_Aktie_verwässert!A$3:AK$103,10,FALSE)&gt;=2,2,VLOOKUP(A17,Fiktive_Dividende!A$3:AM$103,16,FALSE)/VLOOKUP(A17,Ergebnis_je_Aktie_verwässert!A$3:AK$103,10,FALSE))),""),"")</f>
        <v>0.49450549450549453</v>
      </c>
      <c r="K17" s="71">
        <f>IF(VLOOKUP(A17,Fiktive_Dividende!A$3:AM$103,17,FALSE)&lt;&gt;"",IF(VLOOKUP(A17,Ergebnis_je_Aktie_verwässert!A$3:AK$103,11,FALSE)&lt;&gt;"",IF(VLOOKUP(A17,Ergebnis_je_Aktie_verwässert!A$3:AK$103,11,FALSE)&lt;=0,2,IF(VLOOKUP(A17,Fiktive_Dividende!A$3:AM$103,17,FALSE)/VLOOKUP(A17,Ergebnis_je_Aktie_verwässert!A$3:AK$103,11,FALSE)&gt;=2,2,VLOOKUP(A17,Fiktive_Dividende!A$3:AM$103,17,FALSE)/VLOOKUP(A17,Ergebnis_je_Aktie_verwässert!A$3:AK$103,11,FALSE))),""),"")</f>
        <v>0.48498845265588914</v>
      </c>
      <c r="L17" s="71">
        <f>IF(VLOOKUP(A17,Fiktive_Dividende!A$3:AM$103,18,FALSE)&lt;&gt;"",IF(VLOOKUP(A17,Ergebnis_je_Aktie_verwässert!A$3:AK$103,12,FALSE)&lt;&gt;"",IF(VLOOKUP(A17,Ergebnis_je_Aktie_verwässert!A$3:AK$103,12,FALSE)&lt;=0,2,IF(VLOOKUP(A17,Fiktive_Dividende!A$3:AM$103,18,FALSE)/VLOOKUP(A17,Ergebnis_je_Aktie_verwässert!A$3:AK$103,12,FALSE)&gt;=2,2,VLOOKUP(A17,Fiktive_Dividende!A$3:AM$103,18,FALSE)/VLOOKUP(A17,Ergebnis_je_Aktie_verwässert!A$3:AK$103,12,FALSE))),""),"")</f>
        <v>0.48101265822784806</v>
      </c>
      <c r="M17" s="71">
        <f>IF(VLOOKUP(A17,Fiktive_Dividende!A$3:AM$103,19,FALSE)&lt;&gt;"",IF(VLOOKUP(A17,Ergebnis_je_Aktie_verwässert!A$3:AK$103,13,FALSE)&lt;&gt;"",IF(VLOOKUP(A17,Ergebnis_je_Aktie_verwässert!A$3:AK$103,13,FALSE)&lt;=0,2,IF(VLOOKUP(A17,Fiktive_Dividende!A$3:AM$103,19,FALSE)/VLOOKUP(A17,Ergebnis_je_Aktie_verwässert!A$3:AK$103,13,FALSE)&gt;=2,2,VLOOKUP(A17,Fiktive_Dividende!A$3:AM$103,19,FALSE)/VLOOKUP(A17,Ergebnis_je_Aktie_verwässert!A$3:AK$103,13,FALSE))),""),"")</f>
        <v>0.4634831460674157</v>
      </c>
      <c r="N17" s="71">
        <f>IF(VLOOKUP(A17,Fiktive_Dividende!A$3:AM$103,20,FALSE)&lt;&gt;"",IF(VLOOKUP(A17,Ergebnis_je_Aktie_verwässert!A$3:AK$103,14,FALSE)&lt;&gt;"",IF(VLOOKUP(A17,Ergebnis_je_Aktie_verwässert!A$3:AK$103,14,FALSE)&lt;=0,2,IF(VLOOKUP(A17,Fiktive_Dividende!A$3:AM$103,20,FALSE)/VLOOKUP(A17,Ergebnis_je_Aktie_verwässert!A$3:AK$103,14,FALSE)&gt;=2,2,VLOOKUP(A17,Fiktive_Dividende!A$3:AM$103,20,FALSE)/VLOOKUP(A17,Ergebnis_je_Aktie_verwässert!A$3:AK$103,14,FALSE))),""),"")</f>
        <v>0.6696428571428571</v>
      </c>
      <c r="O17" s="71">
        <f>IF(VLOOKUP(A17,Fiktive_Dividende!A$3:AM$103,21,FALSE)&lt;&gt;"",IF(VLOOKUP(A17,Ergebnis_je_Aktie_verwässert!A$3:AK$103,15,FALSE)&lt;&gt;"",IF(VLOOKUP(A17,Ergebnis_je_Aktie_verwässert!A$3:AK$103,15,FALSE)&lt;=0,2,IF(VLOOKUP(A17,Fiktive_Dividende!A$3:AM$103,21,FALSE)/VLOOKUP(A17,Ergebnis_je_Aktie_verwässert!A$3:AK$103,15,FALSE)&gt;=2,2,VLOOKUP(A17,Fiktive_Dividende!A$3:AM$103,21,FALSE)/VLOOKUP(A17,Ergebnis_je_Aktie_verwässert!A$3:AK$103,15,FALSE))),""),"")</f>
        <v>0.61674008810572678</v>
      </c>
      <c r="P17" s="71">
        <f>IF(VLOOKUP(A17,Fiktive_Dividende!A$3:AM$103,22,FALSE)&lt;&gt;"",IF(VLOOKUP(A17,Ergebnis_je_Aktie_verwässert!A$3:AK$103,16,FALSE)&lt;&gt;"",IF(VLOOKUP(A17,Ergebnis_je_Aktie_verwässert!A$3:AK$103,16,FALSE)&lt;=0,2,IF(VLOOKUP(A17,Fiktive_Dividende!A$3:AM$103,22,FALSE)/VLOOKUP(A17,Ergebnis_je_Aktie_verwässert!A$3:AK$103,16,FALSE)&gt;=2,2,VLOOKUP(A17,Fiktive_Dividende!A$3:AM$103,22,FALSE)/VLOOKUP(A17,Ergebnis_je_Aktie_verwässert!A$3:AK$103,16,FALSE))),""),"")</f>
        <v>0.49122807017543857</v>
      </c>
      <c r="Q17" s="71">
        <f>IF(VLOOKUP(A17,Fiktive_Dividende!A$3:AM$103,23,FALSE)&lt;&gt;"",IF(VLOOKUP(A17,Ergebnis_je_Aktie_verwässert!A$3:AK$103,17,FALSE)&lt;&gt;"",IF(VLOOKUP(A17,Ergebnis_je_Aktie_verwässert!A$3:AK$103,17,FALSE)&lt;=0,2,IF(VLOOKUP(A17,Fiktive_Dividende!A$3:AM$103,23,FALSE)/VLOOKUP(A17,Ergebnis_je_Aktie_verwässert!A$3:AK$103,17,FALSE)&gt;=2,2,VLOOKUP(A17,Fiktive_Dividende!A$3:AM$103,23,FALSE)/VLOOKUP(A17,Ergebnis_je_Aktie_verwässert!A$3:AK$103,17,FALSE))),""),"")</f>
        <v>0.51136363636363635</v>
      </c>
      <c r="R17" s="71">
        <f>IF(VLOOKUP(A17,Fiktive_Dividende!A$3:AM$103,24,FALSE)&lt;&gt;"",IF(VLOOKUP(A17,Ergebnis_je_Aktie_verwässert!A$3:AK$103,18,FALSE)&lt;&gt;"",IF(VLOOKUP(A17,Ergebnis_je_Aktie_verwässert!A$3:AK$103,18,FALSE)&lt;=0,2,IF(VLOOKUP(A17,Fiktive_Dividende!A$3:AM$103,24,FALSE)/VLOOKUP(A17,Ergebnis_je_Aktie_verwässert!A$3:AK$103,18,FALSE)&gt;=2,2,VLOOKUP(A17,Fiktive_Dividende!A$3:AM$103,24,FALSE)/VLOOKUP(A17,Ergebnis_je_Aktie_verwässert!A$3:AK$103,18,FALSE))),""),"")</f>
        <v>0.4366812227074236</v>
      </c>
      <c r="S17" s="105">
        <f t="shared" si="0"/>
        <v>0.50167965612547116</v>
      </c>
      <c r="T17" s="71">
        <f>IF(VLOOKUP(A17,Dividende_je_Aktie!A$3:AM$103,6,FALSE)&lt;&gt;"",IF(VLOOKUP(A17,Ergebnis_je_Aktie_verwässert!A$3:AK$103,6,FALSE)&lt;&gt;"",IF(VLOOKUP(A17,Ergebnis_je_Aktie_verwässert!A$3:AK$103,6,FALSE)&lt;=0,2,IF(VLOOKUP(A17,Dividende_je_Aktie!A$3:AM$103,6,FALSE)/VLOOKUP(A17,Ergebnis_je_Aktie_verwässert!A$3:AK$103,6,FALSE)&gt;=2,2,VLOOKUP(A17,Dividende_je_Aktie!A$3:AM$103,6,FALSE)/VLOOKUP(A17,Ergebnis_je_Aktie_verwässert!A$3:AK$103,6,FALSE))),""),"")</f>
        <v>0.44113475177304962</v>
      </c>
      <c r="U17" s="71">
        <f>IF(VLOOKUP(A17,Dividende_je_Aktie!A$3:AM$103,7,FALSE)&lt;&gt;"",IF(VLOOKUP(A17,Ergebnis_je_Aktie_verwässert!A$3:AK$103,7,FALSE)&lt;&gt;"",IF(VLOOKUP(A17,Ergebnis_je_Aktie_verwässert!A$3:AK$103,7,FALSE)&lt;=0,2,IF(VLOOKUP(A17,Dividende_je_Aktie!A$3:AM$103,7,FALSE)/VLOOKUP(A17,Ergebnis_je_Aktie_verwässert!A$3:AK$103,7,FALSE)&gt;=2,2,VLOOKUP(A17,Dividende_je_Aktie!A$3:AM$103,7,FALSE)/VLOOKUP(A17,Ergebnis_je_Aktie_verwässert!A$3:AK$103,7,FALSE))),""),"")</f>
        <v>0.44875776397515527</v>
      </c>
      <c r="V17" s="71">
        <f>IF(VLOOKUP(A17,Dividende_je_Aktie!A$3:AM$103,8,FALSE)&lt;&gt;"",IF(VLOOKUP(A17,Ergebnis_je_Aktie_verwässert!A$3:AK$103,8,FALSE)&lt;&gt;"",IF(VLOOKUP(A17,Ergebnis_je_Aktie_verwässert!A$3:AK$103,8,FALSE)&lt;=0,2,IF(VLOOKUP(A17,Dividende_je_Aktie!A$3:AM$103,8,FALSE)/VLOOKUP(A17,Ergebnis_je_Aktie_verwässert!A$3:AK$103,8,FALSE)&gt;=2,2,VLOOKUP(A17,Dividende_je_Aktie!A$3:AM$103,8,FALSE)/VLOOKUP(A17,Ergebnis_je_Aktie_verwässert!A$3:AK$103,8,FALSE))),""),"")</f>
        <v>0.47927927927927932</v>
      </c>
      <c r="W17" s="71">
        <f>IF(VLOOKUP(A17,Dividende_je_Aktie!A$3:AM$103,9,FALSE)&lt;&gt;"",IF(VLOOKUP(A17,Ergebnis_je_Aktie_verwässert!A$3:AK$103,9,FALSE)&lt;&gt;"",IF(VLOOKUP(A17,Ergebnis_je_Aktie_verwässert!A$3:AK$103,9,FALSE)&lt;=0,2,IF(VLOOKUP(A17,Dividende_je_Aktie!A$3:AM$103,9,FALSE)/VLOOKUP(A17,Ergebnis_je_Aktie_verwässert!A$3:AK$103,9,FALSE)&gt;=2,2,VLOOKUP(A17,Dividende_je_Aktie!A$3:AM$103,9,FALSE)/VLOOKUP(A17,Ergebnis_je_Aktie_verwässert!A$3:AK$103,9,FALSE))),""),"")</f>
        <v>0.50301810865191154</v>
      </c>
      <c r="X17" s="71">
        <f>IF(VLOOKUP(A17,Dividende_je_Aktie!A$3:AM$103,10,FALSE)&lt;&gt;"",IF(VLOOKUP(A17,Ergebnis_je_Aktie_verwässert!A$3:AK$103,10,FALSE)&lt;&gt;"",IF(VLOOKUP(A17,Ergebnis_je_Aktie_verwässert!A$3:AK$103,10,FALSE)&lt;=0,2,IF(VLOOKUP(A17,Dividende_je_Aktie!A$3:AM$103,10,FALSE)/VLOOKUP(A17,Ergebnis_je_Aktie_verwässert!A$3:AK$103,10,FALSE)&gt;=2,2,VLOOKUP(A17,Dividende_je_Aktie!A$3:AM$103,10,FALSE)/VLOOKUP(A17,Ergebnis_je_Aktie_verwässert!A$3:AK$103,10,FALSE))),""),"")</f>
        <v>0.49450549450549453</v>
      </c>
      <c r="Y17" s="71">
        <f>IF(VLOOKUP(A17,Dividende_je_Aktie!A$3:AM$103,11,FALSE)&lt;&gt;"",IF(VLOOKUP(A17,Ergebnis_je_Aktie_verwässert!A$3:AK$103,11,FALSE)&lt;&gt;"",IF(VLOOKUP(A17,Ergebnis_je_Aktie_verwässert!A$3:AK$103,11,FALSE)&lt;=0,2,IF(VLOOKUP(A17,Dividende_je_Aktie!A$3:AM$103,11,FALSE)/VLOOKUP(A17,Ergebnis_je_Aktie_verwässert!A$3:AK$103,11,FALSE)&gt;=2,2,VLOOKUP(A17,Dividende_je_Aktie!A$3:AM$103,11,FALSE)/VLOOKUP(A17,Ergebnis_je_Aktie_verwässert!A$3:AK$103,11,FALSE))),""),"")</f>
        <v>0.48498845265588914</v>
      </c>
      <c r="Z17" s="71">
        <f>IF(VLOOKUP(A17,Dividende_je_Aktie!A$3:AM$103,12,FALSE)&lt;&gt;"",IF(VLOOKUP(A17,Ergebnis_je_Aktie_verwässert!A$3:AK$103,12,FALSE)&lt;&gt;"",IF(VLOOKUP(A17,Ergebnis_je_Aktie_verwässert!A$3:AK$103,12,FALSE)&lt;=0,2,IF(VLOOKUP(A17,Dividende_je_Aktie!A$3:AM$103,12,FALSE)/VLOOKUP(A17,Ergebnis_je_Aktie_verwässert!A$3:AK$103,12,FALSE)&gt;=2,2,VLOOKUP(A17,Dividende_je_Aktie!A$3:AM$103,12,FALSE)/VLOOKUP(A17,Ergebnis_je_Aktie_verwässert!A$3:AK$103,12,FALSE))),""),"")</f>
        <v>0.48101265822784806</v>
      </c>
      <c r="AA17" s="71">
        <f>IF(VLOOKUP(A17,Dividende_je_Aktie!A$3:AM$103,13,FALSE)&lt;&gt;"",IF(VLOOKUP(A17,Ergebnis_je_Aktie_verwässert!A$3:AK$103,13,FALSE)&lt;&gt;"",IF(VLOOKUP(A17,Ergebnis_je_Aktie_verwässert!A$3:AK$103,13,FALSE)&lt;=0,2,IF(VLOOKUP(A17,Dividende_je_Aktie!A$3:AM$103,13,FALSE)/VLOOKUP(A17,Ergebnis_je_Aktie_verwässert!A$3:AK$103,13,FALSE)&gt;=2,2,VLOOKUP(A17,Dividende_je_Aktie!A$3:AM$103,13,FALSE)/VLOOKUP(A17,Ergebnis_je_Aktie_verwässert!A$3:AK$103,13,FALSE))),""),"")</f>
        <v>0.4634831460674157</v>
      </c>
      <c r="AB17" s="71">
        <f>IF(VLOOKUP(A17,Dividende_je_Aktie!A$3:AM$103,14,FALSE)&lt;&gt;"",IF(VLOOKUP(A17,Ergebnis_je_Aktie_verwässert!A$3:AK$103,14,FALSE)&lt;&gt;"",IF(VLOOKUP(A17,Ergebnis_je_Aktie_verwässert!A$3:AK$103,14,FALSE)&lt;=0,2,IF(VLOOKUP(A17,Dividende_je_Aktie!A$3:AM$103,14,FALSE)/VLOOKUP(A17,Ergebnis_je_Aktie_verwässert!A$3:AK$103,14,FALSE)&gt;=2,2,VLOOKUP(A17,Dividende_je_Aktie!A$3:AM$103,14,FALSE)/VLOOKUP(A17,Ergebnis_je_Aktie_verwässert!A$3:AK$103,14,FALSE))),""),"")</f>
        <v>0.6696428571428571</v>
      </c>
      <c r="AC17" s="71">
        <f>IF(VLOOKUP(A17,Dividende_je_Aktie!A$3:AM$103,15,FALSE)&lt;&gt;"",IF(VLOOKUP(A17,Ergebnis_je_Aktie_verwässert!A$3:AK$103,15,FALSE)&lt;&gt;"",IF(VLOOKUP(A17,Ergebnis_je_Aktie_verwässert!A$3:AK$103,15,FALSE)&lt;=0,2,IF(VLOOKUP(A17,Dividende_je_Aktie!A$3:AM$103,15,FALSE)/VLOOKUP(A17,Ergebnis_je_Aktie_verwässert!A$3:AK$103,15,FALSE)&gt;=2,2,VLOOKUP(A17,Dividende_je_Aktie!A$3:AM$103,15,FALSE)/VLOOKUP(A17,Ergebnis_je_Aktie_verwässert!A$3:AK$103,15,FALSE))),""),"")</f>
        <v>0.61674008810572678</v>
      </c>
      <c r="AD17" s="71">
        <f>IF(VLOOKUP(A17,Dividende_je_Aktie!A$3:AM$103,16,FALSE)&lt;&gt;"",IF(VLOOKUP(A17,Ergebnis_je_Aktie_verwässert!A$3:AK$103,16,FALSE)&lt;&gt;"",IF(VLOOKUP(A17,Ergebnis_je_Aktie_verwässert!A$3:AK$103,16,FALSE)&lt;=0,2,IF(VLOOKUP(A17,Dividende_je_Aktie!A$3:AM$103,16,FALSE)/VLOOKUP(A17,Ergebnis_je_Aktie_verwässert!A$3:AK$103,16,FALSE)&gt;=2,2,VLOOKUP(A17,Dividende_je_Aktie!A$3:AM$103,16,FALSE)/VLOOKUP(A17,Ergebnis_je_Aktie_verwässert!A$3:AK$103,16,FALSE))),""),"")</f>
        <v>0.49122807017543857</v>
      </c>
      <c r="AE17" s="71">
        <f>IF(VLOOKUP(A17,Dividende_je_Aktie!A$3:AM$103,17,FALSE)&lt;&gt;"",IF(VLOOKUP(A17,Ergebnis_je_Aktie_verwässert!A$3:AK$103,17,FALSE)&lt;&gt;"",IF(VLOOKUP(A17,Ergebnis_je_Aktie_verwässert!A$3:AK$103,17,FALSE)&lt;=0,2,IF(VLOOKUP(A17,Dividende_je_Aktie!A$3:AM$103,17,FALSE)/VLOOKUP(A17,Ergebnis_je_Aktie_verwässert!A$3:AK$103,17,FALSE)&gt;=2,2,VLOOKUP(A17,Dividende_je_Aktie!A$3:AM$103,17,FALSE)/VLOOKUP(A17,Ergebnis_je_Aktie_verwässert!A$3:AK$103,17,FALSE))),""),"")</f>
        <v>0.51136363636363635</v>
      </c>
      <c r="AF17" s="71">
        <f>IF(VLOOKUP(A17,Dividende_je_Aktie!A$3:AM$103,18,FALSE)&lt;&gt;"",IF(VLOOKUP(A17,Ergebnis_je_Aktie_verwässert!A$3:AK$103,18,FALSE)&lt;&gt;"",IF(VLOOKUP(A17,Ergebnis_je_Aktie_verwässert!A$3:AK$103,18,FALSE)&lt;=0,2,IF(VLOOKUP(A17,Dividende_je_Aktie!A$3:AM$103,18,FALSE)/VLOOKUP(A17,Ergebnis_je_Aktie_verwässert!A$3:AK$103,18,FALSE)&gt;=2,2,VLOOKUP(A17,Dividende_je_Aktie!A$3:AM$103,18,FALSE)/VLOOKUP(A17,Ergebnis_je_Aktie_verwässert!A$3:AK$103,18,FALSE))),""),"")</f>
        <v>0.4366812227074236</v>
      </c>
      <c r="AG17" s="105">
        <f t="shared" si="1"/>
        <v>0.50167965612547116</v>
      </c>
      <c r="AH17" s="4">
        <f t="shared" ca="1" si="2"/>
        <v>0</v>
      </c>
      <c r="AI17" s="4">
        <f t="shared" ca="1" si="3"/>
        <v>108</v>
      </c>
      <c r="AJ17" s="4">
        <f t="shared" ca="1" si="4"/>
        <v>252</v>
      </c>
      <c r="AK17" s="10">
        <f t="shared" ca="1" si="5"/>
        <v>0.47012282468804212</v>
      </c>
      <c r="AL17" s="5">
        <f t="shared" ca="1" si="6"/>
        <v>-6.2902354225694568E-2</v>
      </c>
    </row>
    <row r="18" spans="1:38">
      <c r="A18" t="s">
        <v>268</v>
      </c>
      <c r="B18" t="s">
        <v>274</v>
      </c>
      <c r="C18" s="60">
        <v>31</v>
      </c>
      <c r="D18" s="60">
        <v>12</v>
      </c>
      <c r="E18" s="60">
        <v>2016</v>
      </c>
      <c r="F18" s="71">
        <f>IF(VLOOKUP(A18,Dividende_je_Aktie!A$3:AM$103,6,FALSE)&lt;&gt;"",IF(VLOOKUP(A18,Ergebnis_je_Aktie_verwässert!A$3:AK$103,6,FALSE)&lt;&gt;"",IF(VLOOKUP(A18,Ergebnis_je_Aktie_verwässert!A$3:AK$103,6,FALSE)&lt;=0,2,IF(VLOOKUP(A18,Dividende_je_Aktie!A$3:AM$103,6,FALSE)/VLOOKUP(A18,Ergebnis_je_Aktie_verwässert!A$3:AK$103,6,FALSE)&gt;=2,2,VLOOKUP(A18,Dividende_je_Aktie!A$3:AM$103,6,FALSE)/VLOOKUP(A18,Ergebnis_je_Aktie_verwässert!A$3:AK$103,6,FALSE))),""),"")</f>
        <v>0.46632653061224488</v>
      </c>
      <c r="G18" s="71">
        <f>IF(VLOOKUP(A18,Dividende_je_Aktie!A$3:AM$103,7,FALSE)&lt;&gt;"",IF(VLOOKUP(A18,Ergebnis_je_Aktie_verwässert!A$3:AK$103,7,FALSE)&lt;&gt;"",IF(VLOOKUP(A18,Ergebnis_je_Aktie_verwässert!A$3:AK$103,7,FALSE)&lt;=0,2,IF(VLOOKUP(A18,Dividende_je_Aktie!A$3:AM$103,7,FALSE)/VLOOKUP(A18,Ergebnis_je_Aktie_verwässert!A$3:AK$103,7,FALSE)&gt;=2,2,VLOOKUP(A18,Dividende_je_Aktie!A$3:AM$103,7,FALSE)/VLOOKUP(A18,Ergebnis_je_Aktie_verwässert!A$3:AK$103,7,FALSE))),""),"")</f>
        <v>0.46494252873563219</v>
      </c>
      <c r="H18" s="71">
        <f>IF(VLOOKUP(A18,Fiktive_Dividende!A$3:AM$103,14,FALSE)&lt;&gt;"",IF(VLOOKUP(A18,Ergebnis_je_Aktie_verwässert!A$3:AK$103,8,FALSE)&lt;&gt;"",IF(VLOOKUP(A18,Ergebnis_je_Aktie_verwässert!A$3:AK$103,8,FALSE)&lt;=0,2,IF(VLOOKUP(A18,Fiktive_Dividende!A$3:AM$103,14,FALSE)/VLOOKUP(A18,Ergebnis_je_Aktie_verwässert!A$3:AK$103,8,FALSE)&gt;=2,2,VLOOKUP(A18,Fiktive_Dividende!A$3:AM$103,14,FALSE)/VLOOKUP(A18,Ergebnis_je_Aktie_verwässert!A$3:AK$103,8,FALSE))),""),"")</f>
        <v>0.46580645161290318</v>
      </c>
      <c r="I18" s="71">
        <f>IF(VLOOKUP(A18,Fiktive_Dividende!A$3:AM$103,15,FALSE)&lt;&gt;"",IF(VLOOKUP(A18,Ergebnis_je_Aktie_verwässert!A$3:AK$103,9,FALSE)&lt;&gt;"",IF(VLOOKUP(A18,Ergebnis_je_Aktie_verwässert!A$3:AK$103,9,FALSE)&lt;=0,2,IF(VLOOKUP(A18,Fiktive_Dividende!A$3:AM$103,15,FALSE)/VLOOKUP(A18,Ergebnis_je_Aktie_verwässert!A$3:AK$103,9,FALSE)&gt;=2,2,VLOOKUP(A18,Fiktive_Dividende!A$3:AM$103,15,FALSE)/VLOOKUP(A18,Ergebnis_je_Aktie_verwässert!A$3:AK$103,9,FALSE))),""),"")</f>
        <v>1.0421882111970868</v>
      </c>
      <c r="J18" s="71">
        <f>IF(VLOOKUP(A18,Fiktive_Dividende!A$3:AM$103,16,FALSE)&lt;&gt;"",IF(VLOOKUP(A18,Ergebnis_je_Aktie_verwässert!A$3:AK$103,10,FALSE)&lt;&gt;"",IF(VLOOKUP(A18,Ergebnis_je_Aktie_verwässert!A$3:AK$103,10,FALSE)&lt;=0,2,IF(VLOOKUP(A18,Fiktive_Dividende!A$3:AM$103,16,FALSE)/VLOOKUP(A18,Ergebnis_je_Aktie_verwässert!A$3:AK$103,10,FALSE)&gt;=2,2,VLOOKUP(A18,Fiktive_Dividende!A$3:AM$103,16,FALSE)/VLOOKUP(A18,Ergebnis_je_Aktie_verwässert!A$3:AK$103,10,FALSE))),""),"")</f>
        <v>1.4717730602761798</v>
      </c>
      <c r="K18" s="71">
        <f>IF(VLOOKUP(A18,Fiktive_Dividende!A$3:AM$103,17,FALSE)&lt;&gt;"",IF(VLOOKUP(A18,Ergebnis_je_Aktie_verwässert!A$3:AK$103,11,FALSE)&lt;&gt;"",IF(VLOOKUP(A18,Ergebnis_je_Aktie_verwässert!A$3:AK$103,11,FALSE)&lt;=0,2,IF(VLOOKUP(A18,Fiktive_Dividende!A$3:AM$103,17,FALSE)/VLOOKUP(A18,Ergebnis_je_Aktie_verwässert!A$3:AK$103,11,FALSE)&gt;=2,2,VLOOKUP(A18,Fiktive_Dividende!A$3:AM$103,17,FALSE)/VLOOKUP(A18,Ergebnis_je_Aktie_verwässert!A$3:AK$103,11,FALSE))),""),"")</f>
        <v>0.86776859504132231</v>
      </c>
      <c r="L18" s="71">
        <f>IF(VLOOKUP(A18,Fiktive_Dividende!A$3:AM$103,18,FALSE)&lt;&gt;"",IF(VLOOKUP(A18,Ergebnis_je_Aktie_verwässert!A$3:AK$103,12,FALSE)&lt;&gt;"",IF(VLOOKUP(A18,Ergebnis_je_Aktie_verwässert!A$3:AK$103,12,FALSE)&lt;=0,2,IF(VLOOKUP(A18,Fiktive_Dividende!A$3:AM$103,18,FALSE)/VLOOKUP(A18,Ergebnis_je_Aktie_verwässert!A$3:AK$103,12,FALSE)&gt;=2,2,VLOOKUP(A18,Fiktive_Dividende!A$3:AM$103,18,FALSE)/VLOOKUP(A18,Ergebnis_je_Aktie_verwässert!A$3:AK$103,12,FALSE))),""),"")</f>
        <v>0.46332046332046334</v>
      </c>
      <c r="M18" s="71">
        <f>IF(VLOOKUP(A18,Fiktive_Dividende!A$3:AM$103,19,FALSE)&lt;&gt;"",IF(VLOOKUP(A18,Ergebnis_je_Aktie_verwässert!A$3:AK$103,13,FALSE)&lt;&gt;"",IF(VLOOKUP(A18,Ergebnis_je_Aktie_verwässert!A$3:AK$103,13,FALSE)&lt;=0,2,IF(VLOOKUP(A18,Fiktive_Dividende!A$3:AM$103,19,FALSE)/VLOOKUP(A18,Ergebnis_je_Aktie_verwässert!A$3:AK$103,13,FALSE)&gt;=2,2,VLOOKUP(A18,Fiktive_Dividende!A$3:AM$103,19,FALSE)/VLOOKUP(A18,Ergebnis_je_Aktie_verwässert!A$3:AK$103,13,FALSE))),""),"")</f>
        <v>1.1026378896882494</v>
      </c>
      <c r="N18" s="71">
        <f>IF(VLOOKUP(A18,Fiktive_Dividende!A$3:AM$103,20,FALSE)&lt;&gt;"",IF(VLOOKUP(A18,Ergebnis_je_Aktie_verwässert!A$3:AK$103,14,FALSE)&lt;&gt;"",IF(VLOOKUP(A18,Ergebnis_je_Aktie_verwässert!A$3:AK$103,14,FALSE)&lt;=0,2,IF(VLOOKUP(A18,Fiktive_Dividende!A$3:AM$103,20,FALSE)/VLOOKUP(A18,Ergebnis_je_Aktie_verwässert!A$3:AK$103,14,FALSE)&gt;=2,2,VLOOKUP(A18,Fiktive_Dividende!A$3:AM$103,20,FALSE)/VLOOKUP(A18,Ergebnis_je_Aktie_verwässert!A$3:AK$103,14,FALSE))),""),"")</f>
        <v>1.1271249076127123</v>
      </c>
      <c r="O18" s="71">
        <f>IF(VLOOKUP(A18,Fiktive_Dividende!A$3:AM$103,21,FALSE)&lt;&gt;"",IF(VLOOKUP(A18,Ergebnis_je_Aktie_verwässert!A$3:AK$103,15,FALSE)&lt;&gt;"",IF(VLOOKUP(A18,Ergebnis_je_Aktie_verwässert!A$3:AK$103,15,FALSE)&lt;=0,2,IF(VLOOKUP(A18,Fiktive_Dividende!A$3:AM$103,21,FALSE)/VLOOKUP(A18,Ergebnis_je_Aktie_verwässert!A$3:AK$103,15,FALSE)&gt;=2,2,VLOOKUP(A18,Fiktive_Dividende!A$3:AM$103,21,FALSE)/VLOOKUP(A18,Ergebnis_je_Aktie_verwässert!A$3:AK$103,15,FALSE))),""),"")</f>
        <v>1.0559026981579149</v>
      </c>
      <c r="P18" s="71">
        <f>IF(VLOOKUP(A18,Fiktive_Dividende!A$3:AM$103,22,FALSE)&lt;&gt;"",IF(VLOOKUP(A18,Ergebnis_je_Aktie_verwässert!A$3:AK$103,16,FALSE)&lt;&gt;"",IF(VLOOKUP(A18,Ergebnis_je_Aktie_verwässert!A$3:AK$103,16,FALSE)&lt;=0,2,IF(VLOOKUP(A18,Fiktive_Dividende!A$3:AM$103,22,FALSE)/VLOOKUP(A18,Ergebnis_je_Aktie_verwässert!A$3:AK$103,16,FALSE)&gt;=2,2,VLOOKUP(A18,Fiktive_Dividende!A$3:AM$103,22,FALSE)/VLOOKUP(A18,Ergebnis_je_Aktie_verwässert!A$3:AK$103,16,FALSE))),""),"")</f>
        <v>0.38585209003215432</v>
      </c>
      <c r="Q18" s="71">
        <f>IF(VLOOKUP(A18,Fiktive_Dividende!A$3:AM$103,23,FALSE)&lt;&gt;"",IF(VLOOKUP(A18,Ergebnis_je_Aktie_verwässert!A$3:AK$103,17,FALSE)&lt;&gt;"",IF(VLOOKUP(A18,Ergebnis_je_Aktie_verwässert!A$3:AK$103,17,FALSE)&lt;=0,2,IF(VLOOKUP(A18,Fiktive_Dividende!A$3:AM$103,23,FALSE)/VLOOKUP(A18,Ergebnis_je_Aktie_verwässert!A$3:AK$103,17,FALSE)&gt;=2,2,VLOOKUP(A18,Fiktive_Dividende!A$3:AM$103,23,FALSE)/VLOOKUP(A18,Ergebnis_je_Aktie_verwässert!A$3:AK$103,17,FALSE))),""),"")</f>
        <v>0.33582089552238803</v>
      </c>
      <c r="R18" s="71">
        <f>IF(VLOOKUP(A18,Fiktive_Dividende!A$3:AM$103,24,FALSE)&lt;&gt;"",IF(VLOOKUP(A18,Ergebnis_je_Aktie_verwässert!A$3:AK$103,18,FALSE)&lt;&gt;"",IF(VLOOKUP(A18,Ergebnis_je_Aktie_verwässert!A$3:AK$103,18,FALSE)&lt;=0,2,IF(VLOOKUP(A18,Fiktive_Dividende!A$3:AM$103,24,FALSE)/VLOOKUP(A18,Ergebnis_je_Aktie_verwässert!A$3:AK$103,18,FALSE)&gt;=2,2,VLOOKUP(A18,Fiktive_Dividende!A$3:AM$103,24,FALSE)/VLOOKUP(A18,Ergebnis_je_Aktie_verwässert!A$3:AK$103,18,FALSE))),""),"")</f>
        <v>0.35</v>
      </c>
      <c r="S18" s="105">
        <f t="shared" si="0"/>
        <v>0.73842033244686556</v>
      </c>
      <c r="T18" s="71">
        <f>IF(VLOOKUP(A18,Dividende_je_Aktie!A$3:AM$103,6,FALSE)&lt;&gt;"",IF(VLOOKUP(A18,Ergebnis_je_Aktie_verwässert!A$3:AK$103,6,FALSE)&lt;&gt;"",IF(VLOOKUP(A18,Ergebnis_je_Aktie_verwässert!A$3:AK$103,6,FALSE)&lt;=0,2,IF(VLOOKUP(A18,Dividende_je_Aktie!A$3:AM$103,6,FALSE)/VLOOKUP(A18,Ergebnis_je_Aktie_verwässert!A$3:AK$103,6,FALSE)&gt;=2,2,VLOOKUP(A18,Dividende_je_Aktie!A$3:AM$103,6,FALSE)/VLOOKUP(A18,Ergebnis_je_Aktie_verwässert!A$3:AK$103,6,FALSE))),""),"")</f>
        <v>0.46632653061224488</v>
      </c>
      <c r="U18" s="71">
        <f>IF(VLOOKUP(A18,Dividende_je_Aktie!A$3:AM$103,7,FALSE)&lt;&gt;"",IF(VLOOKUP(A18,Ergebnis_je_Aktie_verwässert!A$3:AK$103,7,FALSE)&lt;&gt;"",IF(VLOOKUP(A18,Ergebnis_je_Aktie_verwässert!A$3:AK$103,7,FALSE)&lt;=0,2,IF(VLOOKUP(A18,Dividende_je_Aktie!A$3:AM$103,7,FALSE)/VLOOKUP(A18,Ergebnis_je_Aktie_verwässert!A$3:AK$103,7,FALSE)&gt;=2,2,VLOOKUP(A18,Dividende_je_Aktie!A$3:AM$103,7,FALSE)/VLOOKUP(A18,Ergebnis_je_Aktie_verwässert!A$3:AK$103,7,FALSE))),""),"")</f>
        <v>0.46494252873563219</v>
      </c>
      <c r="V18" s="71">
        <f>IF(VLOOKUP(A18,Dividende_je_Aktie!A$3:AM$103,8,FALSE)&lt;&gt;"",IF(VLOOKUP(A18,Ergebnis_je_Aktie_verwässert!A$3:AK$103,8,FALSE)&lt;&gt;"",IF(VLOOKUP(A18,Ergebnis_je_Aktie_verwässert!A$3:AK$103,8,FALSE)&lt;=0,2,IF(VLOOKUP(A18,Dividende_je_Aktie!A$3:AM$103,8,FALSE)/VLOOKUP(A18,Ergebnis_je_Aktie_verwässert!A$3:AK$103,8,FALSE)&gt;=2,2,VLOOKUP(A18,Dividende_je_Aktie!A$3:AM$103,8,FALSE)/VLOOKUP(A18,Ergebnis_je_Aktie_verwässert!A$3:AK$103,8,FALSE))),""),"")</f>
        <v>0.46580645161290318</v>
      </c>
      <c r="W18" s="71">
        <f>IF(VLOOKUP(A18,Dividende_je_Aktie!A$3:AM$103,9,FALSE)&lt;&gt;"",IF(VLOOKUP(A18,Ergebnis_je_Aktie_verwässert!A$3:AK$103,9,FALSE)&lt;&gt;"",IF(VLOOKUP(A18,Ergebnis_je_Aktie_verwässert!A$3:AK$103,9,FALSE)&lt;=0,2,IF(VLOOKUP(A18,Dividende_je_Aktie!A$3:AM$103,9,FALSE)/VLOOKUP(A18,Ergebnis_je_Aktie_verwässert!A$3:AK$103,9,FALSE)&gt;=2,2,VLOOKUP(A18,Dividende_je_Aktie!A$3:AM$103,9,FALSE)/VLOOKUP(A18,Ergebnis_je_Aktie_verwässert!A$3:AK$103,9,FALSE))),""),"")</f>
        <v>0.47337278106508879</v>
      </c>
      <c r="X18" s="71">
        <f>IF(VLOOKUP(A18,Dividende_je_Aktie!A$3:AM$103,10,FALSE)&lt;&gt;"",IF(VLOOKUP(A18,Ergebnis_je_Aktie_verwässert!A$3:AK$103,10,FALSE)&lt;&gt;"",IF(VLOOKUP(A18,Ergebnis_je_Aktie_verwässert!A$3:AK$103,10,FALSE)&lt;=0,2,IF(VLOOKUP(A18,Dividende_je_Aktie!A$3:AM$103,10,FALSE)/VLOOKUP(A18,Ergebnis_je_Aktie_verwässert!A$3:AK$103,10,FALSE)&gt;=2,2,VLOOKUP(A18,Dividende_je_Aktie!A$3:AM$103,10,FALSE)/VLOOKUP(A18,Ergebnis_je_Aktie_verwässert!A$3:AK$103,10,FALSE))),""),"")</f>
        <v>0.49652432969215488</v>
      </c>
      <c r="Y18" s="71">
        <f>IF(VLOOKUP(A18,Dividende_je_Aktie!A$3:AM$103,11,FALSE)&lt;&gt;"",IF(VLOOKUP(A18,Ergebnis_je_Aktie_verwässert!A$3:AK$103,11,FALSE)&lt;&gt;"",IF(VLOOKUP(A18,Ergebnis_je_Aktie_verwässert!A$3:AK$103,11,FALSE)&lt;=0,2,IF(VLOOKUP(A18,Dividende_je_Aktie!A$3:AM$103,11,FALSE)/VLOOKUP(A18,Ergebnis_je_Aktie_verwässert!A$3:AK$103,11,FALSE)&gt;=2,2,VLOOKUP(A18,Dividende_je_Aktie!A$3:AM$103,11,FALSE)/VLOOKUP(A18,Ergebnis_je_Aktie_verwässert!A$3:AK$103,11,FALSE))),""),"")</f>
        <v>0.48128342245989308</v>
      </c>
      <c r="Z18" s="71">
        <f>IF(VLOOKUP(A18,Dividende_je_Aktie!A$3:AM$103,12,FALSE)&lt;&gt;"",IF(VLOOKUP(A18,Ergebnis_je_Aktie_verwässert!A$3:AK$103,12,FALSE)&lt;&gt;"",IF(VLOOKUP(A18,Ergebnis_je_Aktie_verwässert!A$3:AK$103,12,FALSE)&lt;=0,2,IF(VLOOKUP(A18,Dividende_je_Aktie!A$3:AM$103,12,FALSE)/VLOOKUP(A18,Ergebnis_je_Aktie_verwässert!A$3:AK$103,12,FALSE)&gt;=2,2,VLOOKUP(A18,Dividende_je_Aktie!A$3:AM$103,12,FALSE)/VLOOKUP(A18,Ergebnis_je_Aktie_verwässert!A$3:AK$103,12,FALSE))),""),"")</f>
        <v>0.46332046332046334</v>
      </c>
      <c r="AA18" s="71">
        <f>IF(VLOOKUP(A18,Dividende_je_Aktie!A$3:AM$103,13,FALSE)&lt;&gt;"",IF(VLOOKUP(A18,Ergebnis_je_Aktie_verwässert!A$3:AK$103,13,FALSE)&lt;&gt;"",IF(VLOOKUP(A18,Ergebnis_je_Aktie_verwässert!A$3:AK$103,13,FALSE)&lt;=0,2,IF(VLOOKUP(A18,Dividende_je_Aktie!A$3:AM$103,13,FALSE)/VLOOKUP(A18,Ergebnis_je_Aktie_verwässert!A$3:AK$103,13,FALSE)&gt;=2,2,VLOOKUP(A18,Dividende_je_Aktie!A$3:AM$103,13,FALSE)/VLOOKUP(A18,Ergebnis_je_Aktie_verwässert!A$3:AK$103,13,FALSE))),""),"")</f>
        <v>0.46666666666666662</v>
      </c>
      <c r="AB18" s="71">
        <f>IF(VLOOKUP(A18,Dividende_je_Aktie!A$3:AM$103,14,FALSE)&lt;&gt;"",IF(VLOOKUP(A18,Ergebnis_je_Aktie_verwässert!A$3:AK$103,14,FALSE)&lt;&gt;"",IF(VLOOKUP(A18,Ergebnis_je_Aktie_verwässert!A$3:AK$103,14,FALSE)&lt;=0,2,IF(VLOOKUP(A18,Dividende_je_Aktie!A$3:AM$103,14,FALSE)/VLOOKUP(A18,Ergebnis_je_Aktie_verwässert!A$3:AK$103,14,FALSE)&gt;=2,2,VLOOKUP(A18,Dividende_je_Aktie!A$3:AM$103,14,FALSE)/VLOOKUP(A18,Ergebnis_je_Aktie_verwässert!A$3:AK$103,14,FALSE))),""),"")</f>
        <v>0.4065040650406504</v>
      </c>
      <c r="AC18" s="71">
        <f>IF(VLOOKUP(A18,Dividende_je_Aktie!A$3:AM$103,15,FALSE)&lt;&gt;"",IF(VLOOKUP(A18,Ergebnis_je_Aktie_verwässert!A$3:AK$103,15,FALSE)&lt;&gt;"",IF(VLOOKUP(A18,Ergebnis_je_Aktie_verwässert!A$3:AK$103,15,FALSE)&lt;=0,2,IF(VLOOKUP(A18,Dividende_je_Aktie!A$3:AM$103,15,FALSE)/VLOOKUP(A18,Ergebnis_je_Aktie_verwässert!A$3:AK$103,15,FALSE)&gt;=2,2,VLOOKUP(A18,Dividende_je_Aktie!A$3:AM$103,15,FALSE)/VLOOKUP(A18,Ergebnis_je_Aktie_verwässert!A$3:AK$103,15,FALSE))),""),"")</f>
        <v>0.42134831460674155</v>
      </c>
      <c r="AD18" s="71">
        <f>IF(VLOOKUP(A18,Dividende_je_Aktie!A$3:AM$103,16,FALSE)&lt;&gt;"",IF(VLOOKUP(A18,Ergebnis_je_Aktie_verwässert!A$3:AK$103,16,FALSE)&lt;&gt;"",IF(VLOOKUP(A18,Ergebnis_je_Aktie_verwässert!A$3:AK$103,16,FALSE)&lt;=0,2,IF(VLOOKUP(A18,Dividende_je_Aktie!A$3:AM$103,16,FALSE)/VLOOKUP(A18,Ergebnis_je_Aktie_verwässert!A$3:AK$103,16,FALSE)&gt;=2,2,VLOOKUP(A18,Dividende_je_Aktie!A$3:AM$103,16,FALSE)/VLOOKUP(A18,Ergebnis_je_Aktie_verwässert!A$3:AK$103,16,FALSE))),""),"")</f>
        <v>0.38585209003215432</v>
      </c>
      <c r="AE18" s="71">
        <f>IF(VLOOKUP(A18,Dividende_je_Aktie!A$3:AM$103,17,FALSE)&lt;&gt;"",IF(VLOOKUP(A18,Ergebnis_je_Aktie_verwässert!A$3:AK$103,17,FALSE)&lt;&gt;"",IF(VLOOKUP(A18,Ergebnis_je_Aktie_verwässert!A$3:AK$103,17,FALSE)&lt;=0,2,IF(VLOOKUP(A18,Dividende_je_Aktie!A$3:AM$103,17,FALSE)/VLOOKUP(A18,Ergebnis_je_Aktie_verwässert!A$3:AK$103,17,FALSE)&gt;=2,2,VLOOKUP(A18,Dividende_je_Aktie!A$3:AM$103,17,FALSE)/VLOOKUP(A18,Ergebnis_je_Aktie_verwässert!A$3:AK$103,17,FALSE))),""),"")</f>
        <v>0.33582089552238803</v>
      </c>
      <c r="AF18" s="71">
        <f>IF(VLOOKUP(A18,Dividende_je_Aktie!A$3:AM$103,18,FALSE)&lt;&gt;"",IF(VLOOKUP(A18,Ergebnis_je_Aktie_verwässert!A$3:AK$103,18,FALSE)&lt;&gt;"",IF(VLOOKUP(A18,Ergebnis_je_Aktie_verwässert!A$3:AK$103,18,FALSE)&lt;=0,2,IF(VLOOKUP(A18,Dividende_je_Aktie!A$3:AM$103,18,FALSE)/VLOOKUP(A18,Ergebnis_je_Aktie_verwässert!A$3:AK$103,18,FALSE)&gt;=2,2,VLOOKUP(A18,Dividende_je_Aktie!A$3:AM$103,18,FALSE)/VLOOKUP(A18,Ergebnis_je_Aktie_verwässert!A$3:AK$103,18,FALSE))),""),"")</f>
        <v>0.35</v>
      </c>
      <c r="AG18" s="105">
        <f t="shared" si="1"/>
        <v>0.43675142610515238</v>
      </c>
      <c r="AH18" s="4">
        <f t="shared" ca="1" si="2"/>
        <v>0</v>
      </c>
      <c r="AI18" s="4">
        <f t="shared" ca="1" si="3"/>
        <v>108</v>
      </c>
      <c r="AJ18" s="4">
        <f t="shared" ca="1" si="4"/>
        <v>252</v>
      </c>
      <c r="AK18" s="10">
        <f t="shared" ca="1" si="5"/>
        <v>0.46554727474972191</v>
      </c>
      <c r="AL18" s="5">
        <f t="shared" ca="1" si="6"/>
        <v>6.5931893803677255E-2</v>
      </c>
    </row>
    <row r="19" spans="1:38">
      <c r="A19" t="s">
        <v>26</v>
      </c>
      <c r="B19" t="s">
        <v>27</v>
      </c>
      <c r="C19" s="60">
        <v>31</v>
      </c>
      <c r="D19" s="60">
        <v>12</v>
      </c>
      <c r="E19" s="60">
        <v>2016</v>
      </c>
      <c r="F19" s="71">
        <f>IF(VLOOKUP(A19,Dividende_je_Aktie!A$3:AM$103,6,FALSE)&lt;&gt;"",IF(VLOOKUP(A19,Ergebnis_je_Aktie_verwässert!A$3:AK$103,6,FALSE)&lt;&gt;"",IF(VLOOKUP(A19,Ergebnis_je_Aktie_verwässert!A$3:AK$103,6,FALSE)&lt;=0,2,IF(VLOOKUP(A19,Dividende_je_Aktie!A$3:AM$103,6,FALSE)/VLOOKUP(A19,Ergebnis_je_Aktie_verwässert!A$3:AK$103,6,FALSE)&gt;=2,2,VLOOKUP(A19,Dividende_je_Aktie!A$3:AM$103,6,FALSE)/VLOOKUP(A19,Ergebnis_je_Aktie_verwässert!A$3:AK$103,6,FALSE))),""),"")</f>
        <v>0.91463414634146345</v>
      </c>
      <c r="G19" s="71">
        <f>IF(VLOOKUP(A19,Dividende_je_Aktie!A$3:AM$103,7,FALSE)&lt;&gt;"",IF(VLOOKUP(A19,Ergebnis_je_Aktie_verwässert!A$3:AK$103,7,FALSE)&lt;&gt;"",IF(VLOOKUP(A19,Ergebnis_je_Aktie_verwässert!A$3:AK$103,7,FALSE)&lt;=0,2,IF(VLOOKUP(A19,Dividende_je_Aktie!A$3:AM$103,7,FALSE)/VLOOKUP(A19,Ergebnis_je_Aktie_verwässert!A$3:AK$103,7,FALSE)&gt;=2,2,VLOOKUP(A19,Dividende_je_Aktie!A$3:AM$103,7,FALSE)/VLOOKUP(A19,Ergebnis_je_Aktie_verwässert!A$3:AK$103,7,FALSE))),""),"")</f>
        <v>0.93333333333333324</v>
      </c>
      <c r="H19" s="71">
        <f>IF(VLOOKUP(A19,Fiktive_Dividende!A$3:AM$103,14,FALSE)&lt;&gt;"",IF(VLOOKUP(A19,Ergebnis_je_Aktie_verwässert!A$3:AK$103,8,FALSE)&lt;&gt;"",IF(VLOOKUP(A19,Ergebnis_je_Aktie_verwässert!A$3:AK$103,8,FALSE)&lt;=0,2,IF(VLOOKUP(A19,Fiktive_Dividende!A$3:AM$103,14,FALSE)/VLOOKUP(A19,Ergebnis_je_Aktie_verwässert!A$3:AK$103,8,FALSE)&gt;=2,2,VLOOKUP(A19,Fiktive_Dividende!A$3:AM$103,14,FALSE)/VLOOKUP(A19,Ergebnis_je_Aktie_verwässert!A$3:AK$103,8,FALSE))),""),"")</f>
        <v>1.0289855072463769</v>
      </c>
      <c r="I19" s="71">
        <f>IF(VLOOKUP(A19,Fiktive_Dividende!A$3:AM$103,15,FALSE)&lt;&gt;"",IF(VLOOKUP(A19,Ergebnis_je_Aktie_verwässert!A$3:AK$103,9,FALSE)&lt;&gt;"",IF(VLOOKUP(A19,Ergebnis_je_Aktie_verwässert!A$3:AK$103,9,FALSE)&lt;=0,2,IF(VLOOKUP(A19,Fiktive_Dividende!A$3:AM$103,15,FALSE)/VLOOKUP(A19,Ergebnis_je_Aktie_verwässert!A$3:AK$103,9,FALSE)&gt;=2,2,VLOOKUP(A19,Fiktive_Dividende!A$3:AM$103,15,FALSE)/VLOOKUP(A19,Ergebnis_je_Aktie_verwässert!A$3:AK$103,9,FALSE))),""),"")</f>
        <v>0.76923076923076927</v>
      </c>
      <c r="J19" s="71">
        <f>IF(VLOOKUP(A19,Fiktive_Dividende!A$3:AM$103,16,FALSE)&lt;&gt;"",IF(VLOOKUP(A19,Ergebnis_je_Aktie_verwässert!A$3:AK$103,10,FALSE)&lt;&gt;"",IF(VLOOKUP(A19,Ergebnis_je_Aktie_verwässert!A$3:AK$103,10,FALSE)&lt;=0,2,IF(VLOOKUP(A19,Fiktive_Dividende!A$3:AM$103,16,FALSE)/VLOOKUP(A19,Ergebnis_je_Aktie_verwässert!A$3:AK$103,10,FALSE)&gt;=2,2,VLOOKUP(A19,Fiktive_Dividende!A$3:AM$103,16,FALSE)/VLOOKUP(A19,Ergebnis_je_Aktie_verwässert!A$3:AK$103,10,FALSE))),""),"")</f>
        <v>0.65573770491803285</v>
      </c>
      <c r="K19" s="71">
        <f>IF(VLOOKUP(A19,Fiktive_Dividende!A$3:AM$103,17,FALSE)&lt;&gt;"",IF(VLOOKUP(A19,Ergebnis_je_Aktie_verwässert!A$3:AK$103,11,FALSE)&lt;&gt;"",IF(VLOOKUP(A19,Ergebnis_je_Aktie_verwässert!A$3:AK$103,11,FALSE)&lt;=0,2,IF(VLOOKUP(A19,Fiktive_Dividende!A$3:AM$103,17,FALSE)/VLOOKUP(A19,Ergebnis_je_Aktie_verwässert!A$3:AK$103,11,FALSE)&gt;=2,2,VLOOKUP(A19,Fiktive_Dividende!A$3:AM$103,17,FALSE)/VLOOKUP(A19,Ergebnis_je_Aktie_verwässert!A$3:AK$103,11,FALSE))),""),"")</f>
        <v>0.74257425742574257</v>
      </c>
      <c r="L19" s="71">
        <f>IF(VLOOKUP(A19,Fiktive_Dividende!A$3:AM$103,18,FALSE)&lt;&gt;"",IF(VLOOKUP(A19,Ergebnis_je_Aktie_verwässert!A$3:AK$103,12,FALSE)&lt;&gt;"",IF(VLOOKUP(A19,Ergebnis_je_Aktie_verwässert!A$3:AK$103,12,FALSE)&lt;=0,2,IF(VLOOKUP(A19,Fiktive_Dividende!A$3:AM$103,18,FALSE)/VLOOKUP(A19,Ergebnis_je_Aktie_verwässert!A$3:AK$103,12,FALSE)&gt;=2,2,VLOOKUP(A19,Fiktive_Dividende!A$3:AM$103,18,FALSE)/VLOOKUP(A19,Ergebnis_je_Aktie_verwässert!A$3:AK$103,12,FALSE))),""),"")</f>
        <v>0.94252873563218387</v>
      </c>
      <c r="M19" s="71">
        <f>IF(VLOOKUP(A19,Fiktive_Dividende!A$3:AM$103,19,FALSE)&lt;&gt;"",IF(VLOOKUP(A19,Ergebnis_je_Aktie_verwässert!A$3:AK$103,13,FALSE)&lt;&gt;"",IF(VLOOKUP(A19,Ergebnis_je_Aktie_verwässert!A$3:AK$103,13,FALSE)&lt;=0,2,IF(VLOOKUP(A19,Fiktive_Dividende!A$3:AM$103,19,FALSE)/VLOOKUP(A19,Ergebnis_je_Aktie_verwässert!A$3:AK$103,13,FALSE)&gt;=2,2,VLOOKUP(A19,Fiktive_Dividende!A$3:AM$103,19,FALSE)/VLOOKUP(A19,Ergebnis_je_Aktie_verwässert!A$3:AK$103,13,FALSE))),""),"")</f>
        <v>1.2938659203428657</v>
      </c>
      <c r="N19" s="71">
        <f>IF(VLOOKUP(A19,Fiktive_Dividende!A$3:AM$103,20,FALSE)&lt;&gt;"",IF(VLOOKUP(A19,Ergebnis_je_Aktie_verwässert!A$3:AK$103,14,FALSE)&lt;&gt;"",IF(VLOOKUP(A19,Ergebnis_je_Aktie_verwässert!A$3:AK$103,14,FALSE)&lt;=0,2,IF(VLOOKUP(A19,Fiktive_Dividende!A$3:AM$103,20,FALSE)/VLOOKUP(A19,Ergebnis_je_Aktie_verwässert!A$3:AK$103,14,FALSE)&gt;=2,2,VLOOKUP(A19,Fiktive_Dividende!A$3:AM$103,20,FALSE)/VLOOKUP(A19,Ergebnis_je_Aktie_verwässert!A$3:AK$103,14,FALSE))),""),"")</f>
        <v>0.62946729569020599</v>
      </c>
      <c r="O19" s="71">
        <f>IF(VLOOKUP(A19,Fiktive_Dividende!A$3:AM$103,21,FALSE)&lt;&gt;"",IF(VLOOKUP(A19,Ergebnis_je_Aktie_verwässert!A$3:AK$103,15,FALSE)&lt;&gt;"",IF(VLOOKUP(A19,Ergebnis_je_Aktie_verwässert!A$3:AK$103,15,FALSE)&lt;=0,2,IF(VLOOKUP(A19,Fiktive_Dividende!A$3:AM$103,21,FALSE)/VLOOKUP(A19,Ergebnis_je_Aktie_verwässert!A$3:AK$103,15,FALSE)&gt;=2,2,VLOOKUP(A19,Fiktive_Dividende!A$3:AM$103,21,FALSE)/VLOOKUP(A19,Ergebnis_je_Aktie_verwässert!A$3:AK$103,15,FALSE))),""),"")</f>
        <v>0.96588715364074584</v>
      </c>
      <c r="P19" s="71">
        <f>IF(VLOOKUP(A19,Fiktive_Dividende!A$3:AM$103,22,FALSE)&lt;&gt;"",IF(VLOOKUP(A19,Ergebnis_je_Aktie_verwässert!A$3:AK$103,16,FALSE)&lt;&gt;"",IF(VLOOKUP(A19,Ergebnis_je_Aktie_verwässert!A$3:AK$103,16,FALSE)&lt;=0,2,IF(VLOOKUP(A19,Fiktive_Dividende!A$3:AM$103,22,FALSE)/VLOOKUP(A19,Ergebnis_je_Aktie_verwässert!A$3:AK$103,16,FALSE)&gt;=2,2,VLOOKUP(A19,Fiktive_Dividende!A$3:AM$103,22,FALSE)/VLOOKUP(A19,Ergebnis_je_Aktie_verwässert!A$3:AK$103,16,FALSE))),""),"")</f>
        <v>0.69475104803009469</v>
      </c>
      <c r="Q19" s="71">
        <f>IF(VLOOKUP(A19,Fiktive_Dividende!A$3:AM$103,23,FALSE)&lt;&gt;"",IF(VLOOKUP(A19,Ergebnis_je_Aktie_verwässert!A$3:AK$103,17,FALSE)&lt;&gt;"",IF(VLOOKUP(A19,Ergebnis_je_Aktie_verwässert!A$3:AK$103,17,FALSE)&lt;=0,2,IF(VLOOKUP(A19,Fiktive_Dividende!A$3:AM$103,23,FALSE)/VLOOKUP(A19,Ergebnis_je_Aktie_verwässert!A$3:AK$103,17,FALSE)&gt;=2,2,VLOOKUP(A19,Fiktive_Dividende!A$3:AM$103,23,FALSE)/VLOOKUP(A19,Ergebnis_je_Aktie_verwässert!A$3:AK$103,17,FALSE))),""),"")</f>
        <v>0.71347248576850075</v>
      </c>
      <c r="R19" s="71">
        <f>IF(VLOOKUP(A19,Fiktive_Dividende!A$3:AM$103,24,FALSE)&lt;&gt;"",IF(VLOOKUP(A19,Ergebnis_je_Aktie_verwässert!A$3:AK$103,18,FALSE)&lt;&gt;"",IF(VLOOKUP(A19,Ergebnis_je_Aktie_verwässert!A$3:AK$103,18,FALSE)&lt;=0,2,IF(VLOOKUP(A19,Fiktive_Dividende!A$3:AM$103,24,FALSE)/VLOOKUP(A19,Ergebnis_je_Aktie_verwässert!A$3:AK$103,18,FALSE)&gt;=2,2,VLOOKUP(A19,Fiktive_Dividende!A$3:AM$103,24,FALSE)/VLOOKUP(A19,Ergebnis_je_Aktie_verwässert!A$3:AK$103,18,FALSE))),""),"")</f>
        <v>0.42307692307692307</v>
      </c>
      <c r="S19" s="105">
        <f t="shared" si="0"/>
        <v>0.82365732928286428</v>
      </c>
      <c r="T19" s="71">
        <f>IF(VLOOKUP(A19,Dividende_je_Aktie!A$3:AM$103,6,FALSE)&lt;&gt;"",IF(VLOOKUP(A19,Ergebnis_je_Aktie_verwässert!A$3:AK$103,6,FALSE)&lt;&gt;"",IF(VLOOKUP(A19,Ergebnis_je_Aktie_verwässert!A$3:AK$103,6,FALSE)&lt;=0,2,IF(VLOOKUP(A19,Dividende_je_Aktie!A$3:AM$103,6,FALSE)/VLOOKUP(A19,Ergebnis_je_Aktie_verwässert!A$3:AK$103,6,FALSE)&gt;=2,2,VLOOKUP(A19,Dividende_je_Aktie!A$3:AM$103,6,FALSE)/VLOOKUP(A19,Ergebnis_je_Aktie_verwässert!A$3:AK$103,6,FALSE))),""),"")</f>
        <v>0.91463414634146345</v>
      </c>
      <c r="U19" s="71">
        <f>IF(VLOOKUP(A19,Dividende_je_Aktie!A$3:AM$103,7,FALSE)&lt;&gt;"",IF(VLOOKUP(A19,Ergebnis_je_Aktie_verwässert!A$3:AK$103,7,FALSE)&lt;&gt;"",IF(VLOOKUP(A19,Ergebnis_je_Aktie_verwässert!A$3:AK$103,7,FALSE)&lt;=0,2,IF(VLOOKUP(A19,Dividende_je_Aktie!A$3:AM$103,7,FALSE)/VLOOKUP(A19,Ergebnis_je_Aktie_verwässert!A$3:AK$103,7,FALSE)&gt;=2,2,VLOOKUP(A19,Dividende_je_Aktie!A$3:AM$103,7,FALSE)/VLOOKUP(A19,Ergebnis_je_Aktie_verwässert!A$3:AK$103,7,FALSE))),""),"")</f>
        <v>0.93333333333333324</v>
      </c>
      <c r="V19" s="71">
        <f>IF(VLOOKUP(A19,Dividende_je_Aktie!A$3:AM$103,8,FALSE)&lt;&gt;"",IF(VLOOKUP(A19,Ergebnis_je_Aktie_verwässert!A$3:AK$103,8,FALSE)&lt;&gt;"",IF(VLOOKUP(A19,Ergebnis_je_Aktie_verwässert!A$3:AK$103,8,FALSE)&lt;=0,2,IF(VLOOKUP(A19,Dividende_je_Aktie!A$3:AM$103,8,FALSE)/VLOOKUP(A19,Ergebnis_je_Aktie_verwässert!A$3:AK$103,8,FALSE)&gt;=2,2,VLOOKUP(A19,Dividende_je_Aktie!A$3:AM$103,8,FALSE)/VLOOKUP(A19,Ergebnis_je_Aktie_verwässert!A$3:AK$103,8,FALSE))),""),"")</f>
        <v>1.0289855072463769</v>
      </c>
      <c r="W19" s="71">
        <f>IF(VLOOKUP(A19,Dividende_je_Aktie!A$3:AM$103,9,FALSE)&lt;&gt;"",IF(VLOOKUP(A19,Ergebnis_je_Aktie_verwässert!A$3:AK$103,9,FALSE)&lt;&gt;"",IF(VLOOKUP(A19,Ergebnis_je_Aktie_verwässert!A$3:AK$103,9,FALSE)&lt;=0,2,IF(VLOOKUP(A19,Dividende_je_Aktie!A$3:AM$103,9,FALSE)/VLOOKUP(A19,Ergebnis_je_Aktie_verwässert!A$3:AK$103,9,FALSE)&gt;=2,2,VLOOKUP(A19,Dividende_je_Aktie!A$3:AM$103,9,FALSE)/VLOOKUP(A19,Ergebnis_je_Aktie_verwässert!A$3:AK$103,9,FALSE))),""),"")</f>
        <v>0.76923076923076927</v>
      </c>
      <c r="X19" s="71">
        <f>IF(VLOOKUP(A19,Dividende_je_Aktie!A$3:AM$103,10,FALSE)&lt;&gt;"",IF(VLOOKUP(A19,Ergebnis_je_Aktie_verwässert!A$3:AK$103,10,FALSE)&lt;&gt;"",IF(VLOOKUP(A19,Ergebnis_je_Aktie_verwässert!A$3:AK$103,10,FALSE)&lt;=0,2,IF(VLOOKUP(A19,Dividende_je_Aktie!A$3:AM$103,10,FALSE)/VLOOKUP(A19,Ergebnis_je_Aktie_verwässert!A$3:AK$103,10,FALSE)&gt;=2,2,VLOOKUP(A19,Dividende_je_Aktie!A$3:AM$103,10,FALSE)/VLOOKUP(A19,Ergebnis_je_Aktie_verwässert!A$3:AK$103,10,FALSE))),""),"")</f>
        <v>0.65573770491803285</v>
      </c>
      <c r="Y19" s="71">
        <f>IF(VLOOKUP(A19,Dividende_je_Aktie!A$3:AM$103,11,FALSE)&lt;&gt;"",IF(VLOOKUP(A19,Ergebnis_je_Aktie_verwässert!A$3:AK$103,11,FALSE)&lt;&gt;"",IF(VLOOKUP(A19,Ergebnis_je_Aktie_verwässert!A$3:AK$103,11,FALSE)&lt;=0,2,IF(VLOOKUP(A19,Dividende_je_Aktie!A$3:AM$103,11,FALSE)/VLOOKUP(A19,Ergebnis_je_Aktie_verwässert!A$3:AK$103,11,FALSE)&gt;=2,2,VLOOKUP(A19,Dividende_je_Aktie!A$3:AM$103,11,FALSE)/VLOOKUP(A19,Ergebnis_je_Aktie_verwässert!A$3:AK$103,11,FALSE))),""),"")</f>
        <v>0.74257425742574257</v>
      </c>
      <c r="Z19" s="71">
        <f>IF(VLOOKUP(A19,Dividende_je_Aktie!A$3:AM$103,12,FALSE)&lt;&gt;"",IF(VLOOKUP(A19,Ergebnis_je_Aktie_verwässert!A$3:AK$103,12,FALSE)&lt;&gt;"",IF(VLOOKUP(A19,Ergebnis_je_Aktie_verwässert!A$3:AK$103,12,FALSE)&lt;=0,2,IF(VLOOKUP(A19,Dividende_je_Aktie!A$3:AM$103,12,FALSE)/VLOOKUP(A19,Ergebnis_je_Aktie_verwässert!A$3:AK$103,12,FALSE)&gt;=2,2,VLOOKUP(A19,Dividende_je_Aktie!A$3:AM$103,12,FALSE)/VLOOKUP(A19,Ergebnis_je_Aktie_verwässert!A$3:AK$103,12,FALSE))),""),"")</f>
        <v>0.94252873563218387</v>
      </c>
      <c r="AA19" s="71">
        <f>IF(VLOOKUP(A19,Dividende_je_Aktie!A$3:AM$103,13,FALSE)&lt;&gt;"",IF(VLOOKUP(A19,Ergebnis_je_Aktie_verwässert!A$3:AK$103,13,FALSE)&lt;&gt;"",IF(VLOOKUP(A19,Ergebnis_je_Aktie_verwässert!A$3:AK$103,13,FALSE)&lt;=0,2,IF(VLOOKUP(A19,Dividende_je_Aktie!A$3:AM$103,13,FALSE)/VLOOKUP(A19,Ergebnis_je_Aktie_verwässert!A$3:AK$103,13,FALSE)&gt;=2,2,VLOOKUP(A19,Dividende_je_Aktie!A$3:AM$103,13,FALSE)/VLOOKUP(A19,Ergebnis_je_Aktie_verwässert!A$3:AK$103,13,FALSE))),""),"")</f>
        <v>1.2666666666666668</v>
      </c>
      <c r="AB19" s="71">
        <f>IF(VLOOKUP(A19,Dividende_je_Aktie!A$3:AM$103,14,FALSE)&lt;&gt;"",IF(VLOOKUP(A19,Ergebnis_je_Aktie_verwässert!A$3:AK$103,14,FALSE)&lt;&gt;"",IF(VLOOKUP(A19,Ergebnis_je_Aktie_verwässert!A$3:AK$103,14,FALSE)&lt;=0,2,IF(VLOOKUP(A19,Dividende_je_Aktie!A$3:AM$103,14,FALSE)/VLOOKUP(A19,Ergebnis_je_Aktie_verwässert!A$3:AK$103,14,FALSE)&gt;=2,2,VLOOKUP(A19,Dividende_je_Aktie!A$3:AM$103,14,FALSE)/VLOOKUP(A19,Ergebnis_je_Aktie_verwässert!A$3:AK$103,14,FALSE))),""),"")</f>
        <v>0.57777777777777783</v>
      </c>
      <c r="AC19" s="71">
        <f>IF(VLOOKUP(A19,Dividende_je_Aktie!A$3:AM$103,15,FALSE)&lt;&gt;"",IF(VLOOKUP(A19,Ergebnis_je_Aktie_verwässert!A$3:AK$103,15,FALSE)&lt;&gt;"",IF(VLOOKUP(A19,Ergebnis_je_Aktie_verwässert!A$3:AK$103,15,FALSE)&lt;=0,2,IF(VLOOKUP(A19,Dividende_je_Aktie!A$3:AM$103,15,FALSE)/VLOOKUP(A19,Ergebnis_je_Aktie_verwässert!A$3:AK$103,15,FALSE)&gt;=2,2,VLOOKUP(A19,Dividende_je_Aktie!A$3:AM$103,15,FALSE)/VLOOKUP(A19,Ergebnis_je_Aktie_verwässert!A$3:AK$103,15,FALSE))),""),"")</f>
        <v>0.58479532163742687</v>
      </c>
      <c r="AD19" s="71">
        <f>IF(VLOOKUP(A19,Dividende_je_Aktie!A$3:AM$103,16,FALSE)&lt;&gt;"",IF(VLOOKUP(A19,Ergebnis_je_Aktie_verwässert!A$3:AK$103,16,FALSE)&lt;&gt;"",IF(VLOOKUP(A19,Ergebnis_je_Aktie_verwässert!A$3:AK$103,16,FALSE)&lt;=0,2,IF(VLOOKUP(A19,Dividende_je_Aktie!A$3:AM$103,16,FALSE)/VLOOKUP(A19,Ergebnis_je_Aktie_verwässert!A$3:AK$103,16,FALSE)&gt;=2,2,VLOOKUP(A19,Dividende_je_Aktie!A$3:AM$103,16,FALSE)/VLOOKUP(A19,Ergebnis_je_Aktie_verwässert!A$3:AK$103,16,FALSE))),""),"")</f>
        <v>0.55214723926380371</v>
      </c>
      <c r="AE19" s="71">
        <f>IF(VLOOKUP(A19,Dividende_je_Aktie!A$3:AM$103,17,FALSE)&lt;&gt;"",IF(VLOOKUP(A19,Ergebnis_je_Aktie_verwässert!A$3:AK$103,17,FALSE)&lt;&gt;"",IF(VLOOKUP(A19,Ergebnis_je_Aktie_verwässert!A$3:AK$103,17,FALSE)&lt;=0,2,IF(VLOOKUP(A19,Dividende_je_Aktie!A$3:AM$103,17,FALSE)/VLOOKUP(A19,Ergebnis_je_Aktie_verwässert!A$3:AK$103,17,FALSE)&gt;=2,2,VLOOKUP(A19,Dividende_je_Aktie!A$3:AM$103,17,FALSE)/VLOOKUP(A19,Ergebnis_je_Aktie_verwässert!A$3:AK$103,17,FALSE))),""),"")</f>
        <v>0.34759358288770054</v>
      </c>
      <c r="AF19" s="71">
        <f>IF(VLOOKUP(A19,Dividende_je_Aktie!A$3:AM$103,18,FALSE)&lt;&gt;"",IF(VLOOKUP(A19,Ergebnis_je_Aktie_verwässert!A$3:AK$103,18,FALSE)&lt;&gt;"",IF(VLOOKUP(A19,Ergebnis_je_Aktie_verwässert!A$3:AK$103,18,FALSE)&lt;=0,2,IF(VLOOKUP(A19,Dividende_je_Aktie!A$3:AM$103,18,FALSE)/VLOOKUP(A19,Ergebnis_je_Aktie_verwässert!A$3:AK$103,18,FALSE)&gt;=2,2,VLOOKUP(A19,Dividende_je_Aktie!A$3:AM$103,18,FALSE)/VLOOKUP(A19,Ergebnis_je_Aktie_verwässert!A$3:AK$103,18,FALSE))),""),"")</f>
        <v>0.42307692307692307</v>
      </c>
      <c r="AG19" s="105">
        <f t="shared" si="1"/>
        <v>0.74916015118755375</v>
      </c>
      <c r="AH19" s="4">
        <f t="shared" ca="1" si="2"/>
        <v>0</v>
      </c>
      <c r="AI19" s="4">
        <f t="shared" ca="1" si="3"/>
        <v>108</v>
      </c>
      <c r="AJ19" s="4">
        <f t="shared" ca="1" si="4"/>
        <v>252</v>
      </c>
      <c r="AK19" s="10">
        <f t="shared" ca="1" si="5"/>
        <v>1.0002898550724637</v>
      </c>
      <c r="AL19" s="5">
        <f t="shared" ca="1" si="6"/>
        <v>0.33521497838189096</v>
      </c>
    </row>
    <row r="20" spans="1:38">
      <c r="A20" t="s">
        <v>81</v>
      </c>
      <c r="B20" t="s">
        <v>189</v>
      </c>
      <c r="C20" s="60">
        <v>31</v>
      </c>
      <c r="D20" s="60">
        <v>12</v>
      </c>
      <c r="E20" s="60">
        <v>2016</v>
      </c>
      <c r="F20" s="71">
        <f>IF(VLOOKUP(A20,Dividende_je_Aktie!A$3:AM$103,6,FALSE)&lt;&gt;"",IF(VLOOKUP(A20,Ergebnis_je_Aktie_verwässert!A$3:AK$103,6,FALSE)&lt;&gt;"",IF(VLOOKUP(A20,Ergebnis_je_Aktie_verwässert!A$3:AK$103,6,FALSE)&lt;=0,2,IF(VLOOKUP(A20,Dividende_je_Aktie!A$3:AM$103,6,FALSE)/VLOOKUP(A20,Ergebnis_je_Aktie_verwässert!A$3:AK$103,6,FALSE)&gt;=2,2,VLOOKUP(A20,Dividende_je_Aktie!A$3:AM$103,6,FALSE)/VLOOKUP(A20,Ergebnis_je_Aktie_verwässert!A$3:AK$103,6,FALSE))),""),"")</f>
        <v>0.52796725784447474</v>
      </c>
      <c r="G20" s="71">
        <f>IF(VLOOKUP(A20,Dividende_je_Aktie!A$3:AM$103,7,FALSE)&lt;&gt;"",IF(VLOOKUP(A20,Ergebnis_je_Aktie_verwässert!A$3:AK$103,7,FALSE)&lt;&gt;"",IF(VLOOKUP(A20,Ergebnis_je_Aktie_verwässert!A$3:AK$103,7,FALSE)&lt;=0,2,IF(VLOOKUP(A20,Dividende_je_Aktie!A$3:AM$103,7,FALSE)/VLOOKUP(A20,Ergebnis_je_Aktie_verwässert!A$3:AK$103,7,FALSE)&gt;=2,2,VLOOKUP(A20,Dividende_je_Aktie!A$3:AM$103,7,FALSE)/VLOOKUP(A20,Ergebnis_je_Aktie_verwässert!A$3:AK$103,7,FALSE))),""),"")</f>
        <v>0.51754385964912286</v>
      </c>
      <c r="H20" s="71">
        <f>IF(VLOOKUP(A20,Fiktive_Dividende!A$3:AM$103,14,FALSE)&lt;&gt;"",IF(VLOOKUP(A20,Ergebnis_je_Aktie_verwässert!A$3:AK$103,8,FALSE)&lt;&gt;"",IF(VLOOKUP(A20,Ergebnis_je_Aktie_verwässert!A$3:AK$103,8,FALSE)&lt;=0,2,IF(VLOOKUP(A20,Fiktive_Dividende!A$3:AM$103,14,FALSE)/VLOOKUP(A20,Ergebnis_je_Aktie_verwässert!A$3:AK$103,8,FALSE)&gt;=2,2,VLOOKUP(A20,Fiktive_Dividende!A$3:AM$103,14,FALSE)/VLOOKUP(A20,Ergebnis_je_Aktie_verwässert!A$3:AK$103,8,FALSE))),""),"")</f>
        <v>0.51246105919003115</v>
      </c>
      <c r="I20" s="71">
        <f>IF(VLOOKUP(A20,Fiktive_Dividende!A$3:AM$103,15,FALSE)&lt;&gt;"",IF(VLOOKUP(A20,Ergebnis_je_Aktie_verwässert!A$3:AK$103,9,FALSE)&lt;&gt;"",IF(VLOOKUP(A20,Ergebnis_je_Aktie_verwässert!A$3:AK$103,9,FALSE)&lt;=0,2,IF(VLOOKUP(A20,Fiktive_Dividende!A$3:AM$103,15,FALSE)/VLOOKUP(A20,Ergebnis_je_Aktie_verwässert!A$3:AK$103,9,FALSE)&gt;=2,2,VLOOKUP(A20,Fiktive_Dividende!A$3:AM$103,15,FALSE)/VLOOKUP(A20,Ergebnis_je_Aktie_verwässert!A$3:AK$103,9,FALSE))),""),"")</f>
        <v>0.50161812297734631</v>
      </c>
      <c r="J20" s="71">
        <f>IF(VLOOKUP(A20,Fiktive_Dividende!A$3:AM$103,16,FALSE)&lt;&gt;"",IF(VLOOKUP(A20,Ergebnis_je_Aktie_verwässert!A$3:AK$103,10,FALSE)&lt;&gt;"",IF(VLOOKUP(A20,Ergebnis_je_Aktie_verwässert!A$3:AK$103,10,FALSE)&lt;=0,2,IF(VLOOKUP(A20,Fiktive_Dividende!A$3:AM$103,16,FALSE)/VLOOKUP(A20,Ergebnis_je_Aktie_verwässert!A$3:AK$103,10,FALSE)&gt;=2,2,VLOOKUP(A20,Fiktive_Dividende!A$3:AM$103,16,FALSE)/VLOOKUP(A20,Ergebnis_je_Aktie_verwässert!A$3:AK$103,10,FALSE))),""),"")</f>
        <v>2</v>
      </c>
      <c r="K20" s="71">
        <f>IF(VLOOKUP(A20,Fiktive_Dividende!A$3:AM$103,17,FALSE)&lt;&gt;"",IF(VLOOKUP(A20,Ergebnis_je_Aktie_verwässert!A$3:AK$103,11,FALSE)&lt;&gt;"",IF(VLOOKUP(A20,Ergebnis_je_Aktie_verwässert!A$3:AK$103,11,FALSE)&lt;=0,2,IF(VLOOKUP(A20,Fiktive_Dividende!A$3:AM$103,17,FALSE)/VLOOKUP(A20,Ergebnis_je_Aktie_verwässert!A$3:AK$103,11,FALSE)&gt;=2,2,VLOOKUP(A20,Fiktive_Dividende!A$3:AM$103,17,FALSE)/VLOOKUP(A20,Ergebnis_je_Aktie_verwässert!A$3:AK$103,11,FALSE))),""),"")</f>
        <v>0.6068838359124219</v>
      </c>
      <c r="L20" s="71">
        <f>IF(VLOOKUP(A20,Fiktive_Dividende!A$3:AM$103,18,FALSE)&lt;&gt;"",IF(VLOOKUP(A20,Ergebnis_je_Aktie_verwässert!A$3:AK$103,12,FALSE)&lt;&gt;"",IF(VLOOKUP(A20,Ergebnis_je_Aktie_verwässert!A$3:AK$103,12,FALSE)&lt;=0,2,IF(VLOOKUP(A20,Fiktive_Dividende!A$3:AM$103,18,FALSE)/VLOOKUP(A20,Ergebnis_je_Aktie_verwässert!A$3:AK$103,12,FALSE)&gt;=2,2,VLOOKUP(A20,Fiktive_Dividende!A$3:AM$103,18,FALSE)/VLOOKUP(A20,Ergebnis_je_Aktie_verwässert!A$3:AK$103,12,FALSE))),""),"")</f>
        <v>0.46843177189409363</v>
      </c>
      <c r="M20" s="71">
        <f>IF(VLOOKUP(A20,Fiktive_Dividende!A$3:AM$103,19,FALSE)&lt;&gt;"",IF(VLOOKUP(A20,Ergebnis_je_Aktie_verwässert!A$3:AK$103,13,FALSE)&lt;&gt;"",IF(VLOOKUP(A20,Ergebnis_je_Aktie_verwässert!A$3:AK$103,13,FALSE)&lt;=0,2,IF(VLOOKUP(A20,Fiktive_Dividende!A$3:AM$103,19,FALSE)/VLOOKUP(A20,Ergebnis_je_Aktie_verwässert!A$3:AK$103,13,FALSE)&gt;=2,2,VLOOKUP(A20,Fiktive_Dividende!A$3:AM$103,19,FALSE)/VLOOKUP(A20,Ergebnis_je_Aktie_verwässert!A$3:AK$103,13,FALSE))),""),"")</f>
        <v>0.46296296296296291</v>
      </c>
      <c r="N20" s="71">
        <f>IF(VLOOKUP(A20,Fiktive_Dividende!A$3:AM$103,20,FALSE)&lt;&gt;"",IF(VLOOKUP(A20,Ergebnis_je_Aktie_verwässert!A$3:AK$103,14,FALSE)&lt;&gt;"",IF(VLOOKUP(A20,Ergebnis_je_Aktie_verwässert!A$3:AK$103,14,FALSE)&lt;=0,2,IF(VLOOKUP(A20,Fiktive_Dividende!A$3:AM$103,20,FALSE)/VLOOKUP(A20,Ergebnis_je_Aktie_verwässert!A$3:AK$103,14,FALSE)&gt;=2,2,VLOOKUP(A20,Fiktive_Dividende!A$3:AM$103,20,FALSE)/VLOOKUP(A20,Ergebnis_je_Aktie_verwässert!A$3:AK$103,14,FALSE))),""),"")</f>
        <v>0.44887780548628431</v>
      </c>
      <c r="O20" s="71">
        <f>IF(VLOOKUP(A20,Fiktive_Dividende!A$3:AM$103,21,FALSE)&lt;&gt;"",IF(VLOOKUP(A20,Ergebnis_je_Aktie_verwässert!A$3:AK$103,15,FALSE)&lt;&gt;"",IF(VLOOKUP(A20,Ergebnis_je_Aktie_verwässert!A$3:AK$103,15,FALSE)&lt;=0,2,IF(VLOOKUP(A20,Fiktive_Dividende!A$3:AM$103,21,FALSE)/VLOOKUP(A20,Ergebnis_je_Aktie_verwässert!A$3:AK$103,15,FALSE)&gt;=2,2,VLOOKUP(A20,Fiktive_Dividende!A$3:AM$103,21,FALSE)/VLOOKUP(A20,Ergebnis_je_Aktie_verwässert!A$3:AK$103,15,FALSE))),""),"")</f>
        <v>0.56805201651875847</v>
      </c>
      <c r="P20" s="71">
        <f>IF(VLOOKUP(A20,Fiktive_Dividende!A$3:AM$103,22,FALSE)&lt;&gt;"",IF(VLOOKUP(A20,Ergebnis_je_Aktie_verwässert!A$3:AK$103,16,FALSE)&lt;&gt;"",IF(VLOOKUP(A20,Ergebnis_je_Aktie_verwässert!A$3:AK$103,16,FALSE)&lt;=0,2,IF(VLOOKUP(A20,Fiktive_Dividende!A$3:AM$103,22,FALSE)/VLOOKUP(A20,Ergebnis_je_Aktie_verwässert!A$3:AK$103,16,FALSE)&gt;=2,2,VLOOKUP(A20,Fiktive_Dividende!A$3:AM$103,22,FALSE)/VLOOKUP(A20,Ergebnis_je_Aktie_verwässert!A$3:AK$103,16,FALSE))),""),"")</f>
        <v>0.87488441648877324</v>
      </c>
      <c r="Q20" s="71">
        <f>IF(VLOOKUP(A20,Fiktive_Dividende!A$3:AM$103,23,FALSE)&lt;&gt;"",IF(VLOOKUP(A20,Ergebnis_je_Aktie_verwässert!A$3:AK$103,17,FALSE)&lt;&gt;"",IF(VLOOKUP(A20,Ergebnis_je_Aktie_verwässert!A$3:AK$103,17,FALSE)&lt;=0,2,IF(VLOOKUP(A20,Fiktive_Dividende!A$3:AM$103,23,FALSE)/VLOOKUP(A20,Ergebnis_je_Aktie_verwässert!A$3:AK$103,17,FALSE)&gt;=2,2,VLOOKUP(A20,Fiktive_Dividende!A$3:AM$103,23,FALSE)/VLOOKUP(A20,Ergebnis_je_Aktie_verwässert!A$3:AK$103,17,FALSE))),""),"")</f>
        <v>1.4299237170596404</v>
      </c>
      <c r="R20" s="71">
        <f>IF(VLOOKUP(A20,Fiktive_Dividende!A$3:AM$103,24,FALSE)&lt;&gt;"",IF(VLOOKUP(A20,Ergebnis_je_Aktie_verwässert!A$3:AK$103,18,FALSE)&lt;&gt;"",IF(VLOOKUP(A20,Ergebnis_je_Aktie_verwässert!A$3:AK$103,18,FALSE)&lt;=0,2,IF(VLOOKUP(A20,Fiktive_Dividende!A$3:AM$103,24,FALSE)/VLOOKUP(A20,Ergebnis_je_Aktie_verwässert!A$3:AK$103,18,FALSE)&gt;=2,2,VLOOKUP(A20,Fiktive_Dividende!A$3:AM$103,24,FALSE)/VLOOKUP(A20,Ergebnis_je_Aktie_verwässert!A$3:AK$103,18,FALSE))),""),"")</f>
        <v>1.1605449714796554</v>
      </c>
      <c r="S20" s="105">
        <f t="shared" si="0"/>
        <v>0.77539629211258188</v>
      </c>
      <c r="T20" s="71">
        <f>IF(VLOOKUP(A20,Dividende_je_Aktie!A$3:AM$103,6,FALSE)&lt;&gt;"",IF(VLOOKUP(A20,Ergebnis_je_Aktie_verwässert!A$3:AK$103,6,FALSE)&lt;&gt;"",IF(VLOOKUP(A20,Ergebnis_je_Aktie_verwässert!A$3:AK$103,6,FALSE)&lt;=0,2,IF(VLOOKUP(A20,Dividende_je_Aktie!A$3:AM$103,6,FALSE)/VLOOKUP(A20,Ergebnis_je_Aktie_verwässert!A$3:AK$103,6,FALSE)&gt;=2,2,VLOOKUP(A20,Dividende_je_Aktie!A$3:AM$103,6,FALSE)/VLOOKUP(A20,Ergebnis_je_Aktie_verwässert!A$3:AK$103,6,FALSE))),""),"")</f>
        <v>0.52796725784447474</v>
      </c>
      <c r="U20" s="71">
        <f>IF(VLOOKUP(A20,Dividende_je_Aktie!A$3:AM$103,7,FALSE)&lt;&gt;"",IF(VLOOKUP(A20,Ergebnis_je_Aktie_verwässert!A$3:AK$103,7,FALSE)&lt;&gt;"",IF(VLOOKUP(A20,Ergebnis_je_Aktie_verwässert!A$3:AK$103,7,FALSE)&lt;=0,2,IF(VLOOKUP(A20,Dividende_je_Aktie!A$3:AM$103,7,FALSE)/VLOOKUP(A20,Ergebnis_je_Aktie_verwässert!A$3:AK$103,7,FALSE)&gt;=2,2,VLOOKUP(A20,Dividende_je_Aktie!A$3:AM$103,7,FALSE)/VLOOKUP(A20,Ergebnis_je_Aktie_verwässert!A$3:AK$103,7,FALSE))),""),"")</f>
        <v>0.51754385964912286</v>
      </c>
      <c r="V20" s="71">
        <f>IF(VLOOKUP(A20,Dividende_je_Aktie!A$3:AM$103,8,FALSE)&lt;&gt;"",IF(VLOOKUP(A20,Ergebnis_je_Aktie_verwässert!A$3:AK$103,8,FALSE)&lt;&gt;"",IF(VLOOKUP(A20,Ergebnis_je_Aktie_verwässert!A$3:AK$103,8,FALSE)&lt;=0,2,IF(VLOOKUP(A20,Dividende_je_Aktie!A$3:AM$103,8,FALSE)/VLOOKUP(A20,Ergebnis_je_Aktie_verwässert!A$3:AK$103,8,FALSE)&gt;=2,2,VLOOKUP(A20,Dividende_je_Aktie!A$3:AM$103,8,FALSE)/VLOOKUP(A20,Ergebnis_je_Aktie_verwässert!A$3:AK$103,8,FALSE))),""),"")</f>
        <v>0.51246105919003115</v>
      </c>
      <c r="W20" s="71">
        <f>IF(VLOOKUP(A20,Dividende_je_Aktie!A$3:AM$103,9,FALSE)&lt;&gt;"",IF(VLOOKUP(A20,Ergebnis_je_Aktie_verwässert!A$3:AK$103,9,FALSE)&lt;&gt;"",IF(VLOOKUP(A20,Ergebnis_je_Aktie_verwässert!A$3:AK$103,9,FALSE)&lt;=0,2,IF(VLOOKUP(A20,Dividende_je_Aktie!A$3:AM$103,9,FALSE)/VLOOKUP(A20,Ergebnis_je_Aktie_verwässert!A$3:AK$103,9,FALSE)&gt;=2,2,VLOOKUP(A20,Dividende_je_Aktie!A$3:AM$103,9,FALSE)/VLOOKUP(A20,Ergebnis_je_Aktie_verwässert!A$3:AK$103,9,FALSE))),""),"")</f>
        <v>0.50161812297734631</v>
      </c>
      <c r="X20" s="71">
        <f>IF(VLOOKUP(A20,Dividende_je_Aktie!A$3:AM$103,10,FALSE)&lt;&gt;"",IF(VLOOKUP(A20,Ergebnis_je_Aktie_verwässert!A$3:AK$103,10,FALSE)&lt;&gt;"",IF(VLOOKUP(A20,Ergebnis_je_Aktie_verwässert!A$3:AK$103,10,FALSE)&lt;=0,2,IF(VLOOKUP(A20,Dividende_je_Aktie!A$3:AM$103,10,FALSE)/VLOOKUP(A20,Ergebnis_je_Aktie_verwässert!A$3:AK$103,10,FALSE)&gt;=2,2,VLOOKUP(A20,Dividende_je_Aktie!A$3:AM$103,10,FALSE)/VLOOKUP(A20,Ergebnis_je_Aktie_verwässert!A$3:AK$103,10,FALSE))),""),"")</f>
        <v>0.5056179775280899</v>
      </c>
      <c r="Y20" s="71">
        <f>IF(VLOOKUP(A20,Dividende_je_Aktie!A$3:AM$103,11,FALSE)&lt;&gt;"",IF(VLOOKUP(A20,Ergebnis_je_Aktie_verwässert!A$3:AK$103,11,FALSE)&lt;&gt;"",IF(VLOOKUP(A20,Ergebnis_je_Aktie_verwässert!A$3:AK$103,11,FALSE)&lt;=0,2,IF(VLOOKUP(A20,Dividende_je_Aktie!A$3:AM$103,11,FALSE)/VLOOKUP(A20,Ergebnis_je_Aktie_verwässert!A$3:AK$103,11,FALSE)&gt;=2,2,VLOOKUP(A20,Dividende_je_Aktie!A$3:AM$103,11,FALSE)/VLOOKUP(A20,Ergebnis_je_Aktie_verwässert!A$3:AK$103,11,FALSE))),""),"")</f>
        <v>0.48732943469785578</v>
      </c>
      <c r="Z20" s="71">
        <f>IF(VLOOKUP(A20,Dividende_je_Aktie!A$3:AM$103,12,FALSE)&lt;&gt;"",IF(VLOOKUP(A20,Ergebnis_je_Aktie_verwässert!A$3:AK$103,12,FALSE)&lt;&gt;"",IF(VLOOKUP(A20,Ergebnis_je_Aktie_verwässert!A$3:AK$103,12,FALSE)&lt;=0,2,IF(VLOOKUP(A20,Dividende_je_Aktie!A$3:AM$103,12,FALSE)/VLOOKUP(A20,Ergebnis_je_Aktie_verwässert!A$3:AK$103,12,FALSE)&gt;=2,2,VLOOKUP(A20,Dividende_je_Aktie!A$3:AM$103,12,FALSE)/VLOOKUP(A20,Ergebnis_je_Aktie_verwässert!A$3:AK$103,12,FALSE))),""),"")</f>
        <v>0.46843177189409363</v>
      </c>
      <c r="AA20" s="71">
        <f>IF(VLOOKUP(A20,Dividende_je_Aktie!A$3:AM$103,13,FALSE)&lt;&gt;"",IF(VLOOKUP(A20,Ergebnis_je_Aktie_verwässert!A$3:AK$103,13,FALSE)&lt;&gt;"",IF(VLOOKUP(A20,Ergebnis_je_Aktie_verwässert!A$3:AK$103,13,FALSE)&lt;=0,2,IF(VLOOKUP(A20,Dividende_je_Aktie!A$3:AM$103,13,FALSE)/VLOOKUP(A20,Ergebnis_je_Aktie_verwässert!A$3:AK$103,13,FALSE)&gt;=2,2,VLOOKUP(A20,Dividende_je_Aktie!A$3:AM$103,13,FALSE)/VLOOKUP(A20,Ergebnis_je_Aktie_verwässert!A$3:AK$103,13,FALSE))),""),"")</f>
        <v>0.46296296296296291</v>
      </c>
      <c r="AB20" s="71">
        <f>IF(VLOOKUP(A20,Dividende_je_Aktie!A$3:AM$103,14,FALSE)&lt;&gt;"",IF(VLOOKUP(A20,Ergebnis_je_Aktie_verwässert!A$3:AK$103,14,FALSE)&lt;&gt;"",IF(VLOOKUP(A20,Ergebnis_je_Aktie_verwässert!A$3:AK$103,14,FALSE)&lt;=0,2,IF(VLOOKUP(A20,Dividende_je_Aktie!A$3:AM$103,14,FALSE)/VLOOKUP(A20,Ergebnis_je_Aktie_verwässert!A$3:AK$103,14,FALSE)&gt;=2,2,VLOOKUP(A20,Dividende_je_Aktie!A$3:AM$103,14,FALSE)/VLOOKUP(A20,Ergebnis_je_Aktie_verwässert!A$3:AK$103,14,FALSE))),""),"")</f>
        <v>0.44887780548628431</v>
      </c>
      <c r="AC20" s="71">
        <f>IF(VLOOKUP(A20,Dividende_je_Aktie!A$3:AM$103,15,FALSE)&lt;&gt;"",IF(VLOOKUP(A20,Ergebnis_je_Aktie_verwässert!A$3:AK$103,15,FALSE)&lt;&gt;"",IF(VLOOKUP(A20,Ergebnis_je_Aktie_verwässert!A$3:AK$103,15,FALSE)&lt;=0,2,IF(VLOOKUP(A20,Dividende_je_Aktie!A$3:AM$103,15,FALSE)/VLOOKUP(A20,Ergebnis_je_Aktie_verwässert!A$3:AK$103,15,FALSE)&gt;=2,2,VLOOKUP(A20,Dividende_je_Aktie!A$3:AM$103,15,FALSE)/VLOOKUP(A20,Ergebnis_je_Aktie_verwässert!A$3:AK$103,15,FALSE))),""),"")</f>
        <v>0.43859649122807021</v>
      </c>
      <c r="AD20" s="71">
        <f>IF(VLOOKUP(A20,Dividende_je_Aktie!A$3:AM$103,16,FALSE)&lt;&gt;"",IF(VLOOKUP(A20,Ergebnis_je_Aktie_verwässert!A$3:AK$103,16,FALSE)&lt;&gt;"",IF(VLOOKUP(A20,Ergebnis_je_Aktie_verwässert!A$3:AK$103,16,FALSE)&lt;=0,2,IF(VLOOKUP(A20,Dividende_je_Aktie!A$3:AM$103,16,FALSE)/VLOOKUP(A20,Ergebnis_je_Aktie_verwässert!A$3:AK$103,16,FALSE)&gt;=2,2,VLOOKUP(A20,Dividende_je_Aktie!A$3:AM$103,16,FALSE)/VLOOKUP(A20,Ergebnis_je_Aktie_verwässert!A$3:AK$103,16,FALSE))),""),"")</f>
        <v>0.41260744985673348</v>
      </c>
      <c r="AE20" s="71">
        <f>IF(VLOOKUP(A20,Dividende_je_Aktie!A$3:AM$103,17,FALSE)&lt;&gt;"",IF(VLOOKUP(A20,Ergebnis_je_Aktie_verwässert!A$3:AK$103,17,FALSE)&lt;&gt;"",IF(VLOOKUP(A20,Ergebnis_je_Aktie_verwässert!A$3:AK$103,17,FALSE)&lt;=0,2,IF(VLOOKUP(A20,Dividende_je_Aktie!A$3:AM$103,17,FALSE)/VLOOKUP(A20,Ergebnis_je_Aktie_verwässert!A$3:AK$103,17,FALSE)&gt;=2,2,VLOOKUP(A20,Dividende_je_Aktie!A$3:AM$103,17,FALSE)/VLOOKUP(A20,Ergebnis_je_Aktie_verwässert!A$3:AK$103,17,FALSE))),""),"")</f>
        <v>0.4107142857142857</v>
      </c>
      <c r="AF20" s="71">
        <f>IF(VLOOKUP(A20,Dividende_je_Aktie!A$3:AM$103,18,FALSE)&lt;&gt;"",IF(VLOOKUP(A20,Ergebnis_je_Aktie_verwässert!A$3:AK$103,18,FALSE)&lt;&gt;"",IF(VLOOKUP(A20,Ergebnis_je_Aktie_verwässert!A$3:AK$103,18,FALSE)&lt;=0,2,IF(VLOOKUP(A20,Dividende_je_Aktie!A$3:AM$103,18,FALSE)/VLOOKUP(A20,Ergebnis_je_Aktie_verwässert!A$3:AK$103,18,FALSE)&gt;=2,2,VLOOKUP(A20,Dividende_je_Aktie!A$3:AM$103,18,FALSE)/VLOOKUP(A20,Ergebnis_je_Aktie_verwässert!A$3:AK$103,18,FALSE))),""),"")</f>
        <v>0.39597315436241609</v>
      </c>
      <c r="AG20" s="105">
        <f t="shared" si="1"/>
        <v>0.46851551026090515</v>
      </c>
      <c r="AH20" s="4">
        <f t="shared" ca="1" si="2"/>
        <v>0</v>
      </c>
      <c r="AI20" s="4">
        <f t="shared" ca="1" si="3"/>
        <v>108</v>
      </c>
      <c r="AJ20" s="4">
        <f t="shared" ca="1" si="4"/>
        <v>252</v>
      </c>
      <c r="AK20" s="10">
        <f t="shared" ca="1" si="5"/>
        <v>0.51398589932775862</v>
      </c>
      <c r="AL20" s="5">
        <f t="shared" ca="1" si="6"/>
        <v>9.7052046455264884E-2</v>
      </c>
    </row>
    <row r="21" spans="1:38">
      <c r="A21" t="s">
        <v>82</v>
      </c>
      <c r="B21" t="s">
        <v>190</v>
      </c>
      <c r="C21" s="60">
        <v>31</v>
      </c>
      <c r="D21" s="60">
        <v>12</v>
      </c>
      <c r="E21" s="60">
        <v>2016</v>
      </c>
      <c r="F21" s="71">
        <f>IF(VLOOKUP(A21,Dividende_je_Aktie!A$3:AM$103,6,FALSE)&lt;&gt;"",IF(VLOOKUP(A21,Ergebnis_je_Aktie_verwässert!A$3:AK$103,6,FALSE)&lt;&gt;"",IF(VLOOKUP(A21,Ergebnis_je_Aktie_verwässert!A$3:AK$103,6,FALSE)&lt;=0,2,IF(VLOOKUP(A21,Dividende_je_Aktie!A$3:AM$103,6,FALSE)/VLOOKUP(A21,Ergebnis_je_Aktie_verwässert!A$3:AK$103,6,FALSE)&gt;=2,2,VLOOKUP(A21,Dividende_je_Aktie!A$3:AM$103,6,FALSE)/VLOOKUP(A21,Ergebnis_je_Aktie_verwässert!A$3:AK$103,6,FALSE))),""),"")</f>
        <v>0.68333333333333335</v>
      </c>
      <c r="G21" s="71">
        <f>IF(VLOOKUP(A21,Dividende_je_Aktie!A$3:AM$103,7,FALSE)&lt;&gt;"",IF(VLOOKUP(A21,Ergebnis_je_Aktie_verwässert!A$3:AK$103,7,FALSE)&lt;&gt;"",IF(VLOOKUP(A21,Ergebnis_je_Aktie_verwässert!A$3:AK$103,7,FALSE)&lt;=0,2,IF(VLOOKUP(A21,Dividende_je_Aktie!A$3:AM$103,7,FALSE)/VLOOKUP(A21,Ergebnis_je_Aktie_verwässert!A$3:AK$103,7,FALSE)&gt;=2,2,VLOOKUP(A21,Dividende_je_Aktie!A$3:AM$103,7,FALSE)/VLOOKUP(A21,Ergebnis_je_Aktie_verwässert!A$3:AK$103,7,FALSE))),""),"")</f>
        <v>0.63278008298755184</v>
      </c>
      <c r="H21" s="71">
        <f>IF(VLOOKUP(A21,Fiktive_Dividende!A$3:AM$103,14,FALSE)&lt;&gt;"",IF(VLOOKUP(A21,Ergebnis_je_Aktie_verwässert!A$3:AK$103,8,FALSE)&lt;&gt;"",IF(VLOOKUP(A21,Ergebnis_je_Aktie_verwässert!A$3:AK$103,8,FALSE)&lt;=0,2,IF(VLOOKUP(A21,Fiktive_Dividende!A$3:AM$103,14,FALSE)/VLOOKUP(A21,Ergebnis_je_Aktie_verwässert!A$3:AK$103,8,FALSE)&gt;=2,2,VLOOKUP(A21,Fiktive_Dividende!A$3:AM$103,14,FALSE)/VLOOKUP(A21,Ergebnis_je_Aktie_verwässert!A$3:AK$103,8,FALSE))),""),"")</f>
        <v>0.66891891891891886</v>
      </c>
      <c r="I21" s="71">
        <f>IF(VLOOKUP(A21,Fiktive_Dividende!A$3:AM$103,15,FALSE)&lt;&gt;"",IF(VLOOKUP(A21,Ergebnis_je_Aktie_verwässert!A$3:AK$103,9,FALSE)&lt;&gt;"",IF(VLOOKUP(A21,Ergebnis_je_Aktie_verwässert!A$3:AK$103,9,FALSE)&lt;=0,2,IF(VLOOKUP(A21,Fiktive_Dividende!A$3:AM$103,15,FALSE)/VLOOKUP(A21,Ergebnis_je_Aktie_verwässert!A$3:AK$103,9,FALSE)&gt;=2,2,VLOOKUP(A21,Fiktive_Dividende!A$3:AM$103,15,FALSE)/VLOOKUP(A21,Ergebnis_je_Aktie_verwässert!A$3:AK$103,9,FALSE))),""),"")</f>
        <v>0.80879934073340076</v>
      </c>
      <c r="J21" s="71">
        <f>IF(VLOOKUP(A21,Fiktive_Dividende!A$3:AM$103,16,FALSE)&lt;&gt;"",IF(VLOOKUP(A21,Ergebnis_je_Aktie_verwässert!A$3:AK$103,10,FALSE)&lt;&gt;"",IF(VLOOKUP(A21,Ergebnis_je_Aktie_verwässert!A$3:AK$103,10,FALSE)&lt;=0,2,IF(VLOOKUP(A21,Fiktive_Dividende!A$3:AM$103,16,FALSE)/VLOOKUP(A21,Ergebnis_je_Aktie_verwässert!A$3:AK$103,10,FALSE)&gt;=2,2,VLOOKUP(A21,Fiktive_Dividende!A$3:AM$103,16,FALSE)/VLOOKUP(A21,Ergebnis_je_Aktie_verwässert!A$3:AK$103,10,FALSE))),""),"")</f>
        <v>0.77452054025215511</v>
      </c>
      <c r="K21" s="71">
        <f>IF(VLOOKUP(A21,Fiktive_Dividende!A$3:AM$103,17,FALSE)&lt;&gt;"",IF(VLOOKUP(A21,Ergebnis_je_Aktie_verwässert!A$3:AK$103,11,FALSE)&lt;&gt;"",IF(VLOOKUP(A21,Ergebnis_je_Aktie_verwässert!A$3:AK$103,11,FALSE)&lt;=0,2,IF(VLOOKUP(A21,Fiktive_Dividende!A$3:AM$103,17,FALSE)/VLOOKUP(A21,Ergebnis_je_Aktie_verwässert!A$3:AK$103,11,FALSE)&gt;=2,2,VLOOKUP(A21,Fiktive_Dividende!A$3:AM$103,17,FALSE)/VLOOKUP(A21,Ergebnis_je_Aktie_verwässert!A$3:AK$103,11,FALSE))),""),"")</f>
        <v>0.81924030007807458</v>
      </c>
      <c r="L21" s="71">
        <f>IF(VLOOKUP(A21,Fiktive_Dividende!A$3:AM$103,18,FALSE)&lt;&gt;"",IF(VLOOKUP(A21,Ergebnis_je_Aktie_verwässert!A$3:AK$103,12,FALSE)&lt;&gt;"",IF(VLOOKUP(A21,Ergebnis_je_Aktie_verwässert!A$3:AK$103,12,FALSE)&lt;=0,2,IF(VLOOKUP(A21,Fiktive_Dividende!A$3:AM$103,18,FALSE)/VLOOKUP(A21,Ergebnis_je_Aktie_verwässert!A$3:AK$103,12,FALSE)&gt;=2,2,VLOOKUP(A21,Fiktive_Dividende!A$3:AM$103,18,FALSE)/VLOOKUP(A21,Ergebnis_je_Aktie_verwässert!A$3:AK$103,12,FALSE))),""),"")</f>
        <v>0.79149981980538986</v>
      </c>
      <c r="M21" s="71">
        <f>IF(VLOOKUP(A21,Fiktive_Dividende!A$3:AM$103,19,FALSE)&lt;&gt;"",IF(VLOOKUP(A21,Ergebnis_je_Aktie_verwässert!A$3:AK$103,13,FALSE)&lt;&gt;"",IF(VLOOKUP(A21,Ergebnis_je_Aktie_verwässert!A$3:AK$103,13,FALSE)&lt;=0,2,IF(VLOOKUP(A21,Fiktive_Dividende!A$3:AM$103,19,FALSE)/VLOOKUP(A21,Ergebnis_je_Aktie_verwässert!A$3:AK$103,13,FALSE)&gt;=2,2,VLOOKUP(A21,Fiktive_Dividende!A$3:AM$103,19,FALSE)/VLOOKUP(A21,Ergebnis_je_Aktie_verwässert!A$3:AK$103,13,FALSE))),""),"")</f>
        <v>0.52579365079365081</v>
      </c>
      <c r="N21" s="71">
        <f>IF(VLOOKUP(A21,Fiktive_Dividende!A$3:AM$103,20,FALSE)&lt;&gt;"",IF(VLOOKUP(A21,Ergebnis_je_Aktie_verwässert!A$3:AK$103,14,FALSE)&lt;&gt;"",IF(VLOOKUP(A21,Ergebnis_je_Aktie_verwässert!A$3:AK$103,14,FALSE)&lt;=0,2,IF(VLOOKUP(A21,Fiktive_Dividende!A$3:AM$103,20,FALSE)/VLOOKUP(A21,Ergebnis_je_Aktie_verwässert!A$3:AK$103,14,FALSE)&gt;=2,2,VLOOKUP(A21,Fiktive_Dividende!A$3:AM$103,20,FALSE)/VLOOKUP(A21,Ergebnis_je_Aktie_verwässert!A$3:AK$103,14,FALSE))),""),"")</f>
        <v>0.5117853320688065</v>
      </c>
      <c r="O21" s="71">
        <f>IF(VLOOKUP(A21,Fiktive_Dividende!A$3:AM$103,21,FALSE)&lt;&gt;"",IF(VLOOKUP(A21,Ergebnis_je_Aktie_verwässert!A$3:AK$103,15,FALSE)&lt;&gt;"",IF(VLOOKUP(A21,Ergebnis_je_Aktie_verwässert!A$3:AK$103,15,FALSE)&lt;=0,2,IF(VLOOKUP(A21,Fiktive_Dividende!A$3:AM$103,21,FALSE)/VLOOKUP(A21,Ergebnis_je_Aktie_verwässert!A$3:AK$103,15,FALSE)&gt;=2,2,VLOOKUP(A21,Fiktive_Dividende!A$3:AM$103,21,FALSE)/VLOOKUP(A21,Ergebnis_je_Aktie_verwässert!A$3:AK$103,15,FALSE))),""),"")</f>
        <v>0.46121593291404622</v>
      </c>
      <c r="P21" s="71">
        <f>IF(VLOOKUP(A21,Fiktive_Dividende!A$3:AM$103,22,FALSE)&lt;&gt;"",IF(VLOOKUP(A21,Ergebnis_je_Aktie_verwässert!A$3:AK$103,16,FALSE)&lt;&gt;"",IF(VLOOKUP(A21,Ergebnis_je_Aktie_verwässert!A$3:AK$103,16,FALSE)&lt;=0,2,IF(VLOOKUP(A21,Fiktive_Dividende!A$3:AM$103,22,FALSE)/VLOOKUP(A21,Ergebnis_je_Aktie_verwässert!A$3:AK$103,16,FALSE)&gt;=2,2,VLOOKUP(A21,Fiktive_Dividende!A$3:AM$103,22,FALSE)/VLOOKUP(A21,Ergebnis_je_Aktie_verwässert!A$3:AK$103,16,FALSE))),""),"")</f>
        <v>0.99084177863134582</v>
      </c>
      <c r="Q21" s="71">
        <f>IF(VLOOKUP(A21,Fiktive_Dividende!A$3:AM$103,23,FALSE)&lt;&gt;"",IF(VLOOKUP(A21,Ergebnis_je_Aktie_verwässert!A$3:AK$103,17,FALSE)&lt;&gt;"",IF(VLOOKUP(A21,Ergebnis_je_Aktie_verwässert!A$3:AK$103,17,FALSE)&lt;=0,2,IF(VLOOKUP(A21,Fiktive_Dividende!A$3:AM$103,23,FALSE)/VLOOKUP(A21,Ergebnis_je_Aktie_verwässert!A$3:AK$103,17,FALSE)&gt;=2,2,VLOOKUP(A21,Fiktive_Dividende!A$3:AM$103,23,FALSE)/VLOOKUP(A21,Ergebnis_je_Aktie_verwässert!A$3:AK$103,17,FALSE))),""),"")</f>
        <v>0.45219638242894056</v>
      </c>
      <c r="R21" s="71">
        <f>IF(VLOOKUP(A21,Fiktive_Dividende!A$3:AM$103,24,FALSE)&lt;&gt;"",IF(VLOOKUP(A21,Ergebnis_je_Aktie_verwässert!A$3:AK$103,18,FALSE)&lt;&gt;"",IF(VLOOKUP(A21,Ergebnis_je_Aktie_verwässert!A$3:AK$103,18,FALSE)&lt;=0,2,IF(VLOOKUP(A21,Fiktive_Dividende!A$3:AM$103,24,FALSE)/VLOOKUP(A21,Ergebnis_je_Aktie_verwässert!A$3:AK$103,18,FALSE)&gt;=2,2,VLOOKUP(A21,Fiktive_Dividende!A$3:AM$103,24,FALSE)/VLOOKUP(A21,Ergebnis_je_Aktie_verwässert!A$3:AK$103,18,FALSE))),""),"")</f>
        <v>1.1608311195919232</v>
      </c>
      <c r="S21" s="105">
        <f t="shared" si="0"/>
        <v>0.71398127173365689</v>
      </c>
      <c r="T21" s="71">
        <f>IF(VLOOKUP(A21,Dividende_je_Aktie!A$3:AM$103,6,FALSE)&lt;&gt;"",IF(VLOOKUP(A21,Ergebnis_je_Aktie_verwässert!A$3:AK$103,6,FALSE)&lt;&gt;"",IF(VLOOKUP(A21,Ergebnis_je_Aktie_verwässert!A$3:AK$103,6,FALSE)&lt;=0,2,IF(VLOOKUP(A21,Dividende_je_Aktie!A$3:AM$103,6,FALSE)/VLOOKUP(A21,Ergebnis_je_Aktie_verwässert!A$3:AK$103,6,FALSE)&gt;=2,2,VLOOKUP(A21,Dividende_je_Aktie!A$3:AM$103,6,FALSE)/VLOOKUP(A21,Ergebnis_je_Aktie_verwässert!A$3:AK$103,6,FALSE))),""),"")</f>
        <v>0.68333333333333335</v>
      </c>
      <c r="U21" s="71">
        <f>IF(VLOOKUP(A21,Dividende_je_Aktie!A$3:AM$103,7,FALSE)&lt;&gt;"",IF(VLOOKUP(A21,Ergebnis_je_Aktie_verwässert!A$3:AK$103,7,FALSE)&lt;&gt;"",IF(VLOOKUP(A21,Ergebnis_je_Aktie_verwässert!A$3:AK$103,7,FALSE)&lt;=0,2,IF(VLOOKUP(A21,Dividende_je_Aktie!A$3:AM$103,7,FALSE)/VLOOKUP(A21,Ergebnis_je_Aktie_verwässert!A$3:AK$103,7,FALSE)&gt;=2,2,VLOOKUP(A21,Dividende_je_Aktie!A$3:AM$103,7,FALSE)/VLOOKUP(A21,Ergebnis_je_Aktie_verwässert!A$3:AK$103,7,FALSE))),""),"")</f>
        <v>0.63278008298755184</v>
      </c>
      <c r="V21" s="71">
        <f>IF(VLOOKUP(A21,Dividende_je_Aktie!A$3:AM$103,8,FALSE)&lt;&gt;"",IF(VLOOKUP(A21,Ergebnis_je_Aktie_verwässert!A$3:AK$103,8,FALSE)&lt;&gt;"",IF(VLOOKUP(A21,Ergebnis_je_Aktie_verwässert!A$3:AK$103,8,FALSE)&lt;=0,2,IF(VLOOKUP(A21,Dividende_je_Aktie!A$3:AM$103,8,FALSE)/VLOOKUP(A21,Ergebnis_je_Aktie_verwässert!A$3:AK$103,8,FALSE)&gt;=2,2,VLOOKUP(A21,Dividende_je_Aktie!A$3:AM$103,8,FALSE)/VLOOKUP(A21,Ergebnis_je_Aktie_verwässert!A$3:AK$103,8,FALSE))),""),"")</f>
        <v>0.66891891891891886</v>
      </c>
      <c r="W21" s="71">
        <f>IF(VLOOKUP(A21,Dividende_je_Aktie!A$3:AM$103,9,FALSE)&lt;&gt;"",IF(VLOOKUP(A21,Ergebnis_je_Aktie_verwässert!A$3:AK$103,9,FALSE)&lt;&gt;"",IF(VLOOKUP(A21,Ergebnis_je_Aktie_verwässert!A$3:AK$103,9,FALSE)&lt;=0,2,IF(VLOOKUP(A21,Dividende_je_Aktie!A$3:AM$103,9,FALSE)/VLOOKUP(A21,Ergebnis_je_Aktie_verwässert!A$3:AK$103,9,FALSE)&gt;=2,2,VLOOKUP(A21,Dividende_je_Aktie!A$3:AM$103,9,FALSE)/VLOOKUP(A21,Ergebnis_je_Aktie_verwässert!A$3:AK$103,9,FALSE))),""),"")</f>
        <v>0.63834422657952072</v>
      </c>
      <c r="X21" s="71">
        <f>IF(VLOOKUP(A21,Dividende_je_Aktie!A$3:AM$103,10,FALSE)&lt;&gt;"",IF(VLOOKUP(A21,Ergebnis_je_Aktie_verwässert!A$3:AK$103,10,FALSE)&lt;&gt;"",IF(VLOOKUP(A21,Ergebnis_je_Aktie_verwässert!A$3:AK$103,10,FALSE)&lt;=0,2,IF(VLOOKUP(A21,Dividende_je_Aktie!A$3:AM$103,10,FALSE)/VLOOKUP(A21,Ergebnis_je_Aktie_verwässert!A$3:AK$103,10,FALSE)&gt;=2,2,VLOOKUP(A21,Dividende_je_Aktie!A$3:AM$103,10,FALSE)/VLOOKUP(A21,Ergebnis_je_Aktie_verwässert!A$3:AK$103,10,FALSE))),""),"")</f>
        <v>0.70370370370370372</v>
      </c>
      <c r="Y21" s="71">
        <f>IF(VLOOKUP(A21,Dividende_je_Aktie!A$3:AM$103,11,FALSE)&lt;&gt;"",IF(VLOOKUP(A21,Ergebnis_je_Aktie_verwässert!A$3:AK$103,11,FALSE)&lt;&gt;"",IF(VLOOKUP(A21,Ergebnis_je_Aktie_verwässert!A$3:AK$103,11,FALSE)&lt;=0,2,IF(VLOOKUP(A21,Dividende_je_Aktie!A$3:AM$103,11,FALSE)/VLOOKUP(A21,Ergebnis_je_Aktie_verwässert!A$3:AK$103,11,FALSE)&gt;=2,2,VLOOKUP(A21,Dividende_je_Aktie!A$3:AM$103,11,FALSE)/VLOOKUP(A21,Ergebnis_je_Aktie_verwässert!A$3:AK$103,11,FALSE))),""),"")</f>
        <v>0.78651685393258419</v>
      </c>
      <c r="Z21" s="71">
        <f>IF(VLOOKUP(A21,Dividende_je_Aktie!A$3:AM$103,12,FALSE)&lt;&gt;"",IF(VLOOKUP(A21,Ergebnis_je_Aktie_verwässert!A$3:AK$103,12,FALSE)&lt;&gt;"",IF(VLOOKUP(A21,Ergebnis_je_Aktie_verwässert!A$3:AK$103,12,FALSE)&lt;=0,2,IF(VLOOKUP(A21,Dividende_je_Aktie!A$3:AM$103,12,FALSE)/VLOOKUP(A21,Ergebnis_je_Aktie_verwässert!A$3:AK$103,12,FALSE)&gt;=2,2,VLOOKUP(A21,Dividende_je_Aktie!A$3:AM$103,12,FALSE)/VLOOKUP(A21,Ergebnis_je_Aktie_verwässert!A$3:AK$103,12,FALSE))),""),"")</f>
        <v>0.61283185840707965</v>
      </c>
      <c r="AA21" s="71">
        <f>IF(VLOOKUP(A21,Dividende_je_Aktie!A$3:AM$103,13,FALSE)&lt;&gt;"",IF(VLOOKUP(A21,Ergebnis_je_Aktie_verwässert!A$3:AK$103,13,FALSE)&lt;&gt;"",IF(VLOOKUP(A21,Ergebnis_je_Aktie_verwässert!A$3:AK$103,13,FALSE)&lt;=0,2,IF(VLOOKUP(A21,Dividende_je_Aktie!A$3:AM$103,13,FALSE)/VLOOKUP(A21,Ergebnis_je_Aktie_verwässert!A$3:AK$103,13,FALSE)&gt;=2,2,VLOOKUP(A21,Dividende_je_Aktie!A$3:AM$103,13,FALSE)/VLOOKUP(A21,Ergebnis_je_Aktie_verwässert!A$3:AK$103,13,FALSE))),""),"")</f>
        <v>0.52579365079365081</v>
      </c>
      <c r="AB21" s="71">
        <f>IF(VLOOKUP(A21,Dividende_je_Aktie!A$3:AM$103,14,FALSE)&lt;&gt;"",IF(VLOOKUP(A21,Ergebnis_je_Aktie_verwässert!A$3:AK$103,14,FALSE)&lt;&gt;"",IF(VLOOKUP(A21,Ergebnis_je_Aktie_verwässert!A$3:AK$103,14,FALSE)&lt;=0,2,IF(VLOOKUP(A21,Dividende_je_Aktie!A$3:AM$103,14,FALSE)/VLOOKUP(A21,Ergebnis_je_Aktie_verwässert!A$3:AK$103,14,FALSE)&gt;=2,2,VLOOKUP(A21,Dividende_je_Aktie!A$3:AM$103,14,FALSE)/VLOOKUP(A21,Ergebnis_je_Aktie_verwässert!A$3:AK$103,14,FALSE))),""),"")</f>
        <v>0.45627376425855515</v>
      </c>
      <c r="AC21" s="71">
        <f>IF(VLOOKUP(A21,Dividende_je_Aktie!A$3:AM$103,15,FALSE)&lt;&gt;"",IF(VLOOKUP(A21,Ergebnis_je_Aktie_verwässert!A$3:AK$103,15,FALSE)&lt;&gt;"",IF(VLOOKUP(A21,Ergebnis_je_Aktie_verwässert!A$3:AK$103,15,FALSE)&lt;=0,2,IF(VLOOKUP(A21,Dividende_je_Aktie!A$3:AM$103,15,FALSE)/VLOOKUP(A21,Ergebnis_je_Aktie_verwässert!A$3:AK$103,15,FALSE)&gt;=2,2,VLOOKUP(A21,Dividende_je_Aktie!A$3:AM$103,15,FALSE)/VLOOKUP(A21,Ergebnis_je_Aktie_verwässert!A$3:AK$103,15,FALSE))),""),"")</f>
        <v>0.46121593291404622</v>
      </c>
      <c r="AD21" s="71">
        <f>IF(VLOOKUP(A21,Dividende_je_Aktie!A$3:AM$103,16,FALSE)&lt;&gt;"",IF(VLOOKUP(A21,Ergebnis_je_Aktie_verwässert!A$3:AK$103,16,FALSE)&lt;&gt;"",IF(VLOOKUP(A21,Ergebnis_je_Aktie_verwässert!A$3:AK$103,16,FALSE)&lt;=0,2,IF(VLOOKUP(A21,Dividende_je_Aktie!A$3:AM$103,16,FALSE)/VLOOKUP(A21,Ergebnis_je_Aktie_verwässert!A$3:AK$103,16,FALSE)&gt;=2,2,VLOOKUP(A21,Dividende_je_Aktie!A$3:AM$103,16,FALSE)/VLOOKUP(A21,Ergebnis_je_Aktie_verwässert!A$3:AK$103,16,FALSE))),""),"")</f>
        <v>0.54046997389033935</v>
      </c>
      <c r="AE21" s="71">
        <f>IF(VLOOKUP(A21,Dividende_je_Aktie!A$3:AM$103,17,FALSE)&lt;&gt;"",IF(VLOOKUP(A21,Ergebnis_je_Aktie_verwässert!A$3:AK$103,17,FALSE)&lt;&gt;"",IF(VLOOKUP(A21,Ergebnis_je_Aktie_verwässert!A$3:AK$103,17,FALSE)&lt;=0,2,IF(VLOOKUP(A21,Dividende_je_Aktie!A$3:AM$103,17,FALSE)/VLOOKUP(A21,Ergebnis_je_Aktie_verwässert!A$3:AK$103,17,FALSE)&gt;=2,2,VLOOKUP(A21,Dividende_je_Aktie!A$3:AM$103,17,FALSE)/VLOOKUP(A21,Ergebnis_je_Aktie_verwässert!A$3:AK$103,17,FALSE))),""),"")</f>
        <v>0.45219638242894056</v>
      </c>
      <c r="AF21" s="71">
        <f>IF(VLOOKUP(A21,Dividende_je_Aktie!A$3:AM$103,18,FALSE)&lt;&gt;"",IF(VLOOKUP(A21,Ergebnis_je_Aktie_verwässert!A$3:AK$103,18,FALSE)&lt;&gt;"",IF(VLOOKUP(A21,Ergebnis_je_Aktie_verwässert!A$3:AK$103,18,FALSE)&lt;=0,2,IF(VLOOKUP(A21,Dividende_je_Aktie!A$3:AM$103,18,FALSE)/VLOOKUP(A21,Ergebnis_je_Aktie_verwässert!A$3:AK$103,18,FALSE)&gt;=2,2,VLOOKUP(A21,Dividende_je_Aktie!A$3:AM$103,18,FALSE)/VLOOKUP(A21,Ergebnis_je_Aktie_verwässert!A$3:AK$103,18,FALSE))),""),"")</f>
        <v>0.51525423728813557</v>
      </c>
      <c r="AG21" s="105">
        <f t="shared" si="1"/>
        <v>0.59058714764895093</v>
      </c>
      <c r="AH21" s="4">
        <f t="shared" ca="1" si="2"/>
        <v>0</v>
      </c>
      <c r="AI21" s="4">
        <f t="shared" ca="1" si="3"/>
        <v>108</v>
      </c>
      <c r="AJ21" s="4">
        <f t="shared" ca="1" si="4"/>
        <v>252</v>
      </c>
      <c r="AK21" s="10">
        <f t="shared" ca="1" si="5"/>
        <v>0.65807726813950884</v>
      </c>
      <c r="AL21" s="5">
        <f t="shared" ca="1" si="6"/>
        <v>0.11427631088693202</v>
      </c>
    </row>
    <row r="22" spans="1:38">
      <c r="A22" t="s">
        <v>28</v>
      </c>
      <c r="B22" t="s">
        <v>29</v>
      </c>
      <c r="C22" s="60">
        <v>31</v>
      </c>
      <c r="D22" s="60">
        <v>12</v>
      </c>
      <c r="E22" s="60">
        <v>2016</v>
      </c>
      <c r="F22" s="71">
        <f>IF(VLOOKUP(A22,Dividende_je_Aktie!A$3:AM$103,6,FALSE)&lt;&gt;"",IF(VLOOKUP(A22,Ergebnis_je_Aktie_verwässert!A$3:AK$103,6,FALSE)&lt;&gt;"",IF(VLOOKUP(A22,Ergebnis_je_Aktie_verwässert!A$3:AK$103,6,FALSE)&lt;=0,2,IF(VLOOKUP(A22,Dividende_je_Aktie!A$3:AM$103,6,FALSE)/VLOOKUP(A22,Ergebnis_je_Aktie_verwässert!A$3:AK$103,6,FALSE)&gt;=2,2,VLOOKUP(A22,Dividende_je_Aktie!A$3:AM$103,6,FALSE)/VLOOKUP(A22,Ergebnis_je_Aktie_verwässert!A$3:AK$103,6,FALSE))),""),"")</f>
        <v>0.55270655270655278</v>
      </c>
      <c r="G22" s="71">
        <f>IF(VLOOKUP(A22,Dividende_je_Aktie!A$3:AM$103,7,FALSE)&lt;&gt;"",IF(VLOOKUP(A22,Ergebnis_je_Aktie_verwässert!A$3:AK$103,7,FALSE)&lt;&gt;"",IF(VLOOKUP(A22,Ergebnis_je_Aktie_verwässert!A$3:AK$103,7,FALSE)&lt;=0,2,IF(VLOOKUP(A22,Dividende_je_Aktie!A$3:AM$103,7,FALSE)/VLOOKUP(A22,Ergebnis_je_Aktie_verwässert!A$3:AK$103,7,FALSE)&gt;=2,2,VLOOKUP(A22,Dividende_je_Aktie!A$3:AM$103,7,FALSE)/VLOOKUP(A22,Ergebnis_je_Aktie_verwässert!A$3:AK$103,7,FALSE))),""),"")</f>
        <v>0.55351681957186549</v>
      </c>
      <c r="H22" s="71">
        <f>IF(VLOOKUP(A22,Fiktive_Dividende!A$3:AM$103,14,FALSE)&lt;&gt;"",IF(VLOOKUP(A22,Ergebnis_je_Aktie_verwässert!A$3:AK$103,8,FALSE)&lt;&gt;"",IF(VLOOKUP(A22,Ergebnis_je_Aktie_verwässert!A$3:AK$103,8,FALSE)&lt;=0,2,IF(VLOOKUP(A22,Fiktive_Dividende!A$3:AM$103,14,FALSE)/VLOOKUP(A22,Ergebnis_je_Aktie_verwässert!A$3:AK$103,8,FALSE)&gt;=2,2,VLOOKUP(A22,Fiktive_Dividende!A$3:AM$103,14,FALSE)/VLOOKUP(A22,Ergebnis_je_Aktie_verwässert!A$3:AK$103,8,FALSE))),""),"")</f>
        <v>0.55813953488372092</v>
      </c>
      <c r="I22" s="71">
        <f>IF(VLOOKUP(A22,Fiktive_Dividende!A$3:AM$103,15,FALSE)&lt;&gt;"",IF(VLOOKUP(A22,Ergebnis_je_Aktie_verwässert!A$3:AK$103,9,FALSE)&lt;&gt;"",IF(VLOOKUP(A22,Ergebnis_je_Aktie_verwässert!A$3:AK$103,9,FALSE)&lt;=0,2,IF(VLOOKUP(A22,Fiktive_Dividende!A$3:AM$103,15,FALSE)/VLOOKUP(A22,Ergebnis_je_Aktie_verwässert!A$3:AK$103,9,FALSE)&gt;=2,2,VLOOKUP(A22,Fiktive_Dividende!A$3:AM$103,15,FALSE)/VLOOKUP(A22,Ergebnis_je_Aktie_verwässert!A$3:AK$103,9,FALSE))),""),"")</f>
        <v>0.76190476190476186</v>
      </c>
      <c r="J22" s="71">
        <f>IF(VLOOKUP(A22,Fiktive_Dividende!A$3:AM$103,16,FALSE)&lt;&gt;"",IF(VLOOKUP(A22,Ergebnis_je_Aktie_verwässert!A$3:AK$103,10,FALSE)&lt;&gt;"",IF(VLOOKUP(A22,Ergebnis_je_Aktie_verwässert!A$3:AK$103,10,FALSE)&lt;=0,2,IF(VLOOKUP(A22,Fiktive_Dividende!A$3:AM$103,16,FALSE)/VLOOKUP(A22,Ergebnis_je_Aktie_verwässert!A$3:AK$103,10,FALSE)&gt;=2,2,VLOOKUP(A22,Fiktive_Dividende!A$3:AM$103,16,FALSE)/VLOOKUP(A22,Ergebnis_je_Aktie_verwässert!A$3:AK$103,10,FALSE))),""),"")</f>
        <v>0.5725190839694656</v>
      </c>
      <c r="K22" s="71">
        <f>IF(VLOOKUP(A22,Fiktive_Dividende!A$3:AM$103,17,FALSE)&lt;&gt;"",IF(VLOOKUP(A22,Ergebnis_je_Aktie_verwässert!A$3:AK$103,11,FALSE)&lt;&gt;"",IF(VLOOKUP(A22,Ergebnis_je_Aktie_verwässert!A$3:AK$103,11,FALSE)&lt;=0,2,IF(VLOOKUP(A22,Fiktive_Dividende!A$3:AM$103,17,FALSE)/VLOOKUP(A22,Ergebnis_je_Aktie_verwässert!A$3:AK$103,11,FALSE)&gt;=2,2,VLOOKUP(A22,Fiktive_Dividende!A$3:AM$103,17,FALSE)/VLOOKUP(A22,Ergebnis_je_Aktie_verwässert!A$3:AK$103,11,FALSE))),""),"")</f>
        <v>0.74334732957128991</v>
      </c>
      <c r="L22" s="71">
        <f>IF(VLOOKUP(A22,Fiktive_Dividende!A$3:AM$103,18,FALSE)&lt;&gt;"",IF(VLOOKUP(A22,Ergebnis_je_Aktie_verwässert!A$3:AK$103,12,FALSE)&lt;&gt;"",IF(VLOOKUP(A22,Ergebnis_je_Aktie_verwässert!A$3:AK$103,12,FALSE)&lt;=0,2,IF(VLOOKUP(A22,Fiktive_Dividende!A$3:AM$103,18,FALSE)/VLOOKUP(A22,Ergebnis_je_Aktie_verwässert!A$3:AK$103,12,FALSE)&gt;=2,2,VLOOKUP(A22,Fiktive_Dividende!A$3:AM$103,18,FALSE)/VLOOKUP(A22,Ergebnis_je_Aktie_verwässert!A$3:AK$103,12,FALSE))),""),"")</f>
        <v>0.68599477368372841</v>
      </c>
      <c r="M22" s="71">
        <f>IF(VLOOKUP(A22,Fiktive_Dividende!A$3:AM$103,19,FALSE)&lt;&gt;"",IF(VLOOKUP(A22,Ergebnis_je_Aktie_verwässert!A$3:AK$103,13,FALSE)&lt;&gt;"",IF(VLOOKUP(A22,Ergebnis_je_Aktie_verwässert!A$3:AK$103,13,FALSE)&lt;=0,2,IF(VLOOKUP(A22,Fiktive_Dividende!A$3:AM$103,19,FALSE)/VLOOKUP(A22,Ergebnis_je_Aktie_verwässert!A$3:AK$103,13,FALSE)&gt;=2,2,VLOOKUP(A22,Fiktive_Dividende!A$3:AM$103,19,FALSE)/VLOOKUP(A22,Ergebnis_je_Aktie_verwässert!A$3:AK$103,13,FALSE))),""),"")</f>
        <v>0.91718539440283386</v>
      </c>
      <c r="N22" s="71">
        <f>IF(VLOOKUP(A22,Fiktive_Dividende!A$3:AM$103,20,FALSE)&lt;&gt;"",IF(VLOOKUP(A22,Ergebnis_je_Aktie_verwässert!A$3:AK$103,14,FALSE)&lt;&gt;"",IF(VLOOKUP(A22,Ergebnis_je_Aktie_verwässert!A$3:AK$103,14,FALSE)&lt;=0,2,IF(VLOOKUP(A22,Fiktive_Dividende!A$3:AM$103,20,FALSE)/VLOOKUP(A22,Ergebnis_je_Aktie_verwässert!A$3:AK$103,14,FALSE)&gt;=2,2,VLOOKUP(A22,Fiktive_Dividende!A$3:AM$103,20,FALSE)/VLOOKUP(A22,Ergebnis_je_Aktie_verwässert!A$3:AK$103,14,FALSE))),""),"")</f>
        <v>0.4779411764705882</v>
      </c>
      <c r="O22" s="71">
        <f>IF(VLOOKUP(A22,Fiktive_Dividende!A$3:AM$103,21,FALSE)&lt;&gt;"",IF(VLOOKUP(A22,Ergebnis_je_Aktie_verwässert!A$3:AK$103,15,FALSE)&lt;&gt;"",IF(VLOOKUP(A22,Ergebnis_je_Aktie_verwässert!A$3:AK$103,15,FALSE)&lt;=0,2,IF(VLOOKUP(A22,Fiktive_Dividende!A$3:AM$103,21,FALSE)/VLOOKUP(A22,Ergebnis_je_Aktie_verwässert!A$3:AK$103,15,FALSE)&gt;=2,2,VLOOKUP(A22,Fiktive_Dividende!A$3:AM$103,21,FALSE)/VLOOKUP(A22,Ergebnis_je_Aktie_verwässert!A$3:AK$103,15,FALSE))),""),"")</f>
        <v>0.46692607003891051</v>
      </c>
      <c r="P22" s="71">
        <f>IF(VLOOKUP(A22,Fiktive_Dividende!A$3:AM$103,22,FALSE)&lt;&gt;"",IF(VLOOKUP(A22,Ergebnis_je_Aktie_verwässert!A$3:AK$103,16,FALSE)&lt;&gt;"",IF(VLOOKUP(A22,Ergebnis_je_Aktie_verwässert!A$3:AK$103,16,FALSE)&lt;=0,2,IF(VLOOKUP(A22,Fiktive_Dividende!A$3:AM$103,22,FALSE)/VLOOKUP(A22,Ergebnis_je_Aktie_verwässert!A$3:AK$103,16,FALSE)&gt;=2,2,VLOOKUP(A22,Fiktive_Dividende!A$3:AM$103,22,FALSE)/VLOOKUP(A22,Ergebnis_je_Aktie_verwässert!A$3:AK$103,16,FALSE))),""),"")</f>
        <v>0.45112781954887216</v>
      </c>
      <c r="Q22" s="71">
        <f>IF(VLOOKUP(A22,Fiktive_Dividende!A$3:AM$103,23,FALSE)&lt;&gt;"",IF(VLOOKUP(A22,Ergebnis_je_Aktie_verwässert!A$3:AK$103,17,FALSE)&lt;&gt;"",IF(VLOOKUP(A22,Ergebnis_je_Aktie_verwässert!A$3:AK$103,17,FALSE)&lt;=0,2,IF(VLOOKUP(A22,Fiktive_Dividende!A$3:AM$103,23,FALSE)/VLOOKUP(A22,Ergebnis_je_Aktie_verwässert!A$3:AK$103,17,FALSE)&gt;=2,2,VLOOKUP(A22,Fiktive_Dividende!A$3:AM$103,23,FALSE)/VLOOKUP(A22,Ergebnis_je_Aktie_verwässert!A$3:AK$103,17,FALSE))),""),"")</f>
        <v>0.88162473867375757</v>
      </c>
      <c r="R22" s="71">
        <f>IF(VLOOKUP(A22,Fiktive_Dividende!A$3:AM$103,24,FALSE)&lt;&gt;"",IF(VLOOKUP(A22,Ergebnis_je_Aktie_verwässert!A$3:AK$103,18,FALSE)&lt;&gt;"",IF(VLOOKUP(A22,Ergebnis_je_Aktie_verwässert!A$3:AK$103,18,FALSE)&lt;=0,2,IF(VLOOKUP(A22,Fiktive_Dividende!A$3:AM$103,24,FALSE)/VLOOKUP(A22,Ergebnis_je_Aktie_verwässert!A$3:AK$103,18,FALSE)&gt;=2,2,VLOOKUP(A22,Fiktive_Dividende!A$3:AM$103,24,FALSE)/VLOOKUP(A22,Ergebnis_je_Aktie_verwässert!A$3:AK$103,18,FALSE))),""),"")</f>
        <v>0.70738741682322959</v>
      </c>
      <c r="S22" s="105">
        <f t="shared" si="0"/>
        <v>0.64079395940381356</v>
      </c>
      <c r="T22" s="71">
        <f>IF(VLOOKUP(A22,Dividende_je_Aktie!A$3:AM$103,6,FALSE)&lt;&gt;"",IF(VLOOKUP(A22,Ergebnis_je_Aktie_verwässert!A$3:AK$103,6,FALSE)&lt;&gt;"",IF(VLOOKUP(A22,Ergebnis_je_Aktie_verwässert!A$3:AK$103,6,FALSE)&lt;=0,2,IF(VLOOKUP(A22,Dividende_je_Aktie!A$3:AM$103,6,FALSE)/VLOOKUP(A22,Ergebnis_je_Aktie_verwässert!A$3:AK$103,6,FALSE)&gt;=2,2,VLOOKUP(A22,Dividende_je_Aktie!A$3:AM$103,6,FALSE)/VLOOKUP(A22,Ergebnis_je_Aktie_verwässert!A$3:AK$103,6,FALSE))),""),"")</f>
        <v>0.55270655270655278</v>
      </c>
      <c r="U22" s="71">
        <f>IF(VLOOKUP(A22,Dividende_je_Aktie!A$3:AM$103,7,FALSE)&lt;&gt;"",IF(VLOOKUP(A22,Ergebnis_je_Aktie_verwässert!A$3:AK$103,7,FALSE)&lt;&gt;"",IF(VLOOKUP(A22,Ergebnis_je_Aktie_verwässert!A$3:AK$103,7,FALSE)&lt;=0,2,IF(VLOOKUP(A22,Dividende_je_Aktie!A$3:AM$103,7,FALSE)/VLOOKUP(A22,Ergebnis_je_Aktie_verwässert!A$3:AK$103,7,FALSE)&gt;=2,2,VLOOKUP(A22,Dividende_je_Aktie!A$3:AM$103,7,FALSE)/VLOOKUP(A22,Ergebnis_je_Aktie_verwässert!A$3:AK$103,7,FALSE))),""),"")</f>
        <v>0.55351681957186549</v>
      </c>
      <c r="V22" s="71">
        <f>IF(VLOOKUP(A22,Dividende_je_Aktie!A$3:AM$103,8,FALSE)&lt;&gt;"",IF(VLOOKUP(A22,Ergebnis_je_Aktie_verwässert!A$3:AK$103,8,FALSE)&lt;&gt;"",IF(VLOOKUP(A22,Ergebnis_je_Aktie_verwässert!A$3:AK$103,8,FALSE)&lt;=0,2,IF(VLOOKUP(A22,Dividende_je_Aktie!A$3:AM$103,8,FALSE)/VLOOKUP(A22,Ergebnis_je_Aktie_verwässert!A$3:AK$103,8,FALSE)&gt;=2,2,VLOOKUP(A22,Dividende_je_Aktie!A$3:AM$103,8,FALSE)/VLOOKUP(A22,Ergebnis_je_Aktie_verwässert!A$3:AK$103,8,FALSE))),""),"")</f>
        <v>0.55813953488372092</v>
      </c>
      <c r="W22" s="71">
        <f>IF(VLOOKUP(A22,Dividende_je_Aktie!A$3:AM$103,9,FALSE)&lt;&gt;"",IF(VLOOKUP(A22,Ergebnis_je_Aktie_verwässert!A$3:AK$103,9,FALSE)&lt;&gt;"",IF(VLOOKUP(A22,Ergebnis_je_Aktie_verwässert!A$3:AK$103,9,FALSE)&lt;=0,2,IF(VLOOKUP(A22,Dividende_je_Aktie!A$3:AM$103,9,FALSE)/VLOOKUP(A22,Ergebnis_je_Aktie_verwässert!A$3:AK$103,9,FALSE)&gt;=2,2,VLOOKUP(A22,Dividende_je_Aktie!A$3:AM$103,9,FALSE)/VLOOKUP(A22,Ergebnis_je_Aktie_verwässert!A$3:AK$103,9,FALSE))),""),"")</f>
        <v>0.76190476190476186</v>
      </c>
      <c r="X22" s="71">
        <f>IF(VLOOKUP(A22,Dividende_je_Aktie!A$3:AM$103,10,FALSE)&lt;&gt;"",IF(VLOOKUP(A22,Ergebnis_je_Aktie_verwässert!A$3:AK$103,10,FALSE)&lt;&gt;"",IF(VLOOKUP(A22,Ergebnis_je_Aktie_verwässert!A$3:AK$103,10,FALSE)&lt;=0,2,IF(VLOOKUP(A22,Dividende_je_Aktie!A$3:AM$103,10,FALSE)/VLOOKUP(A22,Ergebnis_je_Aktie_verwässert!A$3:AK$103,10,FALSE)&gt;=2,2,VLOOKUP(A22,Dividende_je_Aktie!A$3:AM$103,10,FALSE)/VLOOKUP(A22,Ergebnis_je_Aktie_verwässert!A$3:AK$103,10,FALSE))),""),"")</f>
        <v>0.5725190839694656</v>
      </c>
      <c r="Y22" s="71">
        <f>IF(VLOOKUP(A22,Dividende_je_Aktie!A$3:AM$103,11,FALSE)&lt;&gt;"",IF(VLOOKUP(A22,Ergebnis_je_Aktie_verwässert!A$3:AK$103,11,FALSE)&lt;&gt;"",IF(VLOOKUP(A22,Ergebnis_je_Aktie_verwässert!A$3:AK$103,11,FALSE)&lt;=0,2,IF(VLOOKUP(A22,Dividende_je_Aktie!A$3:AM$103,11,FALSE)/VLOOKUP(A22,Ergebnis_je_Aktie_verwässert!A$3:AK$103,11,FALSE)&gt;=2,2,VLOOKUP(A22,Dividende_je_Aktie!A$3:AM$103,11,FALSE)/VLOOKUP(A22,Ergebnis_je_Aktie_verwässert!A$3:AK$103,11,FALSE))),""),"")</f>
        <v>0.52158273381294962</v>
      </c>
      <c r="Z22" s="71">
        <f>IF(VLOOKUP(A22,Dividende_je_Aktie!A$3:AM$103,12,FALSE)&lt;&gt;"",IF(VLOOKUP(A22,Ergebnis_je_Aktie_verwässert!A$3:AK$103,12,FALSE)&lt;&gt;"",IF(VLOOKUP(A22,Ergebnis_je_Aktie_verwässert!A$3:AK$103,12,FALSE)&lt;=0,2,IF(VLOOKUP(A22,Dividende_je_Aktie!A$3:AM$103,12,FALSE)/VLOOKUP(A22,Ergebnis_je_Aktie_verwässert!A$3:AK$103,12,FALSE)&gt;=2,2,VLOOKUP(A22,Dividende_je_Aktie!A$3:AM$103,12,FALSE)/VLOOKUP(A22,Ergebnis_je_Aktie_verwässert!A$3:AK$103,12,FALSE))),""),"")</f>
        <v>0.48172757475083061</v>
      </c>
      <c r="AA22" s="71">
        <f>IF(VLOOKUP(A22,Dividende_je_Aktie!A$3:AM$103,13,FALSE)&lt;&gt;"",IF(VLOOKUP(A22,Ergebnis_je_Aktie_verwässert!A$3:AK$103,13,FALSE)&lt;&gt;"",IF(VLOOKUP(A22,Ergebnis_je_Aktie_verwässert!A$3:AK$103,13,FALSE)&lt;=0,2,IF(VLOOKUP(A22,Dividende_je_Aktie!A$3:AM$103,13,FALSE)/VLOOKUP(A22,Ergebnis_je_Aktie_verwässert!A$3:AK$103,13,FALSE)&gt;=2,2,VLOOKUP(A22,Dividende_je_Aktie!A$3:AM$103,13,FALSE)/VLOOKUP(A22,Ergebnis_je_Aktie_verwässert!A$3:AK$103,13,FALSE))),""),"")</f>
        <v>0.48096885813148782</v>
      </c>
      <c r="AB22" s="71">
        <f>IF(VLOOKUP(A22,Dividende_je_Aktie!A$3:AM$103,14,FALSE)&lt;&gt;"",IF(VLOOKUP(A22,Ergebnis_je_Aktie_verwässert!A$3:AK$103,14,FALSE)&lt;&gt;"",IF(VLOOKUP(A22,Ergebnis_je_Aktie_verwässert!A$3:AK$103,14,FALSE)&lt;=0,2,IF(VLOOKUP(A22,Dividende_je_Aktie!A$3:AM$103,14,FALSE)/VLOOKUP(A22,Ergebnis_je_Aktie_verwässert!A$3:AK$103,14,FALSE)&gt;=2,2,VLOOKUP(A22,Dividende_je_Aktie!A$3:AM$103,14,FALSE)/VLOOKUP(A22,Ergebnis_je_Aktie_verwässert!A$3:AK$103,14,FALSE))),""),"")</f>
        <v>0.4779411764705882</v>
      </c>
      <c r="AC22" s="71">
        <f>IF(VLOOKUP(A22,Dividende_je_Aktie!A$3:AM$103,15,FALSE)&lt;&gt;"",IF(VLOOKUP(A22,Ergebnis_je_Aktie_verwässert!A$3:AK$103,15,FALSE)&lt;&gt;"",IF(VLOOKUP(A22,Ergebnis_je_Aktie_verwässert!A$3:AK$103,15,FALSE)&lt;=0,2,IF(VLOOKUP(A22,Dividende_je_Aktie!A$3:AM$103,15,FALSE)/VLOOKUP(A22,Ergebnis_je_Aktie_verwässert!A$3:AK$103,15,FALSE)&gt;=2,2,VLOOKUP(A22,Dividende_je_Aktie!A$3:AM$103,15,FALSE)/VLOOKUP(A22,Ergebnis_je_Aktie_verwässert!A$3:AK$103,15,FALSE))),""),"")</f>
        <v>0.46692607003891051</v>
      </c>
      <c r="AD22" s="71">
        <f>IF(VLOOKUP(A22,Dividende_je_Aktie!A$3:AM$103,16,FALSE)&lt;&gt;"",IF(VLOOKUP(A22,Ergebnis_je_Aktie_verwässert!A$3:AK$103,16,FALSE)&lt;&gt;"",IF(VLOOKUP(A22,Ergebnis_je_Aktie_verwässert!A$3:AK$103,16,FALSE)&lt;=0,2,IF(VLOOKUP(A22,Dividende_je_Aktie!A$3:AM$103,16,FALSE)/VLOOKUP(A22,Ergebnis_je_Aktie_verwässert!A$3:AK$103,16,FALSE)&gt;=2,2,VLOOKUP(A22,Dividende_je_Aktie!A$3:AM$103,16,FALSE)/VLOOKUP(A22,Ergebnis_je_Aktie_verwässert!A$3:AK$103,16,FALSE))),""),"")</f>
        <v>0.45112781954887216</v>
      </c>
      <c r="AE22" s="71">
        <f>IF(VLOOKUP(A22,Dividende_je_Aktie!A$3:AM$103,17,FALSE)&lt;&gt;"",IF(VLOOKUP(A22,Ergebnis_je_Aktie_verwässert!A$3:AK$103,17,FALSE)&lt;&gt;"",IF(VLOOKUP(A22,Ergebnis_je_Aktie_verwässert!A$3:AK$103,17,FALSE)&lt;=0,2,IF(VLOOKUP(A22,Dividende_je_Aktie!A$3:AM$103,17,FALSE)/VLOOKUP(A22,Ergebnis_je_Aktie_verwässert!A$3:AK$103,17,FALSE)&gt;=2,2,VLOOKUP(A22,Dividende_je_Aktie!A$3:AM$103,17,FALSE)/VLOOKUP(A22,Ergebnis_je_Aktie_verwässert!A$3:AK$103,17,FALSE))),""),"")</f>
        <v>0.44534412955465585</v>
      </c>
      <c r="AF22" s="71">
        <f>IF(VLOOKUP(A22,Dividende_je_Aktie!A$3:AM$103,18,FALSE)&lt;&gt;"",IF(VLOOKUP(A22,Ergebnis_je_Aktie_verwässert!A$3:AK$103,18,FALSE)&lt;&gt;"",IF(VLOOKUP(A22,Ergebnis_je_Aktie_verwässert!A$3:AK$103,18,FALSE)&lt;=0,2,IF(VLOOKUP(A22,Dividende_je_Aktie!A$3:AM$103,18,FALSE)/VLOOKUP(A22,Ergebnis_je_Aktie_verwässert!A$3:AK$103,18,FALSE)&gt;=2,2,VLOOKUP(A22,Dividende_je_Aktie!A$3:AM$103,18,FALSE)/VLOOKUP(A22,Ergebnis_je_Aktie_verwässert!A$3:AK$103,18,FALSE))),""),"")</f>
        <v>0.4098360655737705</v>
      </c>
      <c r="AG22" s="105">
        <f t="shared" si="1"/>
        <v>0.51801855237834082</v>
      </c>
      <c r="AH22" s="4">
        <f t="shared" ca="1" si="2"/>
        <v>0</v>
      </c>
      <c r="AI22" s="4">
        <f t="shared" ca="1" si="3"/>
        <v>108</v>
      </c>
      <c r="AJ22" s="4">
        <f t="shared" ca="1" si="4"/>
        <v>252</v>
      </c>
      <c r="AK22" s="10">
        <f t="shared" ca="1" si="5"/>
        <v>0.55675272029016432</v>
      </c>
      <c r="AL22" s="5">
        <f t="shared" ca="1" si="6"/>
        <v>7.4773707879739248E-2</v>
      </c>
    </row>
    <row r="23" spans="1:38">
      <c r="A23" t="s">
        <v>30</v>
      </c>
      <c r="B23" t="s">
        <v>31</v>
      </c>
      <c r="C23" s="60">
        <v>31</v>
      </c>
      <c r="D23" s="60">
        <v>12</v>
      </c>
      <c r="E23" s="60">
        <v>2016</v>
      </c>
      <c r="F23" s="71">
        <f>IF(VLOOKUP(A23,Dividende_je_Aktie!A$3:AM$103,6,FALSE)&lt;&gt;"",IF(VLOOKUP(A23,Ergebnis_je_Aktie_verwässert!A$3:AK$103,6,FALSE)&lt;&gt;"",IF(VLOOKUP(A23,Ergebnis_je_Aktie_verwässert!A$3:AK$103,6,FALSE)&lt;=0,2,IF(VLOOKUP(A23,Dividende_je_Aktie!A$3:AM$103,6,FALSE)/VLOOKUP(A23,Ergebnis_je_Aktie_verwässert!A$3:AK$103,6,FALSE)&gt;=2,2,VLOOKUP(A23,Dividende_je_Aktie!A$3:AM$103,6,FALSE)/VLOOKUP(A23,Ergebnis_je_Aktie_verwässert!A$3:AK$103,6,FALSE))),""),"")</f>
        <v>0.7038461538461539</v>
      </c>
      <c r="G23" s="71">
        <f>IF(VLOOKUP(A23,Dividende_je_Aktie!A$3:AM$103,7,FALSE)&lt;&gt;"",IF(VLOOKUP(A23,Ergebnis_je_Aktie_verwässert!A$3:AK$103,7,FALSE)&lt;&gt;"",IF(VLOOKUP(A23,Ergebnis_je_Aktie_verwässert!A$3:AK$103,7,FALSE)&lt;=0,2,IF(VLOOKUP(A23,Dividende_je_Aktie!A$3:AM$103,7,FALSE)/VLOOKUP(A23,Ergebnis_je_Aktie_verwässert!A$3:AK$103,7,FALSE)&gt;=2,2,VLOOKUP(A23,Dividende_je_Aktie!A$3:AM$103,7,FALSE)/VLOOKUP(A23,Ergebnis_je_Aktie_verwässert!A$3:AK$103,7,FALSE))),""),"")</f>
        <v>0.79723502304147464</v>
      </c>
      <c r="H23" s="71">
        <f>IF(VLOOKUP(A23,Fiktive_Dividende!A$3:AM$103,14,FALSE)&lt;&gt;"",IF(VLOOKUP(A23,Ergebnis_je_Aktie_verwässert!A$3:AK$103,8,FALSE)&lt;&gt;"",IF(VLOOKUP(A23,Ergebnis_je_Aktie_verwässert!A$3:AK$103,8,FALSE)&lt;=0,2,IF(VLOOKUP(A23,Fiktive_Dividende!A$3:AM$103,14,FALSE)/VLOOKUP(A23,Ergebnis_je_Aktie_verwässert!A$3:AK$103,8,FALSE)&gt;=2,2,VLOOKUP(A23,Fiktive_Dividende!A$3:AM$103,14,FALSE)/VLOOKUP(A23,Ergebnis_je_Aktie_verwässert!A$3:AK$103,8,FALSE))),""),"")</f>
        <v>0.76995305164319261</v>
      </c>
      <c r="I23" s="71">
        <f>IF(VLOOKUP(A23,Fiktive_Dividende!A$3:AM$103,15,FALSE)&lt;&gt;"",IF(VLOOKUP(A23,Ergebnis_je_Aktie_verwässert!A$3:AK$103,9,FALSE)&lt;&gt;"",IF(VLOOKUP(A23,Ergebnis_je_Aktie_verwässert!A$3:AK$103,9,FALSE)&lt;=0,2,IF(VLOOKUP(A23,Fiktive_Dividende!A$3:AM$103,15,FALSE)/VLOOKUP(A23,Ergebnis_je_Aktie_verwässert!A$3:AK$103,9,FALSE)&gt;=2,2,VLOOKUP(A23,Fiktive_Dividende!A$3:AM$103,15,FALSE)/VLOOKUP(A23,Ergebnis_je_Aktie_verwässert!A$3:AK$103,9,FALSE))),""),"")</f>
        <v>0.66956521739130437</v>
      </c>
      <c r="J23" s="71">
        <f>IF(VLOOKUP(A23,Fiktive_Dividende!A$3:AM$103,16,FALSE)&lt;&gt;"",IF(VLOOKUP(A23,Ergebnis_je_Aktie_verwässert!A$3:AK$103,10,FALSE)&lt;&gt;"",IF(VLOOKUP(A23,Ergebnis_je_Aktie_verwässert!A$3:AK$103,10,FALSE)&lt;=0,2,IF(VLOOKUP(A23,Fiktive_Dividende!A$3:AM$103,16,FALSE)/VLOOKUP(A23,Ergebnis_je_Aktie_verwässert!A$3:AK$103,10,FALSE)&gt;=2,2,VLOOKUP(A23,Fiktive_Dividende!A$3:AM$103,16,FALSE)/VLOOKUP(A23,Ergebnis_je_Aktie_verwässert!A$3:AK$103,10,FALSE))),""),"")</f>
        <v>0.88622754491017963</v>
      </c>
      <c r="K23" s="71">
        <f>IF(VLOOKUP(A23,Fiktive_Dividende!A$3:AM$103,17,FALSE)&lt;&gt;"",IF(VLOOKUP(A23,Ergebnis_je_Aktie_verwässert!A$3:AK$103,11,FALSE)&lt;&gt;"",IF(VLOOKUP(A23,Ergebnis_je_Aktie_verwässert!A$3:AK$103,11,FALSE)&lt;=0,2,IF(VLOOKUP(A23,Fiktive_Dividende!A$3:AM$103,17,FALSE)/VLOOKUP(A23,Ergebnis_je_Aktie_verwässert!A$3:AK$103,11,FALSE)&gt;=2,2,VLOOKUP(A23,Fiktive_Dividende!A$3:AM$103,17,FALSE)/VLOOKUP(A23,Ergebnis_je_Aktie_verwässert!A$3:AK$103,11,FALSE))),""),"")</f>
        <v>0.69268292682926835</v>
      </c>
      <c r="L23" s="71">
        <f>IF(VLOOKUP(A23,Fiktive_Dividende!A$3:AM$103,18,FALSE)&lt;&gt;"",IF(VLOOKUP(A23,Ergebnis_je_Aktie_verwässert!A$3:AK$103,12,FALSE)&lt;&gt;"",IF(VLOOKUP(A23,Ergebnis_je_Aktie_verwässert!A$3:AK$103,12,FALSE)&lt;=0,2,IF(VLOOKUP(A23,Fiktive_Dividende!A$3:AM$103,18,FALSE)/VLOOKUP(A23,Ergebnis_je_Aktie_verwässert!A$3:AK$103,12,FALSE)&gt;=2,2,VLOOKUP(A23,Fiktive_Dividende!A$3:AM$103,18,FALSE)/VLOOKUP(A23,Ergebnis_je_Aktie_verwässert!A$3:AK$103,12,FALSE))),""),"")</f>
        <v>0.68527918781725894</v>
      </c>
      <c r="M23" s="71">
        <f>IF(VLOOKUP(A23,Fiktive_Dividende!A$3:AM$103,19,FALSE)&lt;&gt;"",IF(VLOOKUP(A23,Ergebnis_je_Aktie_verwässert!A$3:AK$103,13,FALSE)&lt;&gt;"",IF(VLOOKUP(A23,Ergebnis_je_Aktie_verwässert!A$3:AK$103,13,FALSE)&lt;=0,2,IF(VLOOKUP(A23,Fiktive_Dividende!A$3:AM$103,19,FALSE)/VLOOKUP(A23,Ergebnis_je_Aktie_verwässert!A$3:AK$103,13,FALSE)&gt;=2,2,VLOOKUP(A23,Fiktive_Dividende!A$3:AM$103,19,FALSE)/VLOOKUP(A23,Ergebnis_je_Aktie_verwässert!A$3:AK$103,13,FALSE))),""),"")</f>
        <v>0.8141025641025641</v>
      </c>
      <c r="N23" s="71">
        <f>IF(VLOOKUP(A23,Fiktive_Dividende!A$3:AM$103,20,FALSE)&lt;&gt;"",IF(VLOOKUP(A23,Ergebnis_je_Aktie_verwässert!A$3:AK$103,14,FALSE)&lt;&gt;"",IF(VLOOKUP(A23,Ergebnis_je_Aktie_verwässert!A$3:AK$103,14,FALSE)&lt;=0,2,IF(VLOOKUP(A23,Fiktive_Dividende!A$3:AM$103,20,FALSE)/VLOOKUP(A23,Ergebnis_je_Aktie_verwässert!A$3:AK$103,14,FALSE)&gt;=2,2,VLOOKUP(A23,Fiktive_Dividende!A$3:AM$103,20,FALSE)/VLOOKUP(A23,Ergebnis_je_Aktie_verwässert!A$3:AK$103,14,FALSE))),""),"")</f>
        <v>0.79166666666666663</v>
      </c>
      <c r="O23" s="71">
        <f>IF(VLOOKUP(A23,Fiktive_Dividende!A$3:AM$103,21,FALSE)&lt;&gt;"",IF(VLOOKUP(A23,Ergebnis_je_Aktie_verwässert!A$3:AK$103,15,FALSE)&lt;&gt;"",IF(VLOOKUP(A23,Ergebnis_je_Aktie_verwässert!A$3:AK$103,15,FALSE)&lt;=0,2,IF(VLOOKUP(A23,Fiktive_Dividende!A$3:AM$103,21,FALSE)/VLOOKUP(A23,Ergebnis_je_Aktie_verwässert!A$3:AK$103,15,FALSE)&gt;=2,2,VLOOKUP(A23,Fiktive_Dividende!A$3:AM$103,21,FALSE)/VLOOKUP(A23,Ergebnis_je_Aktie_verwässert!A$3:AK$103,15,FALSE))),""),"")</f>
        <v>0.73529411764705876</v>
      </c>
      <c r="P23" s="71">
        <f>IF(VLOOKUP(A23,Fiktive_Dividende!A$3:AM$103,22,FALSE)&lt;&gt;"",IF(VLOOKUP(A23,Ergebnis_je_Aktie_verwässert!A$3:AK$103,16,FALSE)&lt;&gt;"",IF(VLOOKUP(A23,Ergebnis_je_Aktie_verwässert!A$3:AK$103,16,FALSE)&lt;=0,2,IF(VLOOKUP(A23,Fiktive_Dividende!A$3:AM$103,22,FALSE)/VLOOKUP(A23,Ergebnis_je_Aktie_verwässert!A$3:AK$103,16,FALSE)&gt;=2,2,VLOOKUP(A23,Fiktive_Dividende!A$3:AM$103,22,FALSE)/VLOOKUP(A23,Ergebnis_je_Aktie_verwässert!A$3:AK$103,16,FALSE))),""),"")</f>
        <v>0.68292682926829262</v>
      </c>
      <c r="Q23" s="71">
        <f>IF(VLOOKUP(A23,Fiktive_Dividende!A$3:AM$103,23,FALSE)&lt;&gt;"",IF(VLOOKUP(A23,Ergebnis_je_Aktie_verwässert!A$3:AK$103,17,FALSE)&lt;&gt;"",IF(VLOOKUP(A23,Ergebnis_je_Aktie_verwässert!A$3:AK$103,17,FALSE)&lt;=0,2,IF(VLOOKUP(A23,Fiktive_Dividende!A$3:AM$103,23,FALSE)/VLOOKUP(A23,Ergebnis_je_Aktie_verwässert!A$3:AK$103,17,FALSE)&gt;=2,2,VLOOKUP(A23,Fiktive_Dividende!A$3:AM$103,23,FALSE)/VLOOKUP(A23,Ergebnis_je_Aktie_verwässert!A$3:AK$103,17,FALSE))),""),"")</f>
        <v>0.63461538461538458</v>
      </c>
      <c r="R23" s="71">
        <f>IF(VLOOKUP(A23,Fiktive_Dividende!A$3:AM$103,24,FALSE)&lt;&gt;"",IF(VLOOKUP(A23,Ergebnis_je_Aktie_verwässert!A$3:AK$103,18,FALSE)&lt;&gt;"",IF(VLOOKUP(A23,Ergebnis_je_Aktie_verwässert!A$3:AK$103,18,FALSE)&lt;=0,2,IF(VLOOKUP(A23,Fiktive_Dividende!A$3:AM$103,24,FALSE)/VLOOKUP(A23,Ergebnis_je_Aktie_verwässert!A$3:AK$103,18,FALSE)&gt;=2,2,VLOOKUP(A23,Fiktive_Dividende!A$3:AM$103,24,FALSE)/VLOOKUP(A23,Ergebnis_je_Aktie_verwässert!A$3:AK$103,18,FALSE))),""),"")</f>
        <v>0.56795131845841795</v>
      </c>
      <c r="S23" s="105">
        <f t="shared" si="0"/>
        <v>0.72548815278747836</v>
      </c>
      <c r="T23" s="71">
        <f>IF(VLOOKUP(A23,Dividende_je_Aktie!A$3:AM$103,6,FALSE)&lt;&gt;"",IF(VLOOKUP(A23,Ergebnis_je_Aktie_verwässert!A$3:AK$103,6,FALSE)&lt;&gt;"",IF(VLOOKUP(A23,Ergebnis_je_Aktie_verwässert!A$3:AK$103,6,FALSE)&lt;=0,2,IF(VLOOKUP(A23,Dividende_je_Aktie!A$3:AM$103,6,FALSE)/VLOOKUP(A23,Ergebnis_je_Aktie_verwässert!A$3:AK$103,6,FALSE)&gt;=2,2,VLOOKUP(A23,Dividende_je_Aktie!A$3:AM$103,6,FALSE)/VLOOKUP(A23,Ergebnis_je_Aktie_verwässert!A$3:AK$103,6,FALSE))),""),"")</f>
        <v>0.7038461538461539</v>
      </c>
      <c r="U23" s="71">
        <f>IF(VLOOKUP(A23,Dividende_je_Aktie!A$3:AM$103,7,FALSE)&lt;&gt;"",IF(VLOOKUP(A23,Ergebnis_je_Aktie_verwässert!A$3:AK$103,7,FALSE)&lt;&gt;"",IF(VLOOKUP(A23,Ergebnis_je_Aktie_verwässert!A$3:AK$103,7,FALSE)&lt;=0,2,IF(VLOOKUP(A23,Dividende_je_Aktie!A$3:AM$103,7,FALSE)/VLOOKUP(A23,Ergebnis_je_Aktie_verwässert!A$3:AK$103,7,FALSE)&gt;=2,2,VLOOKUP(A23,Dividende_je_Aktie!A$3:AM$103,7,FALSE)/VLOOKUP(A23,Ergebnis_je_Aktie_verwässert!A$3:AK$103,7,FALSE))),""),"")</f>
        <v>0.79723502304147464</v>
      </c>
      <c r="V23" s="71">
        <f>IF(VLOOKUP(A23,Dividende_je_Aktie!A$3:AM$103,8,FALSE)&lt;&gt;"",IF(VLOOKUP(A23,Ergebnis_je_Aktie_verwässert!A$3:AK$103,8,FALSE)&lt;&gt;"",IF(VLOOKUP(A23,Ergebnis_je_Aktie_verwässert!A$3:AK$103,8,FALSE)&lt;=0,2,IF(VLOOKUP(A23,Dividende_je_Aktie!A$3:AM$103,8,FALSE)/VLOOKUP(A23,Ergebnis_je_Aktie_verwässert!A$3:AK$103,8,FALSE)&gt;=2,2,VLOOKUP(A23,Dividende_je_Aktie!A$3:AM$103,8,FALSE)/VLOOKUP(A23,Ergebnis_je_Aktie_verwässert!A$3:AK$103,8,FALSE))),""),"")</f>
        <v>0.76995305164319261</v>
      </c>
      <c r="W23" s="71">
        <f>IF(VLOOKUP(A23,Dividende_je_Aktie!A$3:AM$103,9,FALSE)&lt;&gt;"",IF(VLOOKUP(A23,Ergebnis_je_Aktie_verwässert!A$3:AK$103,9,FALSE)&lt;&gt;"",IF(VLOOKUP(A23,Ergebnis_je_Aktie_verwässert!A$3:AK$103,9,FALSE)&lt;=0,2,IF(VLOOKUP(A23,Dividende_je_Aktie!A$3:AM$103,9,FALSE)/VLOOKUP(A23,Ergebnis_je_Aktie_verwässert!A$3:AK$103,9,FALSE)&gt;=2,2,VLOOKUP(A23,Dividende_je_Aktie!A$3:AM$103,9,FALSE)/VLOOKUP(A23,Ergebnis_je_Aktie_verwässert!A$3:AK$103,9,FALSE))),""),"")</f>
        <v>0.66956521739130437</v>
      </c>
      <c r="X23" s="71">
        <f>IF(VLOOKUP(A23,Dividende_je_Aktie!A$3:AM$103,10,FALSE)&lt;&gt;"",IF(VLOOKUP(A23,Ergebnis_je_Aktie_verwässert!A$3:AK$103,10,FALSE)&lt;&gt;"",IF(VLOOKUP(A23,Ergebnis_je_Aktie_verwässert!A$3:AK$103,10,FALSE)&lt;=0,2,IF(VLOOKUP(A23,Dividende_je_Aktie!A$3:AM$103,10,FALSE)/VLOOKUP(A23,Ergebnis_je_Aktie_verwässert!A$3:AK$103,10,FALSE)&gt;=2,2,VLOOKUP(A23,Dividende_je_Aktie!A$3:AM$103,10,FALSE)/VLOOKUP(A23,Ergebnis_je_Aktie_verwässert!A$3:AK$103,10,FALSE))),""),"")</f>
        <v>0.88622754491017963</v>
      </c>
      <c r="Y23" s="71">
        <f>IF(VLOOKUP(A23,Dividende_je_Aktie!A$3:AM$103,11,FALSE)&lt;&gt;"",IF(VLOOKUP(A23,Ergebnis_je_Aktie_verwässert!A$3:AK$103,11,FALSE)&lt;&gt;"",IF(VLOOKUP(A23,Ergebnis_je_Aktie_verwässert!A$3:AK$103,11,FALSE)&lt;=0,2,IF(VLOOKUP(A23,Dividende_je_Aktie!A$3:AM$103,11,FALSE)/VLOOKUP(A23,Ergebnis_je_Aktie_verwässert!A$3:AK$103,11,FALSE)&gt;=2,2,VLOOKUP(A23,Dividende_je_Aktie!A$3:AM$103,11,FALSE)/VLOOKUP(A23,Ergebnis_je_Aktie_verwässert!A$3:AK$103,11,FALSE))),""),"")</f>
        <v>0.69268292682926835</v>
      </c>
      <c r="Z23" s="71">
        <f>IF(VLOOKUP(A23,Dividende_je_Aktie!A$3:AM$103,12,FALSE)&lt;&gt;"",IF(VLOOKUP(A23,Ergebnis_je_Aktie_verwässert!A$3:AK$103,12,FALSE)&lt;&gt;"",IF(VLOOKUP(A23,Ergebnis_je_Aktie_verwässert!A$3:AK$103,12,FALSE)&lt;=0,2,IF(VLOOKUP(A23,Dividende_je_Aktie!A$3:AM$103,12,FALSE)/VLOOKUP(A23,Ergebnis_je_Aktie_verwässert!A$3:AK$103,12,FALSE)&gt;=2,2,VLOOKUP(A23,Dividende_je_Aktie!A$3:AM$103,12,FALSE)/VLOOKUP(A23,Ergebnis_je_Aktie_verwässert!A$3:AK$103,12,FALSE))),""),"")</f>
        <v>0.68527918781725894</v>
      </c>
      <c r="AA23" s="71">
        <f>IF(VLOOKUP(A23,Dividende_je_Aktie!A$3:AM$103,13,FALSE)&lt;&gt;"",IF(VLOOKUP(A23,Ergebnis_je_Aktie_verwässert!A$3:AK$103,13,FALSE)&lt;&gt;"",IF(VLOOKUP(A23,Ergebnis_je_Aktie_verwässert!A$3:AK$103,13,FALSE)&lt;=0,2,IF(VLOOKUP(A23,Dividende_je_Aktie!A$3:AM$103,13,FALSE)/VLOOKUP(A23,Ergebnis_je_Aktie_verwässert!A$3:AK$103,13,FALSE)&gt;=2,2,VLOOKUP(A23,Dividende_je_Aktie!A$3:AM$103,13,FALSE)/VLOOKUP(A23,Ergebnis_je_Aktie_verwässert!A$3:AK$103,13,FALSE))),""),"")</f>
        <v>0.8141025641025641</v>
      </c>
      <c r="AB23" s="71">
        <f>IF(VLOOKUP(A23,Dividende_je_Aktie!A$3:AM$103,14,FALSE)&lt;&gt;"",IF(VLOOKUP(A23,Ergebnis_je_Aktie_verwässert!A$3:AK$103,14,FALSE)&lt;&gt;"",IF(VLOOKUP(A23,Ergebnis_je_Aktie_verwässert!A$3:AK$103,14,FALSE)&lt;=0,2,IF(VLOOKUP(A23,Dividende_je_Aktie!A$3:AM$103,14,FALSE)/VLOOKUP(A23,Ergebnis_je_Aktie_verwässert!A$3:AK$103,14,FALSE)&gt;=2,2,VLOOKUP(A23,Dividende_je_Aktie!A$3:AM$103,14,FALSE)/VLOOKUP(A23,Ergebnis_je_Aktie_verwässert!A$3:AK$103,14,FALSE))),""),"")</f>
        <v>0.79166666666666663</v>
      </c>
      <c r="AC23" s="71">
        <f>IF(VLOOKUP(A23,Dividende_je_Aktie!A$3:AM$103,15,FALSE)&lt;&gt;"",IF(VLOOKUP(A23,Ergebnis_je_Aktie_verwässert!A$3:AK$103,15,FALSE)&lt;&gt;"",IF(VLOOKUP(A23,Ergebnis_je_Aktie_verwässert!A$3:AK$103,15,FALSE)&lt;=0,2,IF(VLOOKUP(A23,Dividende_je_Aktie!A$3:AM$103,15,FALSE)/VLOOKUP(A23,Ergebnis_je_Aktie_verwässert!A$3:AK$103,15,FALSE)&gt;=2,2,VLOOKUP(A23,Dividende_je_Aktie!A$3:AM$103,15,FALSE)/VLOOKUP(A23,Ergebnis_je_Aktie_verwässert!A$3:AK$103,15,FALSE))),""),"")</f>
        <v>0.73529411764705876</v>
      </c>
      <c r="AD23" s="71">
        <f>IF(VLOOKUP(A23,Dividende_je_Aktie!A$3:AM$103,16,FALSE)&lt;&gt;"",IF(VLOOKUP(A23,Ergebnis_je_Aktie_verwässert!A$3:AK$103,16,FALSE)&lt;&gt;"",IF(VLOOKUP(A23,Ergebnis_je_Aktie_verwässert!A$3:AK$103,16,FALSE)&lt;=0,2,IF(VLOOKUP(A23,Dividende_je_Aktie!A$3:AM$103,16,FALSE)/VLOOKUP(A23,Ergebnis_je_Aktie_verwässert!A$3:AK$103,16,FALSE)&gt;=2,2,VLOOKUP(A23,Dividende_je_Aktie!A$3:AM$103,16,FALSE)/VLOOKUP(A23,Ergebnis_je_Aktie_verwässert!A$3:AK$103,16,FALSE))),""),"")</f>
        <v>0.68292682926829262</v>
      </c>
      <c r="AE23" s="71">
        <f>IF(VLOOKUP(A23,Dividende_je_Aktie!A$3:AM$103,17,FALSE)&lt;&gt;"",IF(VLOOKUP(A23,Ergebnis_je_Aktie_verwässert!A$3:AK$103,17,FALSE)&lt;&gt;"",IF(VLOOKUP(A23,Ergebnis_je_Aktie_verwässert!A$3:AK$103,17,FALSE)&lt;=0,2,IF(VLOOKUP(A23,Dividende_je_Aktie!A$3:AM$103,17,FALSE)/VLOOKUP(A23,Ergebnis_je_Aktie_verwässert!A$3:AK$103,17,FALSE)&gt;=2,2,VLOOKUP(A23,Dividende_je_Aktie!A$3:AM$103,17,FALSE)/VLOOKUP(A23,Ergebnis_je_Aktie_verwässert!A$3:AK$103,17,FALSE))),""),"")</f>
        <v>0.63461538461538458</v>
      </c>
      <c r="AF23" s="71">
        <f>IF(VLOOKUP(A23,Dividende_je_Aktie!A$3:AM$103,18,FALSE)&lt;&gt;"",IF(VLOOKUP(A23,Ergebnis_je_Aktie_verwässert!A$3:AK$103,18,FALSE)&lt;&gt;"",IF(VLOOKUP(A23,Ergebnis_je_Aktie_verwässert!A$3:AK$103,18,FALSE)&lt;=0,2,IF(VLOOKUP(A23,Dividende_je_Aktie!A$3:AM$103,18,FALSE)/VLOOKUP(A23,Ergebnis_je_Aktie_verwässert!A$3:AK$103,18,FALSE)&gt;=2,2,VLOOKUP(A23,Dividende_je_Aktie!A$3:AM$103,18,FALSE)/VLOOKUP(A23,Ergebnis_je_Aktie_verwässert!A$3:AK$103,18,FALSE))),""),"")</f>
        <v>0.56795131845841795</v>
      </c>
      <c r="AG23" s="105">
        <f t="shared" si="1"/>
        <v>0.72548815278747836</v>
      </c>
      <c r="AH23" s="4">
        <f t="shared" ca="1" si="2"/>
        <v>0</v>
      </c>
      <c r="AI23" s="4">
        <f t="shared" ca="1" si="3"/>
        <v>108</v>
      </c>
      <c r="AJ23" s="4">
        <f t="shared" ca="1" si="4"/>
        <v>252</v>
      </c>
      <c r="AK23" s="10">
        <f t="shared" ca="1" si="5"/>
        <v>0.77813764306267719</v>
      </c>
      <c r="AL23" s="5">
        <f t="shared" ca="1" si="6"/>
        <v>7.2571123419325811E-2</v>
      </c>
    </row>
    <row r="24" spans="1:38">
      <c r="A24" t="s">
        <v>32</v>
      </c>
      <c r="B24" t="s">
        <v>33</v>
      </c>
      <c r="C24" s="60">
        <v>30</v>
      </c>
      <c r="D24" s="60">
        <v>9</v>
      </c>
      <c r="E24" s="60">
        <v>2016</v>
      </c>
      <c r="F24" s="71">
        <f>IF(VLOOKUP(A24,Dividende_je_Aktie!A$3:AM$103,6,FALSE)&lt;&gt;"",IF(VLOOKUP(A24,Ergebnis_je_Aktie_verwässert!A$3:AK$103,6,FALSE)&lt;&gt;"",IF(VLOOKUP(A24,Ergebnis_je_Aktie_verwässert!A$3:AK$103,6,FALSE)&lt;=0,2,IF(VLOOKUP(A24,Dividende_je_Aktie!A$3:AM$103,6,FALSE)/VLOOKUP(A24,Ergebnis_je_Aktie_verwässert!A$3:AK$103,6,FALSE)&gt;=2,2,VLOOKUP(A24,Dividende_je_Aktie!A$3:AM$103,6,FALSE)/VLOOKUP(A24,Ergebnis_je_Aktie_verwässert!A$3:AK$103,6,FALSE))),""),"")</f>
        <v>0.83111111111111113</v>
      </c>
      <c r="G24" s="71">
        <f>IF(VLOOKUP(A24,Dividende_je_Aktie!A$3:AM$103,7,FALSE)&lt;&gt;"",IF(VLOOKUP(A24,Ergebnis_je_Aktie_verwässert!A$3:AK$103,7,FALSE)&lt;&gt;"",IF(VLOOKUP(A24,Ergebnis_je_Aktie_verwässert!A$3:AK$103,7,FALSE)&lt;=0,2,IF(VLOOKUP(A24,Dividende_je_Aktie!A$3:AM$103,7,FALSE)/VLOOKUP(A24,Ergebnis_je_Aktie_verwässert!A$3:AK$103,7,FALSE)&gt;=2,2,VLOOKUP(A24,Dividende_je_Aktie!A$3:AM$103,7,FALSE)/VLOOKUP(A24,Ergebnis_je_Aktie_verwässert!A$3:AK$103,7,FALSE))),""),"")</f>
        <v>0.79534883720930238</v>
      </c>
      <c r="H24" s="71">
        <f>IF(VLOOKUP(A24,Fiktive_Dividende!A$3:AM$103,14,FALSE)&lt;&gt;"",IF(VLOOKUP(A24,Ergebnis_je_Aktie_verwässert!A$3:AK$103,8,FALSE)&lt;&gt;"",IF(VLOOKUP(A24,Ergebnis_je_Aktie_verwässert!A$3:AK$103,8,FALSE)&lt;=0,2,IF(VLOOKUP(A24,Fiktive_Dividende!A$3:AM$103,14,FALSE)/VLOOKUP(A24,Ergebnis_je_Aktie_verwässert!A$3:AK$103,8,FALSE)&gt;=2,2,VLOOKUP(A24,Fiktive_Dividende!A$3:AM$103,14,FALSE)/VLOOKUP(A24,Ergebnis_je_Aktie_verwässert!A$3:AK$103,8,FALSE))),""),"")</f>
        <v>0.77889447236180909</v>
      </c>
      <c r="I24" s="71">
        <f>IF(VLOOKUP(A24,Fiktive_Dividende!A$3:AM$103,15,FALSE)&lt;&gt;"",IF(VLOOKUP(A24,Ergebnis_je_Aktie_verwässert!A$3:AK$103,9,FALSE)&lt;&gt;"",IF(VLOOKUP(A24,Ergebnis_je_Aktie_verwässert!A$3:AK$103,9,FALSE)&lt;=0,2,IF(VLOOKUP(A24,Fiktive_Dividende!A$3:AM$103,15,FALSE)/VLOOKUP(A24,Ergebnis_je_Aktie_verwässert!A$3:AK$103,9,FALSE)&gt;=2,2,VLOOKUP(A24,Fiktive_Dividende!A$3:AM$103,15,FALSE)/VLOOKUP(A24,Ergebnis_je_Aktie_verwässert!A$3:AK$103,9,FALSE))),""),"")</f>
        <v>0.79661016949152541</v>
      </c>
      <c r="J24" s="71">
        <f>IF(VLOOKUP(A24,Fiktive_Dividende!A$3:AM$103,16,FALSE)&lt;&gt;"",IF(VLOOKUP(A24,Ergebnis_je_Aktie_verwässert!A$3:AK$103,10,FALSE)&lt;&gt;"",IF(VLOOKUP(A24,Ergebnis_je_Aktie_verwässert!A$3:AK$103,10,FALSE)&lt;=0,2,IF(VLOOKUP(A24,Fiktive_Dividende!A$3:AM$103,16,FALSE)/VLOOKUP(A24,Ergebnis_je_Aktie_verwässert!A$3:AK$103,10,FALSE)&gt;=2,2,VLOOKUP(A24,Fiktive_Dividende!A$3:AM$103,16,FALSE)/VLOOKUP(A24,Ergebnis_je_Aktie_verwässert!A$3:AK$103,10,FALSE))),""),"")</f>
        <v>1.4208494208494209</v>
      </c>
      <c r="K24" s="71">
        <f>IF(VLOOKUP(A24,Fiktive_Dividende!A$3:AM$103,17,FALSE)&lt;&gt;"",IF(VLOOKUP(A24,Ergebnis_je_Aktie_verwässert!A$3:AK$103,11,FALSE)&lt;&gt;"",IF(VLOOKUP(A24,Ergebnis_je_Aktie_verwässert!A$3:AK$103,11,FALSE)&lt;=0,2,IF(VLOOKUP(A24,Fiktive_Dividende!A$3:AM$103,17,FALSE)/VLOOKUP(A24,Ergebnis_je_Aktie_verwässert!A$3:AK$103,11,FALSE)&gt;=2,2,VLOOKUP(A24,Fiktive_Dividende!A$3:AM$103,17,FALSE)/VLOOKUP(A24,Ergebnis_je_Aktie_verwässert!A$3:AK$103,11,FALSE))),""),"")</f>
        <v>1.2083333333333333</v>
      </c>
      <c r="L24" s="71">
        <f>IF(VLOOKUP(A24,Fiktive_Dividende!A$3:AM$103,18,FALSE)&lt;&gt;"",IF(VLOOKUP(A24,Ergebnis_je_Aktie_verwässert!A$3:AK$103,12,FALSE)&lt;&gt;"",IF(VLOOKUP(A24,Ergebnis_je_Aktie_verwässert!A$3:AK$103,12,FALSE)&lt;=0,2,IF(VLOOKUP(A24,Fiktive_Dividende!A$3:AM$103,18,FALSE)/VLOOKUP(A24,Ergebnis_je_Aktie_verwässert!A$3:AK$103,12,FALSE)&gt;=2,2,VLOOKUP(A24,Fiktive_Dividende!A$3:AM$103,18,FALSE)/VLOOKUP(A24,Ergebnis_je_Aktie_verwässert!A$3:AK$103,12,FALSE))),""),"")</f>
        <v>1.5588235294117647</v>
      </c>
      <c r="M24" s="71">
        <f>IF(VLOOKUP(A24,Fiktive_Dividende!A$3:AM$103,19,FALSE)&lt;&gt;"",IF(VLOOKUP(A24,Ergebnis_je_Aktie_verwässert!A$3:AK$103,13,FALSE)&lt;&gt;"",IF(VLOOKUP(A24,Ergebnis_je_Aktie_verwässert!A$3:AK$103,13,FALSE)&lt;=0,2,IF(VLOOKUP(A24,Fiktive_Dividende!A$3:AM$103,19,FALSE)/VLOOKUP(A24,Ergebnis_je_Aktie_verwässert!A$3:AK$103,13,FALSE)&gt;=2,2,VLOOKUP(A24,Fiktive_Dividende!A$3:AM$103,19,FALSE)/VLOOKUP(A24,Ergebnis_je_Aktie_verwässert!A$3:AK$103,13,FALSE))),""),"")</f>
        <v>0.53672316384180785</v>
      </c>
      <c r="N24" s="71">
        <f>IF(VLOOKUP(A24,Fiktive_Dividende!A$3:AM$103,20,FALSE)&lt;&gt;"",IF(VLOOKUP(A24,Ergebnis_je_Aktie_verwässert!A$3:AK$103,14,FALSE)&lt;&gt;"",IF(VLOOKUP(A24,Ergebnis_je_Aktie_verwässert!A$3:AK$103,14,FALSE)&lt;=0,2,IF(VLOOKUP(A24,Fiktive_Dividende!A$3:AM$103,20,FALSE)/VLOOKUP(A24,Ergebnis_je_Aktie_verwässert!A$3:AK$103,14,FALSE)&gt;=2,2,VLOOKUP(A24,Fiktive_Dividende!A$3:AM$103,20,FALSE)/VLOOKUP(A24,Ergebnis_je_Aktie_verwässert!A$3:AK$103,14,FALSE))),""),"")</f>
        <v>0.56756756756756754</v>
      </c>
      <c r="O24" s="71">
        <f>IF(VLOOKUP(A24,Fiktive_Dividende!A$3:AM$103,21,FALSE)&lt;&gt;"",IF(VLOOKUP(A24,Ergebnis_je_Aktie_verwässert!A$3:AK$103,15,FALSE)&lt;&gt;"",IF(VLOOKUP(A24,Ergebnis_je_Aktie_verwässert!A$3:AK$103,15,FALSE)&lt;=0,2,IF(VLOOKUP(A24,Fiktive_Dividende!A$3:AM$103,21,FALSE)/VLOOKUP(A24,Ergebnis_je_Aktie_verwässert!A$3:AK$103,15,FALSE)&gt;=2,2,VLOOKUP(A24,Fiktive_Dividende!A$3:AM$103,21,FALSE)/VLOOKUP(A24,Ergebnis_je_Aktie_verwässert!A$3:AK$103,15,FALSE))),""),"")</f>
        <v>1.1230769230769231</v>
      </c>
      <c r="P24" s="71">
        <f>IF(VLOOKUP(A24,Fiktive_Dividende!A$3:AM$103,22,FALSE)&lt;&gt;"",IF(VLOOKUP(A24,Ergebnis_je_Aktie_verwässert!A$3:AK$103,16,FALSE)&lt;&gt;"",IF(VLOOKUP(A24,Ergebnis_je_Aktie_verwässert!A$3:AK$103,16,FALSE)&lt;=0,2,IF(VLOOKUP(A24,Fiktive_Dividende!A$3:AM$103,22,FALSE)/VLOOKUP(A24,Ergebnis_je_Aktie_verwässert!A$3:AK$103,16,FALSE)&gt;=2,2,VLOOKUP(A24,Fiktive_Dividende!A$3:AM$103,22,FALSE)/VLOOKUP(A24,Ergebnis_je_Aktie_verwässert!A$3:AK$103,16,FALSE))),""),"")</f>
        <v>1.26</v>
      </c>
      <c r="Q24" s="71">
        <f>IF(VLOOKUP(A24,Fiktive_Dividende!A$3:AM$103,23,FALSE)&lt;&gt;"",IF(VLOOKUP(A24,Ergebnis_je_Aktie_verwässert!A$3:AK$103,17,FALSE)&lt;&gt;"",IF(VLOOKUP(A24,Ergebnis_je_Aktie_verwässert!A$3:AK$103,17,FALSE)&lt;=0,2,IF(VLOOKUP(A24,Fiktive_Dividende!A$3:AM$103,23,FALSE)/VLOOKUP(A24,Ergebnis_je_Aktie_verwässert!A$3:AK$103,17,FALSE)&gt;=2,2,VLOOKUP(A24,Fiktive_Dividende!A$3:AM$103,23,FALSE)/VLOOKUP(A24,Ergebnis_je_Aktie_verwässert!A$3:AK$103,17,FALSE))),""),"")</f>
        <v>0.51724137931034486</v>
      </c>
      <c r="R24" s="71" t="str">
        <f>IF(VLOOKUP(A24,Fiktive_Dividende!A$3:AM$103,24,FALSE)&lt;&gt;"",IF(VLOOKUP(A24,Ergebnis_je_Aktie_verwässert!A$3:AK$103,18,FALSE)&lt;&gt;"",IF(VLOOKUP(A24,Ergebnis_je_Aktie_verwässert!A$3:AK$103,18,FALSE)&lt;=0,2,IF(VLOOKUP(A24,Fiktive_Dividende!A$3:AM$103,24,FALSE)/VLOOKUP(A24,Ergebnis_je_Aktie_verwässert!A$3:AK$103,18,FALSE)&gt;=2,2,VLOOKUP(A24,Fiktive_Dividende!A$3:AM$103,24,FALSE)/VLOOKUP(A24,Ergebnis_je_Aktie_verwässert!A$3:AK$103,18,FALSE))),""),"")</f>
        <v/>
      </c>
      <c r="S24" s="105">
        <f t="shared" si="0"/>
        <v>0.94954832563040903</v>
      </c>
      <c r="T24" s="71">
        <f>IF(VLOOKUP(A24,Dividende_je_Aktie!A$3:AM$103,6,FALSE)&lt;&gt;"",IF(VLOOKUP(A24,Ergebnis_je_Aktie_verwässert!A$3:AK$103,6,FALSE)&lt;&gt;"",IF(VLOOKUP(A24,Ergebnis_je_Aktie_verwässert!A$3:AK$103,6,FALSE)&lt;=0,2,IF(VLOOKUP(A24,Dividende_je_Aktie!A$3:AM$103,6,FALSE)/VLOOKUP(A24,Ergebnis_je_Aktie_verwässert!A$3:AK$103,6,FALSE)&gt;=2,2,VLOOKUP(A24,Dividende_je_Aktie!A$3:AM$103,6,FALSE)/VLOOKUP(A24,Ergebnis_je_Aktie_verwässert!A$3:AK$103,6,FALSE))),""),"")</f>
        <v>0.83111111111111113</v>
      </c>
      <c r="U24" s="71">
        <f>IF(VLOOKUP(A24,Dividende_je_Aktie!A$3:AM$103,7,FALSE)&lt;&gt;"",IF(VLOOKUP(A24,Ergebnis_je_Aktie_verwässert!A$3:AK$103,7,FALSE)&lt;&gt;"",IF(VLOOKUP(A24,Ergebnis_je_Aktie_verwässert!A$3:AK$103,7,FALSE)&lt;=0,2,IF(VLOOKUP(A24,Dividende_je_Aktie!A$3:AM$103,7,FALSE)/VLOOKUP(A24,Ergebnis_je_Aktie_verwässert!A$3:AK$103,7,FALSE)&gt;=2,2,VLOOKUP(A24,Dividende_je_Aktie!A$3:AM$103,7,FALSE)/VLOOKUP(A24,Ergebnis_je_Aktie_verwässert!A$3:AK$103,7,FALSE))),""),"")</f>
        <v>0.79534883720930238</v>
      </c>
      <c r="V24" s="71">
        <f>IF(VLOOKUP(A24,Dividende_je_Aktie!A$3:AM$103,8,FALSE)&lt;&gt;"",IF(VLOOKUP(A24,Ergebnis_je_Aktie_verwässert!A$3:AK$103,8,FALSE)&lt;&gt;"",IF(VLOOKUP(A24,Ergebnis_je_Aktie_verwässert!A$3:AK$103,8,FALSE)&lt;=0,2,IF(VLOOKUP(A24,Dividende_je_Aktie!A$3:AM$103,8,FALSE)/VLOOKUP(A24,Ergebnis_je_Aktie_verwässert!A$3:AK$103,8,FALSE)&gt;=2,2,VLOOKUP(A24,Dividende_je_Aktie!A$3:AM$103,8,FALSE)/VLOOKUP(A24,Ergebnis_je_Aktie_verwässert!A$3:AK$103,8,FALSE))),""),"")</f>
        <v>0.77889447236180909</v>
      </c>
      <c r="W24" s="71">
        <f>IF(VLOOKUP(A24,Dividende_je_Aktie!A$3:AM$103,9,FALSE)&lt;&gt;"",IF(VLOOKUP(A24,Ergebnis_je_Aktie_verwässert!A$3:AK$103,9,FALSE)&lt;&gt;"",IF(VLOOKUP(A24,Ergebnis_je_Aktie_verwässert!A$3:AK$103,9,FALSE)&lt;=0,2,IF(VLOOKUP(A24,Dividende_je_Aktie!A$3:AM$103,9,FALSE)/VLOOKUP(A24,Ergebnis_je_Aktie_verwässert!A$3:AK$103,9,FALSE)&gt;=2,2,VLOOKUP(A24,Dividende_je_Aktie!A$3:AM$103,9,FALSE)/VLOOKUP(A24,Ergebnis_je_Aktie_verwässert!A$3:AK$103,9,FALSE))),""),"")</f>
        <v>0.79661016949152541</v>
      </c>
      <c r="X24" s="71">
        <f>IF(VLOOKUP(A24,Dividende_je_Aktie!A$3:AM$103,10,FALSE)&lt;&gt;"",IF(VLOOKUP(A24,Ergebnis_je_Aktie_verwässert!A$3:AK$103,10,FALSE)&lt;&gt;"",IF(VLOOKUP(A24,Ergebnis_je_Aktie_verwässert!A$3:AK$103,10,FALSE)&lt;=0,2,IF(VLOOKUP(A24,Dividende_je_Aktie!A$3:AM$103,10,FALSE)/VLOOKUP(A24,Ergebnis_je_Aktie_verwässert!A$3:AK$103,10,FALSE)&gt;=2,2,VLOOKUP(A24,Dividende_je_Aktie!A$3:AM$103,10,FALSE)/VLOOKUP(A24,Ergebnis_je_Aktie_verwässert!A$3:AK$103,10,FALSE))),""),"")</f>
        <v>0.86486486486486491</v>
      </c>
      <c r="Y24" s="71">
        <f>IF(VLOOKUP(A24,Dividende_je_Aktie!A$3:AM$103,11,FALSE)&lt;&gt;"",IF(VLOOKUP(A24,Ergebnis_je_Aktie_verwässert!A$3:AK$103,11,FALSE)&lt;&gt;"",IF(VLOOKUP(A24,Ergebnis_je_Aktie_verwässert!A$3:AK$103,11,FALSE)&lt;=0,2,IF(VLOOKUP(A24,Dividende_je_Aktie!A$3:AM$103,11,FALSE)/VLOOKUP(A24,Ergebnis_je_Aktie_verwässert!A$3:AK$103,11,FALSE)&gt;=2,2,VLOOKUP(A24,Dividende_je_Aktie!A$3:AM$103,11,FALSE)/VLOOKUP(A24,Ergebnis_je_Aktie_verwässert!A$3:AK$103,11,FALSE))),""),"")</f>
        <v>1.2083333333333333</v>
      </c>
      <c r="Z24" s="71">
        <f>IF(VLOOKUP(A24,Dividende_je_Aktie!A$3:AM$103,12,FALSE)&lt;&gt;"",IF(VLOOKUP(A24,Ergebnis_je_Aktie_verwässert!A$3:AK$103,12,FALSE)&lt;&gt;"",IF(VLOOKUP(A24,Ergebnis_je_Aktie_verwässert!A$3:AK$103,12,FALSE)&lt;=0,2,IF(VLOOKUP(A24,Dividende_je_Aktie!A$3:AM$103,12,FALSE)/VLOOKUP(A24,Ergebnis_je_Aktie_verwässert!A$3:AK$103,12,FALSE)&gt;=2,2,VLOOKUP(A24,Dividende_je_Aktie!A$3:AM$103,12,FALSE)/VLOOKUP(A24,Ergebnis_je_Aktie_verwässert!A$3:AK$103,12,FALSE))),""),"")</f>
        <v>1.5588235294117647</v>
      </c>
      <c r="AA24" s="71">
        <f>IF(VLOOKUP(A24,Dividende_je_Aktie!A$3:AM$103,13,FALSE)&lt;&gt;"",IF(VLOOKUP(A24,Ergebnis_je_Aktie_verwässert!A$3:AK$103,13,FALSE)&lt;&gt;"",IF(VLOOKUP(A24,Ergebnis_je_Aktie_verwässert!A$3:AK$103,13,FALSE)&lt;=0,2,IF(VLOOKUP(A24,Dividende_je_Aktie!A$3:AM$103,13,FALSE)/VLOOKUP(A24,Ergebnis_je_Aktie_verwässert!A$3:AK$103,13,FALSE)&gt;=2,2,VLOOKUP(A24,Dividende_je_Aktie!A$3:AM$103,13,FALSE)/VLOOKUP(A24,Ergebnis_je_Aktie_verwässert!A$3:AK$103,13,FALSE))),""),"")</f>
        <v>0.53672316384180785</v>
      </c>
      <c r="AB24" s="71">
        <f>IF(VLOOKUP(A24,Dividende_je_Aktie!A$3:AM$103,14,FALSE)&lt;&gt;"",IF(VLOOKUP(A24,Ergebnis_je_Aktie_verwässert!A$3:AK$103,14,FALSE)&lt;&gt;"",IF(VLOOKUP(A24,Ergebnis_je_Aktie_verwässert!A$3:AK$103,14,FALSE)&lt;=0,2,IF(VLOOKUP(A24,Dividende_je_Aktie!A$3:AM$103,14,FALSE)/VLOOKUP(A24,Ergebnis_je_Aktie_verwässert!A$3:AK$103,14,FALSE)&gt;=2,2,VLOOKUP(A24,Dividende_je_Aktie!A$3:AM$103,14,FALSE)/VLOOKUP(A24,Ergebnis_je_Aktie_verwässert!A$3:AK$103,14,FALSE))),""),"")</f>
        <v>0.56756756756756754</v>
      </c>
      <c r="AC24" s="71">
        <f>IF(VLOOKUP(A24,Dividende_je_Aktie!A$3:AM$103,15,FALSE)&lt;&gt;"",IF(VLOOKUP(A24,Ergebnis_je_Aktie_verwässert!A$3:AK$103,15,FALSE)&lt;&gt;"",IF(VLOOKUP(A24,Ergebnis_je_Aktie_verwässert!A$3:AK$103,15,FALSE)&lt;=0,2,IF(VLOOKUP(A24,Dividende_je_Aktie!A$3:AM$103,15,FALSE)/VLOOKUP(A24,Ergebnis_je_Aktie_verwässert!A$3:AK$103,15,FALSE)&gt;=2,2,VLOOKUP(A24,Dividende_je_Aktie!A$3:AM$103,15,FALSE)/VLOOKUP(A24,Ergebnis_je_Aktie_verwässert!A$3:AK$103,15,FALSE))),""),"")</f>
        <v>1.1230769230769231</v>
      </c>
      <c r="AD24" s="71">
        <f>IF(VLOOKUP(A24,Dividende_je_Aktie!A$3:AM$103,16,FALSE)&lt;&gt;"",IF(VLOOKUP(A24,Ergebnis_je_Aktie_verwässert!A$3:AK$103,16,FALSE)&lt;&gt;"",IF(VLOOKUP(A24,Ergebnis_je_Aktie_verwässert!A$3:AK$103,16,FALSE)&lt;=0,2,IF(VLOOKUP(A24,Dividende_je_Aktie!A$3:AM$103,16,FALSE)/VLOOKUP(A24,Ergebnis_je_Aktie_verwässert!A$3:AK$103,16,FALSE)&gt;=2,2,VLOOKUP(A24,Dividende_je_Aktie!A$3:AM$103,16,FALSE)/VLOOKUP(A24,Ergebnis_je_Aktie_verwässert!A$3:AK$103,16,FALSE))),""),"")</f>
        <v>1.26</v>
      </c>
      <c r="AE24" s="71">
        <f>IF(VLOOKUP(A24,Dividende_je_Aktie!A$3:AM$103,17,FALSE)&lt;&gt;"",IF(VLOOKUP(A24,Ergebnis_je_Aktie_verwässert!A$3:AK$103,17,FALSE)&lt;&gt;"",IF(VLOOKUP(A24,Ergebnis_je_Aktie_verwässert!A$3:AK$103,17,FALSE)&lt;=0,2,IF(VLOOKUP(A24,Dividende_je_Aktie!A$3:AM$103,17,FALSE)/VLOOKUP(A24,Ergebnis_je_Aktie_verwässert!A$3:AK$103,17,FALSE)&gt;=2,2,VLOOKUP(A24,Dividende_je_Aktie!A$3:AM$103,17,FALSE)/VLOOKUP(A24,Ergebnis_je_Aktie_verwässert!A$3:AK$103,17,FALSE))),""),"")</f>
        <v>0.51724137931034486</v>
      </c>
      <c r="AF24" s="71" t="str">
        <f>IF(VLOOKUP(A24,Dividende_je_Aktie!A$3:AM$103,18,FALSE)&lt;&gt;"",IF(VLOOKUP(A24,Ergebnis_je_Aktie_verwässert!A$3:AK$103,18,FALSE)&lt;&gt;"",IF(VLOOKUP(A24,Ergebnis_je_Aktie_verwässert!A$3:AK$103,18,FALSE)&lt;=0,2,IF(VLOOKUP(A24,Dividende_je_Aktie!A$3:AM$103,18,FALSE)/VLOOKUP(A24,Ergebnis_je_Aktie_verwässert!A$3:AK$103,18,FALSE)&gt;=2,2,VLOOKUP(A24,Dividende_je_Aktie!A$3:AM$103,18,FALSE)/VLOOKUP(A24,Ergebnis_je_Aktie_verwässert!A$3:AK$103,18,FALSE))),""),"")</f>
        <v/>
      </c>
      <c r="AG24" s="105">
        <f t="shared" si="1"/>
        <v>0.90321627929836279</v>
      </c>
      <c r="AH24" s="4">
        <f t="shared" ca="1" si="2"/>
        <v>0</v>
      </c>
      <c r="AI24" s="4">
        <f t="shared" ca="1" si="3"/>
        <v>199</v>
      </c>
      <c r="AJ24" s="4">
        <f t="shared" ca="1" si="4"/>
        <v>161</v>
      </c>
      <c r="AK24" s="10">
        <f t="shared" ca="1" si="5"/>
        <v>0.78799007959695111</v>
      </c>
      <c r="AL24" s="5">
        <f t="shared" ca="1" si="6"/>
        <v>-0.12757320958710106</v>
      </c>
    </row>
    <row r="25" spans="1:38">
      <c r="A25" t="s">
        <v>34</v>
      </c>
      <c r="B25" t="s">
        <v>35</v>
      </c>
      <c r="C25" s="60">
        <v>31</v>
      </c>
      <c r="D25" s="60">
        <v>3</v>
      </c>
      <c r="E25" s="60">
        <v>2016</v>
      </c>
      <c r="F25" s="71">
        <f>IF(VLOOKUP(A25,Dividende_je_Aktie!A$3:AM$103,6,FALSE)&lt;&gt;"",IF(VLOOKUP(A25,Ergebnis_je_Aktie_verwässert!A$3:AK$103,6,FALSE)&lt;&gt;"",IF(VLOOKUP(A25,Ergebnis_je_Aktie_verwässert!A$3:AK$103,6,FALSE)&lt;=0,2,IF(VLOOKUP(A25,Dividende_je_Aktie!A$3:AM$103,6,FALSE)/VLOOKUP(A25,Ergebnis_je_Aktie_verwässert!A$3:AK$103,6,FALSE)&gt;=2,2,VLOOKUP(A25,Dividende_je_Aktie!A$3:AM$103,6,FALSE)/VLOOKUP(A25,Ergebnis_je_Aktie_verwässert!A$3:AK$103,6,FALSE))),""),"")</f>
        <v>1.7797888386123681</v>
      </c>
      <c r="G25" s="71">
        <f>IF(VLOOKUP(A25,Dividende_je_Aktie!A$3:AM$103,7,FALSE)&lt;&gt;"",IF(VLOOKUP(A25,Ergebnis_je_Aktie_verwässert!A$3:AK$103,7,FALSE)&lt;&gt;"",IF(VLOOKUP(A25,Ergebnis_je_Aktie_verwässert!A$3:AK$103,7,FALSE)&lt;=0,2,IF(VLOOKUP(A25,Dividende_je_Aktie!A$3:AM$103,7,FALSE)/VLOOKUP(A25,Ergebnis_je_Aktie_verwässert!A$3:AK$103,7,FALSE)&gt;=2,2,VLOOKUP(A25,Dividende_je_Aktie!A$3:AM$103,7,FALSE)/VLOOKUP(A25,Ergebnis_je_Aktie_verwässert!A$3:AK$103,7,FALSE))),""),"")</f>
        <v>2</v>
      </c>
      <c r="H25" s="71">
        <f>IF(VLOOKUP(A25,Fiktive_Dividende!A$3:AM$103,14,FALSE)&lt;&gt;"",IF(VLOOKUP(A25,Ergebnis_je_Aktie_verwässert!A$3:AK$103,8,FALSE)&lt;&gt;"",IF(VLOOKUP(A25,Ergebnis_je_Aktie_verwässert!A$3:AK$103,8,FALSE)&lt;=0,2,IF(VLOOKUP(A25,Fiktive_Dividende!A$3:AM$103,14,FALSE)/VLOOKUP(A25,Ergebnis_je_Aktie_verwässert!A$3:AK$103,8,FALSE)&gt;=2,2,VLOOKUP(A25,Fiktive_Dividende!A$3:AM$103,14,FALSE)/VLOOKUP(A25,Ergebnis_je_Aktie_verwässert!A$3:AK$103,8,FALSE))),""),"")</f>
        <v>2</v>
      </c>
      <c r="I25" s="71">
        <f>IF(VLOOKUP(A25,Fiktive_Dividende!A$3:AM$103,15,FALSE)&lt;&gt;"",IF(VLOOKUP(A25,Ergebnis_je_Aktie_verwässert!A$3:AK$103,9,FALSE)&lt;&gt;"",IF(VLOOKUP(A25,Ergebnis_je_Aktie_verwässert!A$3:AK$103,9,FALSE)&lt;=0,2,IF(VLOOKUP(A25,Fiktive_Dividende!A$3:AM$103,15,FALSE)/VLOOKUP(A25,Ergebnis_je_Aktie_verwässert!A$3:AK$103,9,FALSE)&gt;=2,2,VLOOKUP(A25,Fiktive_Dividende!A$3:AM$103,15,FALSE)/VLOOKUP(A25,Ergebnis_je_Aktie_verwässert!A$3:AK$103,9,FALSE))),""),"")</f>
        <v>0.5</v>
      </c>
      <c r="J25" s="71">
        <f>IF(VLOOKUP(A25,Fiktive_Dividende!A$3:AM$103,16,FALSE)&lt;&gt;"",IF(VLOOKUP(A25,Ergebnis_je_Aktie_verwässert!A$3:AK$103,10,FALSE)&lt;&gt;"",IF(VLOOKUP(A25,Ergebnis_je_Aktie_verwässert!A$3:AK$103,10,FALSE)&lt;=0,2,IF(VLOOKUP(A25,Fiktive_Dividende!A$3:AM$103,16,FALSE)/VLOOKUP(A25,Ergebnis_je_Aktie_verwässert!A$3:AK$103,10,FALSE)&gt;=2,2,VLOOKUP(A25,Fiktive_Dividende!A$3:AM$103,16,FALSE)/VLOOKUP(A25,Ergebnis_je_Aktie_verwässert!A$3:AK$103,10,FALSE))),""),"")</f>
        <v>0.26378896882494007</v>
      </c>
      <c r="K25" s="71">
        <f>IF(VLOOKUP(A25,Fiktive_Dividende!A$3:AM$103,17,FALSE)&lt;&gt;"",IF(VLOOKUP(A25,Ergebnis_je_Aktie_verwässert!A$3:AK$103,11,FALSE)&lt;&gt;"",IF(VLOOKUP(A25,Ergebnis_je_Aktie_verwässert!A$3:AK$103,11,FALSE)&lt;=0,2,IF(VLOOKUP(A25,Fiktive_Dividende!A$3:AM$103,17,FALSE)/VLOOKUP(A25,Ergebnis_je_Aktie_verwässert!A$3:AK$103,11,FALSE)&gt;=2,2,VLOOKUP(A25,Fiktive_Dividende!A$3:AM$103,17,FALSE)/VLOOKUP(A25,Ergebnis_je_Aktie_verwässert!A$3:AK$103,11,FALSE))),""),"")</f>
        <v>2</v>
      </c>
      <c r="L25" s="71">
        <f>IF(VLOOKUP(A25,Fiktive_Dividende!A$3:AM$103,18,FALSE)&lt;&gt;"",IF(VLOOKUP(A25,Ergebnis_je_Aktie_verwässert!A$3:AK$103,12,FALSE)&lt;&gt;"",IF(VLOOKUP(A25,Ergebnis_je_Aktie_verwässert!A$3:AK$103,12,FALSE)&lt;=0,2,IF(VLOOKUP(A25,Fiktive_Dividende!A$3:AM$103,18,FALSE)/VLOOKUP(A25,Ergebnis_je_Aktie_verwässert!A$3:AK$103,12,FALSE)&gt;=2,2,VLOOKUP(A25,Fiktive_Dividende!A$3:AM$103,18,FALSE)/VLOOKUP(A25,Ergebnis_je_Aktie_verwässert!A$3:AK$103,12,FALSE))),""),"")</f>
        <v>0.67857142857142849</v>
      </c>
      <c r="M25" s="71">
        <f>IF(VLOOKUP(A25,Fiktive_Dividende!A$3:AM$103,19,FALSE)&lt;&gt;"",IF(VLOOKUP(A25,Ergebnis_je_Aktie_verwässert!A$3:AK$103,13,FALSE)&lt;&gt;"",IF(VLOOKUP(A25,Ergebnis_je_Aktie_verwässert!A$3:AK$103,13,FALSE)&lt;=0,2,IF(VLOOKUP(A25,Fiktive_Dividende!A$3:AM$103,19,FALSE)/VLOOKUP(A25,Ergebnis_je_Aktie_verwässert!A$3:AK$103,13,FALSE)&gt;=2,2,VLOOKUP(A25,Fiktive_Dividende!A$3:AM$103,19,FALSE)/VLOOKUP(A25,Ergebnis_je_Aktie_verwässert!A$3:AK$103,13,FALSE))),""),"")</f>
        <v>0.59333333333333338</v>
      </c>
      <c r="N25" s="71">
        <f>IF(VLOOKUP(A25,Fiktive_Dividende!A$3:AM$103,20,FALSE)&lt;&gt;"",IF(VLOOKUP(A25,Ergebnis_je_Aktie_verwässert!A$3:AK$103,14,FALSE)&lt;&gt;"",IF(VLOOKUP(A25,Ergebnis_je_Aktie_verwässert!A$3:AK$103,14,FALSE)&lt;=0,2,IF(VLOOKUP(A25,Fiktive_Dividende!A$3:AM$103,20,FALSE)/VLOOKUP(A25,Ergebnis_je_Aktie_verwässert!A$3:AK$103,14,FALSE)&gt;=2,2,VLOOKUP(A25,Fiktive_Dividende!A$3:AM$103,20,FALSE)/VLOOKUP(A25,Ergebnis_je_Aktie_verwässert!A$3:AK$103,14,FALSE))),""),"")</f>
        <v>0.51875000000000004</v>
      </c>
      <c r="O25" s="71">
        <f>IF(VLOOKUP(A25,Fiktive_Dividende!A$3:AM$103,21,FALSE)&lt;&gt;"",IF(VLOOKUP(A25,Ergebnis_je_Aktie_verwässert!A$3:AK$103,15,FALSE)&lt;&gt;"",IF(VLOOKUP(A25,Ergebnis_je_Aktie_verwässert!A$3:AK$103,15,FALSE)&lt;=0,2,IF(VLOOKUP(A25,Fiktive_Dividende!A$3:AM$103,21,FALSE)/VLOOKUP(A25,Ergebnis_je_Aktie_verwässert!A$3:AK$103,15,FALSE)&gt;=2,2,VLOOKUP(A25,Fiktive_Dividende!A$3:AM$103,21,FALSE)/VLOOKUP(A25,Ergebnis_je_Aktie_verwässert!A$3:AK$103,15,FALSE))),""),"")</f>
        <v>0.93333333333333335</v>
      </c>
      <c r="P25" s="71">
        <f>IF(VLOOKUP(A25,Fiktive_Dividende!A$3:AM$103,22,FALSE)&lt;&gt;"",IF(VLOOKUP(A25,Ergebnis_je_Aktie_verwässert!A$3:AK$103,16,FALSE)&lt;&gt;"",IF(VLOOKUP(A25,Ergebnis_je_Aktie_verwässert!A$3:AK$103,16,FALSE)&lt;=0,2,IF(VLOOKUP(A25,Fiktive_Dividende!A$3:AM$103,22,FALSE)/VLOOKUP(A25,Ergebnis_je_Aktie_verwässert!A$3:AK$103,16,FALSE)&gt;=2,2,VLOOKUP(A25,Fiktive_Dividende!A$3:AM$103,22,FALSE)/VLOOKUP(A25,Ergebnis_je_Aktie_verwässert!A$3:AK$103,16,FALSE))),""),"")</f>
        <v>0.57692307692307687</v>
      </c>
      <c r="Q25" s="71">
        <f>IF(VLOOKUP(A25,Fiktive_Dividende!A$3:AM$103,23,FALSE)&lt;&gt;"",IF(VLOOKUP(A25,Ergebnis_je_Aktie_verwässert!A$3:AK$103,17,FALSE)&lt;&gt;"",IF(VLOOKUP(A25,Ergebnis_je_Aktie_verwässert!A$3:AK$103,17,FALSE)&lt;=0,2,IF(VLOOKUP(A25,Fiktive_Dividende!A$3:AM$103,23,FALSE)/VLOOKUP(A25,Ergebnis_je_Aktie_verwässert!A$3:AK$103,17,FALSE)&gt;=2,2,VLOOKUP(A25,Fiktive_Dividende!A$3:AM$103,23,FALSE)/VLOOKUP(A25,Ergebnis_je_Aktie_verwässert!A$3:AK$103,17,FALSE))),""),"")</f>
        <v>2</v>
      </c>
      <c r="R25" s="71">
        <f>IF(VLOOKUP(A25,Fiktive_Dividende!A$3:AM$103,24,FALSE)&lt;&gt;"",IF(VLOOKUP(A25,Ergebnis_je_Aktie_verwässert!A$3:AK$103,18,FALSE)&lt;&gt;"",IF(VLOOKUP(A25,Ergebnis_je_Aktie_verwässert!A$3:AK$103,18,FALSE)&lt;=0,2,IF(VLOOKUP(A25,Fiktive_Dividende!A$3:AM$103,24,FALSE)/VLOOKUP(A25,Ergebnis_je_Aktie_verwässert!A$3:AK$103,18,FALSE)&gt;=2,2,VLOOKUP(A25,Fiktive_Dividende!A$3:AM$103,24,FALSE)/VLOOKUP(A25,Ergebnis_je_Aktie_verwässert!A$3:AK$103,18,FALSE))),""),"")</f>
        <v>2</v>
      </c>
      <c r="S25" s="105">
        <f t="shared" si="0"/>
        <v>1.2188068445844986</v>
      </c>
      <c r="T25" s="71">
        <f>IF(VLOOKUP(A25,Dividende_je_Aktie!A$3:AM$103,6,FALSE)&lt;&gt;"",IF(VLOOKUP(A25,Ergebnis_je_Aktie_verwässert!A$3:AK$103,6,FALSE)&lt;&gt;"",IF(VLOOKUP(A25,Ergebnis_je_Aktie_verwässert!A$3:AK$103,6,FALSE)&lt;=0,2,IF(VLOOKUP(A25,Dividende_je_Aktie!A$3:AM$103,6,FALSE)/VLOOKUP(A25,Ergebnis_je_Aktie_verwässert!A$3:AK$103,6,FALSE)&gt;=2,2,VLOOKUP(A25,Dividende_je_Aktie!A$3:AM$103,6,FALSE)/VLOOKUP(A25,Ergebnis_je_Aktie_verwässert!A$3:AK$103,6,FALSE))),""),"")</f>
        <v>1.7797888386123681</v>
      </c>
      <c r="U25" s="71">
        <f>IF(VLOOKUP(A25,Dividende_je_Aktie!A$3:AM$103,7,FALSE)&lt;&gt;"",IF(VLOOKUP(A25,Ergebnis_je_Aktie_verwässert!A$3:AK$103,7,FALSE)&lt;&gt;"",IF(VLOOKUP(A25,Ergebnis_je_Aktie_verwässert!A$3:AK$103,7,FALSE)&lt;=0,2,IF(VLOOKUP(A25,Dividende_je_Aktie!A$3:AM$103,7,FALSE)/VLOOKUP(A25,Ergebnis_je_Aktie_verwässert!A$3:AK$103,7,FALSE)&gt;=2,2,VLOOKUP(A25,Dividende_je_Aktie!A$3:AM$103,7,FALSE)/VLOOKUP(A25,Ergebnis_je_Aktie_verwässert!A$3:AK$103,7,FALSE))),""),"")</f>
        <v>2</v>
      </c>
      <c r="V25" s="71">
        <f>IF(VLOOKUP(A25,Dividende_je_Aktie!A$3:AM$103,8,FALSE)&lt;&gt;"",IF(VLOOKUP(A25,Ergebnis_je_Aktie_verwässert!A$3:AK$103,8,FALSE)&lt;&gt;"",IF(VLOOKUP(A25,Ergebnis_je_Aktie_verwässert!A$3:AK$103,8,FALSE)&lt;=0,2,IF(VLOOKUP(A25,Dividende_je_Aktie!A$3:AM$103,8,FALSE)/VLOOKUP(A25,Ergebnis_je_Aktie_verwässert!A$3:AK$103,8,FALSE)&gt;=2,2,VLOOKUP(A25,Dividende_je_Aktie!A$3:AM$103,8,FALSE)/VLOOKUP(A25,Ergebnis_je_Aktie_verwässert!A$3:AK$103,8,FALSE))),""),"")</f>
        <v>2</v>
      </c>
      <c r="W25" s="71">
        <f>IF(VLOOKUP(A25,Dividende_je_Aktie!A$3:AM$103,9,FALSE)&lt;&gt;"",IF(VLOOKUP(A25,Ergebnis_je_Aktie_verwässert!A$3:AK$103,9,FALSE)&lt;&gt;"",IF(VLOOKUP(A25,Ergebnis_je_Aktie_verwässert!A$3:AK$103,9,FALSE)&lt;=0,2,IF(VLOOKUP(A25,Dividende_je_Aktie!A$3:AM$103,9,FALSE)/VLOOKUP(A25,Ergebnis_je_Aktie_verwässert!A$3:AK$103,9,FALSE)&gt;=2,2,VLOOKUP(A25,Dividende_je_Aktie!A$3:AM$103,9,FALSE)/VLOOKUP(A25,Ergebnis_je_Aktie_verwässert!A$3:AK$103,9,FALSE))),""),"")</f>
        <v>0.5</v>
      </c>
      <c r="X25" s="71">
        <f>IF(VLOOKUP(A25,Dividende_je_Aktie!A$3:AM$103,10,FALSE)&lt;&gt;"",IF(VLOOKUP(A25,Ergebnis_je_Aktie_verwässert!A$3:AK$103,10,FALSE)&lt;&gt;"",IF(VLOOKUP(A25,Ergebnis_je_Aktie_verwässert!A$3:AK$103,10,FALSE)&lt;=0,2,IF(VLOOKUP(A25,Dividende_je_Aktie!A$3:AM$103,10,FALSE)/VLOOKUP(A25,Ergebnis_je_Aktie_verwässert!A$3:AK$103,10,FALSE)&gt;=2,2,VLOOKUP(A25,Dividende_je_Aktie!A$3:AM$103,10,FALSE)/VLOOKUP(A25,Ergebnis_je_Aktie_verwässert!A$3:AK$103,10,FALSE))),""),"")</f>
        <v>0.26378896882494007</v>
      </c>
      <c r="Y25" s="71">
        <f>IF(VLOOKUP(A25,Dividende_je_Aktie!A$3:AM$103,11,FALSE)&lt;&gt;"",IF(VLOOKUP(A25,Ergebnis_je_Aktie_verwässert!A$3:AK$103,11,FALSE)&lt;&gt;"",IF(VLOOKUP(A25,Ergebnis_je_Aktie_verwässert!A$3:AK$103,11,FALSE)&lt;=0,2,IF(VLOOKUP(A25,Dividende_je_Aktie!A$3:AM$103,11,FALSE)/VLOOKUP(A25,Ergebnis_je_Aktie_verwässert!A$3:AK$103,11,FALSE)&gt;=2,2,VLOOKUP(A25,Dividende_je_Aktie!A$3:AM$103,11,FALSE)/VLOOKUP(A25,Ergebnis_je_Aktie_verwässert!A$3:AK$103,11,FALSE))),""),"")</f>
        <v>2</v>
      </c>
      <c r="Z25" s="71">
        <f>IF(VLOOKUP(A25,Dividende_je_Aktie!A$3:AM$103,12,FALSE)&lt;&gt;"",IF(VLOOKUP(A25,Ergebnis_je_Aktie_verwässert!A$3:AK$103,12,FALSE)&lt;&gt;"",IF(VLOOKUP(A25,Ergebnis_je_Aktie_verwässert!A$3:AK$103,12,FALSE)&lt;=0,2,IF(VLOOKUP(A25,Dividende_je_Aktie!A$3:AM$103,12,FALSE)/VLOOKUP(A25,Ergebnis_je_Aktie_verwässert!A$3:AK$103,12,FALSE)&gt;=2,2,VLOOKUP(A25,Dividende_je_Aktie!A$3:AM$103,12,FALSE)/VLOOKUP(A25,Ergebnis_je_Aktie_verwässert!A$3:AK$103,12,FALSE))),""),"")</f>
        <v>0.67857142857142849</v>
      </c>
      <c r="AA25" s="71">
        <f>IF(VLOOKUP(A25,Dividende_je_Aktie!A$3:AM$103,13,FALSE)&lt;&gt;"",IF(VLOOKUP(A25,Ergebnis_je_Aktie_verwässert!A$3:AK$103,13,FALSE)&lt;&gt;"",IF(VLOOKUP(A25,Ergebnis_je_Aktie_verwässert!A$3:AK$103,13,FALSE)&lt;=0,2,IF(VLOOKUP(A25,Dividende_je_Aktie!A$3:AM$103,13,FALSE)/VLOOKUP(A25,Ergebnis_je_Aktie_verwässert!A$3:AK$103,13,FALSE)&gt;=2,2,VLOOKUP(A25,Dividende_je_Aktie!A$3:AM$103,13,FALSE)/VLOOKUP(A25,Ergebnis_je_Aktie_verwässert!A$3:AK$103,13,FALSE))),""),"")</f>
        <v>0.59333333333333338</v>
      </c>
      <c r="AB25" s="71">
        <f>IF(VLOOKUP(A25,Dividende_je_Aktie!A$3:AM$103,14,FALSE)&lt;&gt;"",IF(VLOOKUP(A25,Ergebnis_je_Aktie_verwässert!A$3:AK$103,14,FALSE)&lt;&gt;"",IF(VLOOKUP(A25,Ergebnis_je_Aktie_verwässert!A$3:AK$103,14,FALSE)&lt;=0,2,IF(VLOOKUP(A25,Dividende_je_Aktie!A$3:AM$103,14,FALSE)/VLOOKUP(A25,Ergebnis_je_Aktie_verwässert!A$3:AK$103,14,FALSE)&gt;=2,2,VLOOKUP(A25,Dividende_je_Aktie!A$3:AM$103,14,FALSE)/VLOOKUP(A25,Ergebnis_je_Aktie_verwässert!A$3:AK$103,14,FALSE))),""),"")</f>
        <v>0.51875000000000004</v>
      </c>
      <c r="AC25" s="71">
        <f>IF(VLOOKUP(A25,Dividende_je_Aktie!A$3:AM$103,15,FALSE)&lt;&gt;"",IF(VLOOKUP(A25,Ergebnis_je_Aktie_verwässert!A$3:AK$103,15,FALSE)&lt;&gt;"",IF(VLOOKUP(A25,Ergebnis_je_Aktie_verwässert!A$3:AK$103,15,FALSE)&lt;=0,2,IF(VLOOKUP(A25,Dividende_je_Aktie!A$3:AM$103,15,FALSE)/VLOOKUP(A25,Ergebnis_je_Aktie_verwässert!A$3:AK$103,15,FALSE)&gt;=2,2,VLOOKUP(A25,Dividende_je_Aktie!A$3:AM$103,15,FALSE)/VLOOKUP(A25,Ergebnis_je_Aktie_verwässert!A$3:AK$103,15,FALSE))),""),"")</f>
        <v>0.93333333333333335</v>
      </c>
      <c r="AD25" s="71">
        <f>IF(VLOOKUP(A25,Dividende_je_Aktie!A$3:AM$103,16,FALSE)&lt;&gt;"",IF(VLOOKUP(A25,Ergebnis_je_Aktie_verwässert!A$3:AK$103,16,FALSE)&lt;&gt;"",IF(VLOOKUP(A25,Ergebnis_je_Aktie_verwässert!A$3:AK$103,16,FALSE)&lt;=0,2,IF(VLOOKUP(A25,Dividende_je_Aktie!A$3:AM$103,16,FALSE)/VLOOKUP(A25,Ergebnis_je_Aktie_verwässert!A$3:AK$103,16,FALSE)&gt;=2,2,VLOOKUP(A25,Dividende_je_Aktie!A$3:AM$103,16,FALSE)/VLOOKUP(A25,Ergebnis_je_Aktie_verwässert!A$3:AK$103,16,FALSE))),""),"")</f>
        <v>0.57692307692307687</v>
      </c>
      <c r="AE25" s="71">
        <f>IF(VLOOKUP(A25,Dividende_je_Aktie!A$3:AM$103,17,FALSE)&lt;&gt;"",IF(VLOOKUP(A25,Ergebnis_je_Aktie_verwässert!A$3:AK$103,17,FALSE)&lt;&gt;"",IF(VLOOKUP(A25,Ergebnis_je_Aktie_verwässert!A$3:AK$103,17,FALSE)&lt;=0,2,IF(VLOOKUP(A25,Dividende_je_Aktie!A$3:AM$103,17,FALSE)/VLOOKUP(A25,Ergebnis_je_Aktie_verwässert!A$3:AK$103,17,FALSE)&gt;=2,2,VLOOKUP(A25,Dividende_je_Aktie!A$3:AM$103,17,FALSE)/VLOOKUP(A25,Ergebnis_je_Aktie_verwässert!A$3:AK$103,17,FALSE))),""),"")</f>
        <v>2</v>
      </c>
      <c r="AF25" s="71">
        <f>IF(VLOOKUP(A25,Dividende_je_Aktie!A$3:AM$103,18,FALSE)&lt;&gt;"",IF(VLOOKUP(A25,Ergebnis_je_Aktie_verwässert!A$3:AK$103,18,FALSE)&lt;&gt;"",IF(VLOOKUP(A25,Ergebnis_je_Aktie_verwässert!A$3:AK$103,18,FALSE)&lt;=0,2,IF(VLOOKUP(A25,Dividende_je_Aktie!A$3:AM$103,18,FALSE)/VLOOKUP(A25,Ergebnis_je_Aktie_verwässert!A$3:AK$103,18,FALSE)&gt;=2,2,VLOOKUP(A25,Dividende_je_Aktie!A$3:AM$103,18,FALSE)/VLOOKUP(A25,Ergebnis_je_Aktie_verwässert!A$3:AK$103,18,FALSE))),""),"")</f>
        <v>2</v>
      </c>
      <c r="AG25" s="105">
        <f t="shared" si="1"/>
        <v>1.2188068445844986</v>
      </c>
      <c r="AH25" s="4">
        <f t="shared" ca="1" si="2"/>
        <v>18</v>
      </c>
      <c r="AI25" s="4">
        <f t="shared" ca="1" si="3"/>
        <v>342</v>
      </c>
      <c r="AJ25" s="4">
        <f t="shared" ca="1" si="4"/>
        <v>0</v>
      </c>
      <c r="AK25" s="10">
        <f t="shared" ca="1" si="5"/>
        <v>1.9889894419306184</v>
      </c>
      <c r="AL25" s="5">
        <f t="shared" ca="1" si="6"/>
        <v>0.63191522165161573</v>
      </c>
    </row>
    <row r="26" spans="1:38">
      <c r="A26" t="s">
        <v>277</v>
      </c>
      <c r="B26" t="s">
        <v>278</v>
      </c>
      <c r="C26" s="60">
        <v>31</v>
      </c>
      <c r="D26" s="60">
        <v>8</v>
      </c>
      <c r="E26" s="60">
        <v>2016</v>
      </c>
      <c r="F26" s="71">
        <f>IF(VLOOKUP(A26,Dividende_je_Aktie!A$3:AM$103,6,FALSE)&lt;&gt;"",IF(VLOOKUP(A26,Ergebnis_je_Aktie_verwässert!A$3:AK$103,6,FALSE)&lt;&gt;"",IF(VLOOKUP(A26,Ergebnis_je_Aktie_verwässert!A$3:AK$103,6,FALSE)&lt;=0,2,IF(VLOOKUP(A26,Dividende_je_Aktie!A$3:AM$103,6,FALSE)/VLOOKUP(A26,Ergebnis_je_Aktie_verwässert!A$3:AK$103,6,FALSE)&gt;=2,2,VLOOKUP(A26,Dividende_je_Aktie!A$3:AM$103,6,FALSE)/VLOOKUP(A26,Ergebnis_je_Aktie_verwässert!A$3:AK$103,6,FALSE))),""),"")</f>
        <v>0.40570522979397783</v>
      </c>
      <c r="G26" s="71">
        <f>IF(VLOOKUP(A26,Dividende_je_Aktie!A$3:AM$103,7,FALSE)&lt;&gt;"",IF(VLOOKUP(A26,Ergebnis_je_Aktie_verwässert!A$3:AK$103,7,FALSE)&lt;&gt;"",IF(VLOOKUP(A26,Ergebnis_je_Aktie_verwässert!A$3:AK$103,7,FALSE)&lt;=0,2,IF(VLOOKUP(A26,Dividende_je_Aktie!A$3:AM$103,7,FALSE)/VLOOKUP(A26,Ergebnis_je_Aktie_verwässert!A$3:AK$103,7,FALSE)&gt;=2,2,VLOOKUP(A26,Dividende_je_Aktie!A$3:AM$103,7,FALSE)/VLOOKUP(A26,Ergebnis_je_Aktie_verwässert!A$3:AK$103,7,FALSE))),""),"")</f>
        <v>0.38715277777777779</v>
      </c>
      <c r="H26" s="71">
        <f>IF(VLOOKUP(A26,Fiktive_Dividende!A$3:AM$103,14,FALSE)&lt;&gt;"",IF(VLOOKUP(A26,Ergebnis_je_Aktie_verwässert!A$3:AK$103,8,FALSE)&lt;&gt;"",IF(VLOOKUP(A26,Ergebnis_je_Aktie_verwässert!A$3:AK$103,8,FALSE)&lt;=0,2,IF(VLOOKUP(A26,Fiktive_Dividende!A$3:AM$103,14,FALSE)/VLOOKUP(A26,Ergebnis_je_Aktie_verwässert!A$3:AK$103,8,FALSE)&gt;=2,2,VLOOKUP(A26,Fiktive_Dividende!A$3:AM$103,14,FALSE)/VLOOKUP(A26,Ergebnis_je_Aktie_verwässert!A$3:AK$103,8,FALSE))),""),"")</f>
        <v>0.4107142857142857</v>
      </c>
      <c r="I26" s="71">
        <f>IF(VLOOKUP(A26,Fiktive_Dividende!A$3:AM$103,15,FALSE)&lt;&gt;"",IF(VLOOKUP(A26,Ergebnis_je_Aktie_verwässert!A$3:AK$103,9,FALSE)&lt;&gt;"",IF(VLOOKUP(A26,Ergebnis_je_Aktie_verwässert!A$3:AK$103,9,FALSE)&lt;=0,2,IF(VLOOKUP(A26,Fiktive_Dividende!A$3:AM$103,15,FALSE)/VLOOKUP(A26,Ergebnis_je_Aktie_verwässert!A$3:AK$103,9,FALSE)&gt;=2,2,VLOOKUP(A26,Fiktive_Dividende!A$3:AM$103,15,FALSE)/VLOOKUP(A26,Ergebnis_je_Aktie_verwässert!A$3:AK$103,9,FALSE))),""),"")</f>
        <v>0.61940714277142417</v>
      </c>
      <c r="J26" s="71">
        <f>IF(VLOOKUP(A26,Fiktive_Dividende!A$3:AM$103,16,FALSE)&lt;&gt;"",IF(VLOOKUP(A26,Ergebnis_je_Aktie_verwässert!A$3:AK$103,10,FALSE)&lt;&gt;"",IF(VLOOKUP(A26,Ergebnis_je_Aktie_verwässert!A$3:AK$103,10,FALSE)&lt;=0,2,IF(VLOOKUP(A26,Fiktive_Dividende!A$3:AM$103,16,FALSE)/VLOOKUP(A26,Ergebnis_je_Aktie_verwässert!A$3:AK$103,10,FALSE)&gt;=2,2,VLOOKUP(A26,Fiktive_Dividende!A$3:AM$103,16,FALSE)/VLOOKUP(A26,Ergebnis_je_Aktie_verwässert!A$3:AK$103,10,FALSE))),""),"")</f>
        <v>0.67918682626853388</v>
      </c>
      <c r="K26" s="71">
        <f>IF(VLOOKUP(A26,Fiktive_Dividende!A$3:AM$103,17,FALSE)&lt;&gt;"",IF(VLOOKUP(A26,Ergebnis_je_Aktie_verwässert!A$3:AK$103,11,FALSE)&lt;&gt;"",IF(VLOOKUP(A26,Ergebnis_je_Aktie_verwässert!A$3:AK$103,11,FALSE)&lt;=0,2,IF(VLOOKUP(A26,Fiktive_Dividende!A$3:AM$103,17,FALSE)/VLOOKUP(A26,Ergebnis_je_Aktie_verwässert!A$3:AK$103,11,FALSE)&gt;=2,2,VLOOKUP(A26,Fiktive_Dividende!A$3:AM$103,17,FALSE)/VLOOKUP(A26,Ergebnis_je_Aktie_verwässert!A$3:AK$103,11,FALSE))),""),"")</f>
        <v>0.64852036212192077</v>
      </c>
      <c r="L26" s="71">
        <f>IF(VLOOKUP(A26,Fiktive_Dividende!A$3:AM$103,18,FALSE)&lt;&gt;"",IF(VLOOKUP(A26,Ergebnis_je_Aktie_verwässert!A$3:AK$103,12,FALSE)&lt;&gt;"",IF(VLOOKUP(A26,Ergebnis_je_Aktie_verwässert!A$3:AK$103,12,FALSE)&lt;=0,2,IF(VLOOKUP(A26,Fiktive_Dividende!A$3:AM$103,18,FALSE)/VLOOKUP(A26,Ergebnis_je_Aktie_verwässert!A$3:AK$103,12,FALSE)&gt;=2,2,VLOOKUP(A26,Fiktive_Dividende!A$3:AM$103,18,FALSE)/VLOOKUP(A26,Ergebnis_je_Aktie_verwässert!A$3:AK$103,12,FALSE))),""),"")</f>
        <v>0.67163713789535917</v>
      </c>
      <c r="M26" s="71">
        <f>IF(VLOOKUP(A26,Fiktive_Dividende!A$3:AM$103,19,FALSE)&lt;&gt;"",IF(VLOOKUP(A26,Ergebnis_je_Aktie_verwässert!A$3:AK$103,13,FALSE)&lt;&gt;"",IF(VLOOKUP(A26,Ergebnis_je_Aktie_verwässert!A$3:AK$103,13,FALSE)&lt;=0,2,IF(VLOOKUP(A26,Fiktive_Dividende!A$3:AM$103,19,FALSE)/VLOOKUP(A26,Ergebnis_je_Aktie_verwässert!A$3:AK$103,13,FALSE)&gt;=2,2,VLOOKUP(A26,Fiktive_Dividende!A$3:AM$103,19,FALSE)/VLOOKUP(A26,Ergebnis_je_Aktie_verwässert!A$3:AK$103,13,FALSE))),""),"")</f>
        <v>0.40859679330361226</v>
      </c>
      <c r="N26" s="71">
        <f>IF(VLOOKUP(A26,Fiktive_Dividende!A$3:AM$103,20,FALSE)&lt;&gt;"",IF(VLOOKUP(A26,Ergebnis_je_Aktie_verwässert!A$3:AK$103,14,FALSE)&lt;&gt;"",IF(VLOOKUP(A26,Ergebnis_je_Aktie_verwässert!A$3:AK$103,14,FALSE)&lt;=0,2,IF(VLOOKUP(A26,Fiktive_Dividende!A$3:AM$103,20,FALSE)/VLOOKUP(A26,Ergebnis_je_Aktie_verwässert!A$3:AK$103,14,FALSE)&gt;=2,2,VLOOKUP(A26,Fiktive_Dividende!A$3:AM$103,20,FALSE)/VLOOKUP(A26,Ergebnis_je_Aktie_verwässert!A$3:AK$103,14,FALSE))),""),"")</f>
        <v>0.28195488721804512</v>
      </c>
      <c r="O26" s="71">
        <f>IF(VLOOKUP(A26,Fiktive_Dividende!A$3:AM$103,21,FALSE)&lt;&gt;"",IF(VLOOKUP(A26,Ergebnis_je_Aktie_verwässert!A$3:AK$103,15,FALSE)&lt;&gt;"",IF(VLOOKUP(A26,Ergebnis_je_Aktie_verwässert!A$3:AK$103,15,FALSE)&lt;=0,2,IF(VLOOKUP(A26,Fiktive_Dividende!A$3:AM$103,21,FALSE)/VLOOKUP(A26,Ergebnis_je_Aktie_verwässert!A$3:AK$103,15,FALSE)&gt;=2,2,VLOOKUP(A26,Fiktive_Dividende!A$3:AM$103,21,FALSE)/VLOOKUP(A26,Ergebnis_je_Aktie_verwässert!A$3:AK$103,15,FALSE))),""),"")</f>
        <v>0.18656716417910446</v>
      </c>
      <c r="P26" s="71">
        <f>IF(VLOOKUP(A26,Fiktive_Dividende!A$3:AM$103,22,FALSE)&lt;&gt;"",IF(VLOOKUP(A26,Ergebnis_je_Aktie_verwässert!A$3:AK$103,16,FALSE)&lt;&gt;"",IF(VLOOKUP(A26,Ergebnis_je_Aktie_verwässert!A$3:AK$103,16,FALSE)&lt;=0,2,IF(VLOOKUP(A26,Fiktive_Dividende!A$3:AM$103,22,FALSE)/VLOOKUP(A26,Ergebnis_je_Aktie_verwässert!A$3:AK$103,16,FALSE)&gt;=2,2,VLOOKUP(A26,Fiktive_Dividende!A$3:AM$103,22,FALSE)/VLOOKUP(A26,Ergebnis_je_Aktie_verwässert!A$3:AK$103,16,FALSE))),""),"")</f>
        <v>0.15849056603773584</v>
      </c>
      <c r="Q26" s="71">
        <f>IF(VLOOKUP(A26,Fiktive_Dividende!A$3:AM$103,23,FALSE)&lt;&gt;"",IF(VLOOKUP(A26,Ergebnis_je_Aktie_verwässert!A$3:AK$103,17,FALSE)&lt;&gt;"",IF(VLOOKUP(A26,Ergebnis_je_Aktie_verwässert!A$3:AK$103,17,FALSE)&lt;=0,2,IF(VLOOKUP(A26,Fiktive_Dividende!A$3:AM$103,23,FALSE)/VLOOKUP(A26,Ergebnis_je_Aktie_verwässert!A$3:AK$103,17,FALSE)&gt;=2,2,VLOOKUP(A26,Fiktive_Dividende!A$3:AM$103,23,FALSE)/VLOOKUP(A26,Ergebnis_je_Aktie_verwässert!A$3:AK$103,17,FALSE))),""),"")</f>
        <v>0.17766497461928932</v>
      </c>
      <c r="R26" s="71">
        <f>IF(VLOOKUP(A26,Fiktive_Dividende!A$3:AM$103,24,FALSE)&lt;&gt;"",IF(VLOOKUP(A26,Ergebnis_je_Aktie_verwässert!A$3:AK$103,18,FALSE)&lt;&gt;"",IF(VLOOKUP(A26,Ergebnis_je_Aktie_verwässert!A$3:AK$103,18,FALSE)&lt;=0,2,IF(VLOOKUP(A26,Fiktive_Dividende!A$3:AM$103,24,FALSE)/VLOOKUP(A26,Ergebnis_je_Aktie_verwässert!A$3:AK$103,18,FALSE)&gt;=2,2,VLOOKUP(A26,Fiktive_Dividende!A$3:AM$103,24,FALSE)/VLOOKUP(A26,Ergebnis_je_Aktie_verwässert!A$3:AK$103,18,FALSE))),""),"")</f>
        <v>0.18633540372670807</v>
      </c>
      <c r="S26" s="105">
        <f t="shared" si="0"/>
        <v>0.40168719626367494</v>
      </c>
      <c r="T26" s="71">
        <f>IF(VLOOKUP(A26,Dividende_je_Aktie!A$3:AM$103,6,FALSE)&lt;&gt;"",IF(VLOOKUP(A26,Ergebnis_je_Aktie_verwässert!A$3:AK$103,6,FALSE)&lt;&gt;"",IF(VLOOKUP(A26,Ergebnis_je_Aktie_verwässert!A$3:AK$103,6,FALSE)&lt;=0,2,IF(VLOOKUP(A26,Dividende_je_Aktie!A$3:AM$103,6,FALSE)/VLOOKUP(A26,Ergebnis_je_Aktie_verwässert!A$3:AK$103,6,FALSE)&gt;=2,2,VLOOKUP(A26,Dividende_je_Aktie!A$3:AM$103,6,FALSE)/VLOOKUP(A26,Ergebnis_je_Aktie_verwässert!A$3:AK$103,6,FALSE))),""),"")</f>
        <v>0.40570522979397783</v>
      </c>
      <c r="U26" s="71">
        <f>IF(VLOOKUP(A26,Dividende_je_Aktie!A$3:AM$103,7,FALSE)&lt;&gt;"",IF(VLOOKUP(A26,Ergebnis_je_Aktie_verwässert!A$3:AK$103,7,FALSE)&lt;&gt;"",IF(VLOOKUP(A26,Ergebnis_je_Aktie_verwässert!A$3:AK$103,7,FALSE)&lt;=0,2,IF(VLOOKUP(A26,Dividende_je_Aktie!A$3:AM$103,7,FALSE)/VLOOKUP(A26,Ergebnis_je_Aktie_verwässert!A$3:AK$103,7,FALSE)&gt;=2,2,VLOOKUP(A26,Dividende_je_Aktie!A$3:AM$103,7,FALSE)/VLOOKUP(A26,Ergebnis_je_Aktie_verwässert!A$3:AK$103,7,FALSE))),""),"")</f>
        <v>0.38715277777777779</v>
      </c>
      <c r="V26" s="71">
        <f>IF(VLOOKUP(A26,Dividende_je_Aktie!A$3:AM$103,8,FALSE)&lt;&gt;"",IF(VLOOKUP(A26,Ergebnis_je_Aktie_verwässert!A$3:AK$103,8,FALSE)&lt;&gt;"",IF(VLOOKUP(A26,Ergebnis_je_Aktie_verwässert!A$3:AK$103,8,FALSE)&lt;=0,2,IF(VLOOKUP(A26,Dividende_je_Aktie!A$3:AM$103,8,FALSE)/VLOOKUP(A26,Ergebnis_je_Aktie_verwässert!A$3:AK$103,8,FALSE)&gt;=2,2,VLOOKUP(A26,Dividende_je_Aktie!A$3:AM$103,8,FALSE)/VLOOKUP(A26,Ergebnis_je_Aktie_verwässert!A$3:AK$103,8,FALSE))),""),"")</f>
        <v>0.4107142857142857</v>
      </c>
      <c r="W26" s="71">
        <f>IF(VLOOKUP(A26,Dividende_je_Aktie!A$3:AM$103,9,FALSE)&lt;&gt;"",IF(VLOOKUP(A26,Ergebnis_je_Aktie_verwässert!A$3:AK$103,9,FALSE)&lt;&gt;"",IF(VLOOKUP(A26,Ergebnis_je_Aktie_verwässert!A$3:AK$103,9,FALSE)&lt;=0,2,IF(VLOOKUP(A26,Dividende_je_Aktie!A$3:AM$103,9,FALSE)/VLOOKUP(A26,Ergebnis_je_Aktie_verwässert!A$3:AK$103,9,FALSE)&gt;=2,2,VLOOKUP(A26,Dividende_je_Aktie!A$3:AM$103,9,FALSE)/VLOOKUP(A26,Ergebnis_je_Aktie_verwässert!A$3:AK$103,9,FALSE))),""),"")</f>
        <v>0.42323651452282157</v>
      </c>
      <c r="X26" s="71">
        <f>IF(VLOOKUP(A26,Dividende_je_Aktie!A$3:AM$103,10,FALSE)&lt;&gt;"",IF(VLOOKUP(A26,Ergebnis_je_Aktie_verwässert!A$3:AK$103,10,FALSE)&lt;&gt;"",IF(VLOOKUP(A26,Ergebnis_je_Aktie_verwässert!A$3:AK$103,10,FALSE)&lt;=0,2,IF(VLOOKUP(A26,Dividende_je_Aktie!A$3:AM$103,10,FALSE)/VLOOKUP(A26,Ergebnis_je_Aktie_verwässert!A$3:AK$103,10,FALSE)&gt;=2,2,VLOOKUP(A26,Dividende_je_Aktie!A$3:AM$103,10,FALSE)/VLOOKUP(A26,Ergebnis_je_Aktie_verwässert!A$3:AK$103,10,FALSE))),""),"")</f>
        <v>0.41150442477876115</v>
      </c>
      <c r="Y26" s="71">
        <f>IF(VLOOKUP(A26,Dividende_je_Aktie!A$3:AM$103,11,FALSE)&lt;&gt;"",IF(VLOOKUP(A26,Ergebnis_je_Aktie_verwässert!A$3:AK$103,11,FALSE)&lt;&gt;"",IF(VLOOKUP(A26,Ergebnis_je_Aktie_verwässert!A$3:AK$103,11,FALSE)&lt;=0,2,IF(VLOOKUP(A26,Dividende_je_Aktie!A$3:AM$103,11,FALSE)/VLOOKUP(A26,Ergebnis_je_Aktie_verwässert!A$3:AK$103,11,FALSE)&gt;=2,2,VLOOKUP(A26,Dividende_je_Aktie!A$3:AM$103,11,FALSE)/VLOOKUP(A26,Ergebnis_je_Aktie_verwässert!A$3:AK$103,11,FALSE))),""),"")</f>
        <v>0.38479809976247031</v>
      </c>
      <c r="Z26" s="71">
        <f>IF(VLOOKUP(A26,Dividende_je_Aktie!A$3:AM$103,12,FALSE)&lt;&gt;"",IF(VLOOKUP(A26,Ergebnis_je_Aktie_verwässert!A$3:AK$103,12,FALSE)&lt;&gt;"",IF(VLOOKUP(A26,Ergebnis_je_Aktie_verwässert!A$3:AK$103,12,FALSE)&lt;=0,2,IF(VLOOKUP(A26,Dividende_je_Aktie!A$3:AM$103,12,FALSE)/VLOOKUP(A26,Ergebnis_je_Aktie_verwässert!A$3:AK$103,12,FALSE)&gt;=2,2,VLOOKUP(A26,Dividende_je_Aktie!A$3:AM$103,12,FALSE)/VLOOKUP(A26,Ergebnis_je_Aktie_verwässert!A$3:AK$103,12,FALSE))),""),"")</f>
        <v>0.35156250000000006</v>
      </c>
      <c r="AA26" s="71">
        <f>IF(VLOOKUP(A26,Dividende_je_Aktie!A$3:AM$103,13,FALSE)&lt;&gt;"",IF(VLOOKUP(A26,Ergebnis_je_Aktie_verwässert!A$3:AK$103,13,FALSE)&lt;&gt;"",IF(VLOOKUP(A26,Ergebnis_je_Aktie_verwässert!A$3:AK$103,13,FALSE)&lt;=0,2,IF(VLOOKUP(A26,Dividende_je_Aktie!A$3:AM$103,13,FALSE)/VLOOKUP(A26,Ergebnis_je_Aktie_verwässert!A$3:AK$103,13,FALSE)&gt;=2,2,VLOOKUP(A26,Dividende_je_Aktie!A$3:AM$103,13,FALSE)/VLOOKUP(A26,Ergebnis_je_Aktie_verwässert!A$3:AK$103,13,FALSE))),""),"")</f>
        <v>0.26470588235294118</v>
      </c>
      <c r="AB26" s="71">
        <f>IF(VLOOKUP(A26,Dividende_je_Aktie!A$3:AM$103,14,FALSE)&lt;&gt;"",IF(VLOOKUP(A26,Ergebnis_je_Aktie_verwässert!A$3:AK$103,14,FALSE)&lt;&gt;"",IF(VLOOKUP(A26,Ergebnis_je_Aktie_verwässert!A$3:AK$103,14,FALSE)&lt;=0,2,IF(VLOOKUP(A26,Dividende_je_Aktie!A$3:AM$103,14,FALSE)/VLOOKUP(A26,Ergebnis_je_Aktie_verwässert!A$3:AK$103,14,FALSE)&gt;=2,2,VLOOKUP(A26,Dividende_je_Aktie!A$3:AM$103,14,FALSE)/VLOOKUP(A26,Ergebnis_je_Aktie_verwässert!A$3:AK$103,14,FALSE))),""),"")</f>
        <v>0.28195488721804512</v>
      </c>
      <c r="AC26" s="71">
        <f>IF(VLOOKUP(A26,Dividende_je_Aktie!A$3:AM$103,15,FALSE)&lt;&gt;"",IF(VLOOKUP(A26,Ergebnis_je_Aktie_verwässert!A$3:AK$103,15,FALSE)&lt;&gt;"",IF(VLOOKUP(A26,Ergebnis_je_Aktie_verwässert!A$3:AK$103,15,FALSE)&lt;=0,2,IF(VLOOKUP(A26,Dividende_je_Aktie!A$3:AM$103,15,FALSE)/VLOOKUP(A26,Ergebnis_je_Aktie_verwässert!A$3:AK$103,15,FALSE)&gt;=2,2,VLOOKUP(A26,Dividende_je_Aktie!A$3:AM$103,15,FALSE)/VLOOKUP(A26,Ergebnis_je_Aktie_verwässert!A$3:AK$103,15,FALSE))),""),"")</f>
        <v>0.18656716417910446</v>
      </c>
      <c r="AD26" s="71">
        <f>IF(VLOOKUP(A26,Dividende_je_Aktie!A$3:AM$103,16,FALSE)&lt;&gt;"",IF(VLOOKUP(A26,Ergebnis_je_Aktie_verwässert!A$3:AK$103,16,FALSE)&lt;&gt;"",IF(VLOOKUP(A26,Ergebnis_je_Aktie_verwässert!A$3:AK$103,16,FALSE)&lt;=0,2,IF(VLOOKUP(A26,Dividende_je_Aktie!A$3:AM$103,16,FALSE)/VLOOKUP(A26,Ergebnis_je_Aktie_verwässert!A$3:AK$103,16,FALSE)&gt;=2,2,VLOOKUP(A26,Dividende_je_Aktie!A$3:AM$103,16,FALSE)/VLOOKUP(A26,Ergebnis_je_Aktie_verwässert!A$3:AK$103,16,FALSE))),""),"")</f>
        <v>0.15849056603773584</v>
      </c>
      <c r="AE26" s="71">
        <f>IF(VLOOKUP(A26,Dividende_je_Aktie!A$3:AM$103,17,FALSE)&lt;&gt;"",IF(VLOOKUP(A26,Ergebnis_je_Aktie_verwässert!A$3:AK$103,17,FALSE)&lt;&gt;"",IF(VLOOKUP(A26,Ergebnis_je_Aktie_verwässert!A$3:AK$103,17,FALSE)&lt;=0,2,IF(VLOOKUP(A26,Dividende_je_Aktie!A$3:AM$103,17,FALSE)/VLOOKUP(A26,Ergebnis_je_Aktie_verwässert!A$3:AK$103,17,FALSE)&gt;=2,2,VLOOKUP(A26,Dividende_je_Aktie!A$3:AM$103,17,FALSE)/VLOOKUP(A26,Ergebnis_je_Aktie_verwässert!A$3:AK$103,17,FALSE))),""),"")</f>
        <v>0.17766497461928932</v>
      </c>
      <c r="AF26" s="71">
        <f>IF(VLOOKUP(A26,Dividende_je_Aktie!A$3:AM$103,18,FALSE)&lt;&gt;"",IF(VLOOKUP(A26,Ergebnis_je_Aktie_verwässert!A$3:AK$103,18,FALSE)&lt;&gt;"",IF(VLOOKUP(A26,Ergebnis_je_Aktie_verwässert!A$3:AK$103,18,FALSE)&lt;=0,2,IF(VLOOKUP(A26,Dividende_je_Aktie!A$3:AM$103,18,FALSE)/VLOOKUP(A26,Ergebnis_je_Aktie_verwässert!A$3:AK$103,18,FALSE)&gt;=2,2,VLOOKUP(A26,Dividende_je_Aktie!A$3:AM$103,18,FALSE)/VLOOKUP(A26,Ergebnis_je_Aktie_verwässert!A$3:AK$103,18,FALSE))),""),"")</f>
        <v>0.18633540372670807</v>
      </c>
      <c r="AG26" s="105">
        <f t="shared" si="1"/>
        <v>0.310030208498763</v>
      </c>
      <c r="AH26" s="4">
        <f t="shared" ca="1" si="2"/>
        <v>0</v>
      </c>
      <c r="AI26" s="4">
        <f t="shared" ca="1" si="3"/>
        <v>228</v>
      </c>
      <c r="AJ26" s="4">
        <f t="shared" ca="1" si="4"/>
        <v>132</v>
      </c>
      <c r="AK26" s="10">
        <f t="shared" ca="1" si="5"/>
        <v>0.39579199735449733</v>
      </c>
      <c r="AL26" s="5">
        <f t="shared" ca="1" si="6"/>
        <v>0.27662397567970065</v>
      </c>
    </row>
    <row r="27" spans="1:38">
      <c r="A27" t="s">
        <v>36</v>
      </c>
      <c r="B27" t="s">
        <v>37</v>
      </c>
      <c r="C27" s="60">
        <v>31</v>
      </c>
      <c r="D27" s="60">
        <v>12</v>
      </c>
      <c r="E27" s="60">
        <v>2016</v>
      </c>
      <c r="F27" s="71">
        <f>IF(VLOOKUP(A27,Dividende_je_Aktie!A$3:AM$103,6,FALSE)&lt;&gt;"",IF(VLOOKUP(A27,Ergebnis_je_Aktie_verwässert!A$3:AK$103,6,FALSE)&lt;&gt;"",IF(VLOOKUP(A27,Ergebnis_je_Aktie_verwässert!A$3:AK$103,6,FALSE)&lt;=0,2,IF(VLOOKUP(A27,Dividende_je_Aktie!A$3:AM$103,6,FALSE)/VLOOKUP(A27,Ergebnis_je_Aktie_verwässert!A$3:AK$103,6,FALSE)&gt;=2,2,VLOOKUP(A27,Dividende_je_Aktie!A$3:AM$103,6,FALSE)/VLOOKUP(A27,Ergebnis_je_Aktie_verwässert!A$3:AK$103,6,FALSE))),""),"")</f>
        <v>0.65610859728506787</v>
      </c>
      <c r="G27" s="71">
        <f>IF(VLOOKUP(A27,Dividende_je_Aktie!A$3:AM$103,7,FALSE)&lt;&gt;"",IF(VLOOKUP(A27,Ergebnis_je_Aktie_verwässert!A$3:AK$103,7,FALSE)&lt;&gt;"",IF(VLOOKUP(A27,Ergebnis_je_Aktie_verwässert!A$3:AK$103,7,FALSE)&lt;=0,2,IF(VLOOKUP(A27,Dividende_je_Aktie!A$3:AM$103,7,FALSE)/VLOOKUP(A27,Ergebnis_je_Aktie_verwässert!A$3:AK$103,7,FALSE)&gt;=2,2,VLOOKUP(A27,Dividende_je_Aktie!A$3:AM$103,7,FALSE)/VLOOKUP(A27,Ergebnis_je_Aktie_verwässert!A$3:AK$103,7,FALSE))),""),"")</f>
        <v>0.66995073891625623</v>
      </c>
      <c r="H27" s="71">
        <f>IF(VLOOKUP(A27,Fiktive_Dividende!A$3:AM$103,14,FALSE)&lt;&gt;"",IF(VLOOKUP(A27,Ergebnis_je_Aktie_verwässert!A$3:AK$103,8,FALSE)&lt;&gt;"",IF(VLOOKUP(A27,Ergebnis_je_Aktie_verwässert!A$3:AK$103,8,FALSE)&lt;=0,2,IF(VLOOKUP(A27,Fiktive_Dividende!A$3:AM$103,14,FALSE)/VLOOKUP(A27,Ergebnis_je_Aktie_verwässert!A$3:AK$103,8,FALSE)&gt;=2,2,VLOOKUP(A27,Fiktive_Dividende!A$3:AM$103,14,FALSE)/VLOOKUP(A27,Ergebnis_je_Aktie_verwässert!A$3:AK$103,8,FALSE))),""),"")</f>
        <v>0.67195767195767198</v>
      </c>
      <c r="I27" s="71">
        <f>IF(VLOOKUP(A27,Fiktive_Dividende!A$3:AM$103,15,FALSE)&lt;&gt;"",IF(VLOOKUP(A27,Ergebnis_je_Aktie_verwässert!A$3:AK$103,9,FALSE)&lt;&gt;"",IF(VLOOKUP(A27,Ergebnis_je_Aktie_verwässert!A$3:AK$103,9,FALSE)&lt;=0,2,IF(VLOOKUP(A27,Fiktive_Dividende!A$3:AM$103,15,FALSE)/VLOOKUP(A27,Ergebnis_je_Aktie_verwässert!A$3:AK$103,9,FALSE)&gt;=2,2,VLOOKUP(A27,Fiktive_Dividende!A$3:AM$103,15,FALSE)/VLOOKUP(A27,Ergebnis_je_Aktie_verwässert!A$3:AK$103,9,FALSE))),""),"")</f>
        <v>0.69186046511627908</v>
      </c>
      <c r="J27" s="71">
        <f>IF(VLOOKUP(A27,Fiktive_Dividende!A$3:AM$103,16,FALSE)&lt;&gt;"",IF(VLOOKUP(A27,Ergebnis_je_Aktie_verwässert!A$3:AK$103,10,FALSE)&lt;&gt;"",IF(VLOOKUP(A27,Ergebnis_je_Aktie_verwässert!A$3:AK$103,10,FALSE)&lt;=0,2,IF(VLOOKUP(A27,Fiktive_Dividende!A$3:AM$103,16,FALSE)/VLOOKUP(A27,Ergebnis_je_Aktie_verwässert!A$3:AK$103,10,FALSE)&gt;=2,2,VLOOKUP(A27,Fiktive_Dividende!A$3:AM$103,16,FALSE)/VLOOKUP(A27,Ergebnis_je_Aktie_verwässert!A$3:AK$103,10,FALSE))),""),"")</f>
        <v>0.62569832402234637</v>
      </c>
      <c r="K27" s="71">
        <f>IF(VLOOKUP(A27,Fiktive_Dividende!A$3:AM$103,17,FALSE)&lt;&gt;"",IF(VLOOKUP(A27,Ergebnis_je_Aktie_verwässert!A$3:AK$103,11,FALSE)&lt;&gt;"",IF(VLOOKUP(A27,Ergebnis_je_Aktie_verwässert!A$3:AK$103,11,FALSE)&lt;=0,2,IF(VLOOKUP(A27,Fiktive_Dividende!A$3:AM$103,17,FALSE)/VLOOKUP(A27,Ergebnis_je_Aktie_verwässert!A$3:AK$103,11,FALSE)&gt;=2,2,VLOOKUP(A27,Fiktive_Dividende!A$3:AM$103,17,FALSE)/VLOOKUP(A27,Ergebnis_je_Aktie_verwässert!A$3:AK$103,11,FALSE))),""),"")</f>
        <v>0.6325301204819278</v>
      </c>
      <c r="L27" s="71">
        <f>IF(VLOOKUP(A27,Fiktive_Dividende!A$3:AM$103,18,FALSE)&lt;&gt;"",IF(VLOOKUP(A27,Ergebnis_je_Aktie_verwässert!A$3:AK$103,12,FALSE)&lt;&gt;"",IF(VLOOKUP(A27,Ergebnis_je_Aktie_verwässert!A$3:AK$103,12,FALSE)&lt;=0,2,IF(VLOOKUP(A27,Fiktive_Dividende!A$3:AM$103,18,FALSE)/VLOOKUP(A27,Ergebnis_je_Aktie_verwässert!A$3:AK$103,12,FALSE)&gt;=2,2,VLOOKUP(A27,Fiktive_Dividende!A$3:AM$103,18,FALSE)/VLOOKUP(A27,Ergebnis_je_Aktie_verwässert!A$3:AK$103,12,FALSE))),""),"")</f>
        <v>0.6298701298701298</v>
      </c>
      <c r="M27" s="71">
        <f>IF(VLOOKUP(A27,Fiktive_Dividende!A$3:AM$103,19,FALSE)&lt;&gt;"",IF(VLOOKUP(A27,Ergebnis_je_Aktie_verwässert!A$3:AK$103,13,FALSE)&lt;&gt;"",IF(VLOOKUP(A27,Ergebnis_je_Aktie_verwässert!A$3:AK$103,13,FALSE)&lt;=0,2,IF(VLOOKUP(A27,Fiktive_Dividende!A$3:AM$103,19,FALSE)/VLOOKUP(A27,Ergebnis_je_Aktie_verwässert!A$3:AK$103,13,FALSE)&gt;=2,2,VLOOKUP(A27,Fiktive_Dividende!A$3:AM$103,19,FALSE)/VLOOKUP(A27,Ergebnis_je_Aktie_verwässert!A$3:AK$103,13,FALSE))),""),"")</f>
        <v>0.61643835616438358</v>
      </c>
      <c r="N27" s="71">
        <f>IF(VLOOKUP(A27,Fiktive_Dividende!A$3:AM$103,20,FALSE)&lt;&gt;"",IF(VLOOKUP(A27,Ergebnis_je_Aktie_verwässert!A$3:AK$103,14,FALSE)&lt;&gt;"",IF(VLOOKUP(A27,Ergebnis_je_Aktie_verwässert!A$3:AK$103,14,FALSE)&lt;=0,2,IF(VLOOKUP(A27,Fiktive_Dividende!A$3:AM$103,20,FALSE)/VLOOKUP(A27,Ergebnis_je_Aktie_verwässert!A$3:AK$103,14,FALSE)&gt;=2,2,VLOOKUP(A27,Fiktive_Dividende!A$3:AM$103,20,FALSE)/VLOOKUP(A27,Ergebnis_je_Aktie_verwässert!A$3:AK$103,14,FALSE))),""),"")</f>
        <v>0.56849315068493145</v>
      </c>
      <c r="O27" s="71">
        <f>IF(VLOOKUP(A27,Fiktive_Dividende!A$3:AM$103,21,FALSE)&lt;&gt;"",IF(VLOOKUP(A27,Ergebnis_je_Aktie_verwässert!A$3:AK$103,15,FALSE)&lt;&gt;"",IF(VLOOKUP(A27,Ergebnis_je_Aktie_verwässert!A$3:AK$103,15,FALSE)&lt;=0,2,IF(VLOOKUP(A27,Fiktive_Dividende!A$3:AM$103,21,FALSE)/VLOOKUP(A27,Ergebnis_je_Aktie_verwässert!A$3:AK$103,15,FALSE)&gt;=2,2,VLOOKUP(A27,Fiktive_Dividende!A$3:AM$103,21,FALSE)/VLOOKUP(A27,Ergebnis_je_Aktie_verwässert!A$3:AK$103,15,FALSE))),""),"")</f>
        <v>0.68376068376068388</v>
      </c>
      <c r="P27" s="71">
        <f>IF(VLOOKUP(A27,Fiktive_Dividende!A$3:AM$103,22,FALSE)&lt;&gt;"",IF(VLOOKUP(A27,Ergebnis_je_Aktie_verwässert!A$3:AK$103,16,FALSE)&lt;&gt;"",IF(VLOOKUP(A27,Ergebnis_je_Aktie_verwässert!A$3:AK$103,16,FALSE)&lt;=0,2,IF(VLOOKUP(A27,Fiktive_Dividende!A$3:AM$103,22,FALSE)/VLOOKUP(A27,Ergebnis_je_Aktie_verwässert!A$3:AK$103,16,FALSE)&gt;=2,2,VLOOKUP(A27,Fiktive_Dividende!A$3:AM$103,22,FALSE)/VLOOKUP(A27,Ergebnis_je_Aktie_verwässert!A$3:AK$103,16,FALSE))),""),"")</f>
        <v>0.63636363636363635</v>
      </c>
      <c r="Q27" s="71">
        <f>IF(VLOOKUP(A27,Fiktive_Dividende!A$3:AM$103,23,FALSE)&lt;&gt;"",IF(VLOOKUP(A27,Ergebnis_je_Aktie_verwässert!A$3:AK$103,17,FALSE)&lt;&gt;"",IF(VLOOKUP(A27,Ergebnis_je_Aktie_verwässert!A$3:AK$103,17,FALSE)&lt;=0,2,IF(VLOOKUP(A27,Fiktive_Dividende!A$3:AM$103,23,FALSE)/VLOOKUP(A27,Ergebnis_je_Aktie_verwässert!A$3:AK$103,17,FALSE)&gt;=2,2,VLOOKUP(A27,Fiktive_Dividende!A$3:AM$103,23,FALSE)/VLOOKUP(A27,Ergebnis_je_Aktie_verwässert!A$3:AK$103,17,FALSE))),""),"")</f>
        <v>0.5725190839694656</v>
      </c>
      <c r="R27" s="71">
        <f>IF(VLOOKUP(A27,Fiktive_Dividende!A$3:AM$103,24,FALSE)&lt;&gt;"",IF(VLOOKUP(A27,Ergebnis_je_Aktie_verwässert!A$3:AK$103,18,FALSE)&lt;&gt;"",IF(VLOOKUP(A27,Ergebnis_je_Aktie_verwässert!A$3:AK$103,18,FALSE)&lt;=0,2,IF(VLOOKUP(A27,Fiktive_Dividende!A$3:AM$103,24,FALSE)/VLOOKUP(A27,Ergebnis_je_Aktie_verwässert!A$3:AK$103,18,FALSE)&gt;=2,2,VLOOKUP(A27,Fiktive_Dividende!A$3:AM$103,24,FALSE)/VLOOKUP(A27,Ergebnis_je_Aktie_verwässert!A$3:AK$103,18,FALSE))),""),"")</f>
        <v>0.63002680965147451</v>
      </c>
      <c r="S27" s="105">
        <f t="shared" si="0"/>
        <v>0.63735213601878893</v>
      </c>
      <c r="T27" s="71">
        <f>IF(VLOOKUP(A27,Dividende_je_Aktie!A$3:AM$103,6,FALSE)&lt;&gt;"",IF(VLOOKUP(A27,Ergebnis_je_Aktie_verwässert!A$3:AK$103,6,FALSE)&lt;&gt;"",IF(VLOOKUP(A27,Ergebnis_je_Aktie_verwässert!A$3:AK$103,6,FALSE)&lt;=0,2,IF(VLOOKUP(A27,Dividende_je_Aktie!A$3:AM$103,6,FALSE)/VLOOKUP(A27,Ergebnis_je_Aktie_verwässert!A$3:AK$103,6,FALSE)&gt;=2,2,VLOOKUP(A27,Dividende_je_Aktie!A$3:AM$103,6,FALSE)/VLOOKUP(A27,Ergebnis_je_Aktie_verwässert!A$3:AK$103,6,FALSE))),""),"")</f>
        <v>0.65610859728506787</v>
      </c>
      <c r="U27" s="71">
        <f>IF(VLOOKUP(A27,Dividende_je_Aktie!A$3:AM$103,7,FALSE)&lt;&gt;"",IF(VLOOKUP(A27,Ergebnis_je_Aktie_verwässert!A$3:AK$103,7,FALSE)&lt;&gt;"",IF(VLOOKUP(A27,Ergebnis_je_Aktie_verwässert!A$3:AK$103,7,FALSE)&lt;=0,2,IF(VLOOKUP(A27,Dividende_je_Aktie!A$3:AM$103,7,FALSE)/VLOOKUP(A27,Ergebnis_je_Aktie_verwässert!A$3:AK$103,7,FALSE)&gt;=2,2,VLOOKUP(A27,Dividende_je_Aktie!A$3:AM$103,7,FALSE)/VLOOKUP(A27,Ergebnis_je_Aktie_verwässert!A$3:AK$103,7,FALSE))),""),"")</f>
        <v>0.66995073891625623</v>
      </c>
      <c r="V27" s="71">
        <f>IF(VLOOKUP(A27,Dividende_je_Aktie!A$3:AM$103,8,FALSE)&lt;&gt;"",IF(VLOOKUP(A27,Ergebnis_je_Aktie_verwässert!A$3:AK$103,8,FALSE)&lt;&gt;"",IF(VLOOKUP(A27,Ergebnis_je_Aktie_verwässert!A$3:AK$103,8,FALSE)&lt;=0,2,IF(VLOOKUP(A27,Dividende_je_Aktie!A$3:AM$103,8,FALSE)/VLOOKUP(A27,Ergebnis_je_Aktie_verwässert!A$3:AK$103,8,FALSE)&gt;=2,2,VLOOKUP(A27,Dividende_je_Aktie!A$3:AM$103,8,FALSE)/VLOOKUP(A27,Ergebnis_je_Aktie_verwässert!A$3:AK$103,8,FALSE))),""),"")</f>
        <v>0.67195767195767198</v>
      </c>
      <c r="W27" s="71">
        <f>IF(VLOOKUP(A27,Dividende_je_Aktie!A$3:AM$103,9,FALSE)&lt;&gt;"",IF(VLOOKUP(A27,Ergebnis_je_Aktie_verwässert!A$3:AK$103,9,FALSE)&lt;&gt;"",IF(VLOOKUP(A27,Ergebnis_je_Aktie_verwässert!A$3:AK$103,9,FALSE)&lt;=0,2,IF(VLOOKUP(A27,Dividende_je_Aktie!A$3:AM$103,9,FALSE)/VLOOKUP(A27,Ergebnis_je_Aktie_verwässert!A$3:AK$103,9,FALSE)&gt;=2,2,VLOOKUP(A27,Dividende_je_Aktie!A$3:AM$103,9,FALSE)/VLOOKUP(A27,Ergebnis_je_Aktie_verwässert!A$3:AK$103,9,FALSE))),""),"")</f>
        <v>0.69186046511627908</v>
      </c>
      <c r="X27" s="71">
        <f>IF(VLOOKUP(A27,Dividende_je_Aktie!A$3:AM$103,10,FALSE)&lt;&gt;"",IF(VLOOKUP(A27,Ergebnis_je_Aktie_verwässert!A$3:AK$103,10,FALSE)&lt;&gt;"",IF(VLOOKUP(A27,Ergebnis_je_Aktie_verwässert!A$3:AK$103,10,FALSE)&lt;=0,2,IF(VLOOKUP(A27,Dividende_je_Aktie!A$3:AM$103,10,FALSE)/VLOOKUP(A27,Ergebnis_je_Aktie_verwässert!A$3:AK$103,10,FALSE)&gt;=2,2,VLOOKUP(A27,Dividende_je_Aktie!A$3:AM$103,10,FALSE)/VLOOKUP(A27,Ergebnis_je_Aktie_verwässert!A$3:AK$103,10,FALSE))),""),"")</f>
        <v>0.62569832402234637</v>
      </c>
      <c r="Y27" s="71">
        <f>IF(VLOOKUP(A27,Dividende_je_Aktie!A$3:AM$103,11,FALSE)&lt;&gt;"",IF(VLOOKUP(A27,Ergebnis_je_Aktie_verwässert!A$3:AK$103,11,FALSE)&lt;&gt;"",IF(VLOOKUP(A27,Ergebnis_je_Aktie_verwässert!A$3:AK$103,11,FALSE)&lt;=0,2,IF(VLOOKUP(A27,Dividende_je_Aktie!A$3:AM$103,11,FALSE)/VLOOKUP(A27,Ergebnis_je_Aktie_verwässert!A$3:AK$103,11,FALSE)&gt;=2,2,VLOOKUP(A27,Dividende_je_Aktie!A$3:AM$103,11,FALSE)/VLOOKUP(A27,Ergebnis_je_Aktie_verwässert!A$3:AK$103,11,FALSE))),""),"")</f>
        <v>0.6325301204819278</v>
      </c>
      <c r="Z27" s="71">
        <f>IF(VLOOKUP(A27,Dividende_je_Aktie!A$3:AM$103,12,FALSE)&lt;&gt;"",IF(VLOOKUP(A27,Ergebnis_je_Aktie_verwässert!A$3:AK$103,12,FALSE)&lt;&gt;"",IF(VLOOKUP(A27,Ergebnis_je_Aktie_verwässert!A$3:AK$103,12,FALSE)&lt;=0,2,IF(VLOOKUP(A27,Dividende_je_Aktie!A$3:AM$103,12,FALSE)/VLOOKUP(A27,Ergebnis_je_Aktie_verwässert!A$3:AK$103,12,FALSE)&gt;=2,2,VLOOKUP(A27,Dividende_je_Aktie!A$3:AM$103,12,FALSE)/VLOOKUP(A27,Ergebnis_je_Aktie_verwässert!A$3:AK$103,12,FALSE))),""),"")</f>
        <v>0.6298701298701298</v>
      </c>
      <c r="AA27" s="71">
        <f>IF(VLOOKUP(A27,Dividende_je_Aktie!A$3:AM$103,13,FALSE)&lt;&gt;"",IF(VLOOKUP(A27,Ergebnis_je_Aktie_verwässert!A$3:AK$103,13,FALSE)&lt;&gt;"",IF(VLOOKUP(A27,Ergebnis_je_Aktie_verwässert!A$3:AK$103,13,FALSE)&lt;=0,2,IF(VLOOKUP(A27,Dividende_je_Aktie!A$3:AM$103,13,FALSE)/VLOOKUP(A27,Ergebnis_je_Aktie_verwässert!A$3:AK$103,13,FALSE)&gt;=2,2,VLOOKUP(A27,Dividende_je_Aktie!A$3:AM$103,13,FALSE)/VLOOKUP(A27,Ergebnis_je_Aktie_verwässert!A$3:AK$103,13,FALSE))),""),"")</f>
        <v>0.61643835616438358</v>
      </c>
      <c r="AB27" s="71">
        <f>IF(VLOOKUP(A27,Dividende_je_Aktie!A$3:AM$103,14,FALSE)&lt;&gt;"",IF(VLOOKUP(A27,Ergebnis_je_Aktie_verwässert!A$3:AK$103,14,FALSE)&lt;&gt;"",IF(VLOOKUP(A27,Ergebnis_je_Aktie_verwässert!A$3:AK$103,14,FALSE)&lt;=0,2,IF(VLOOKUP(A27,Dividende_je_Aktie!A$3:AM$103,14,FALSE)/VLOOKUP(A27,Ergebnis_je_Aktie_verwässert!A$3:AK$103,14,FALSE)&gt;=2,2,VLOOKUP(A27,Dividende_je_Aktie!A$3:AM$103,14,FALSE)/VLOOKUP(A27,Ergebnis_je_Aktie_verwässert!A$3:AK$103,14,FALSE))),""),"")</f>
        <v>0.56849315068493145</v>
      </c>
      <c r="AC27" s="71">
        <f>IF(VLOOKUP(A27,Dividende_je_Aktie!A$3:AM$103,15,FALSE)&lt;&gt;"",IF(VLOOKUP(A27,Ergebnis_je_Aktie_verwässert!A$3:AK$103,15,FALSE)&lt;&gt;"",IF(VLOOKUP(A27,Ergebnis_je_Aktie_verwässert!A$3:AK$103,15,FALSE)&lt;=0,2,IF(VLOOKUP(A27,Dividende_je_Aktie!A$3:AM$103,15,FALSE)/VLOOKUP(A27,Ergebnis_je_Aktie_verwässert!A$3:AK$103,15,FALSE)&gt;=2,2,VLOOKUP(A27,Dividende_je_Aktie!A$3:AM$103,15,FALSE)/VLOOKUP(A27,Ergebnis_je_Aktie_verwässert!A$3:AK$103,15,FALSE))),""),"")</f>
        <v>0.68376068376068388</v>
      </c>
      <c r="AD27" s="71">
        <f>IF(VLOOKUP(A27,Dividende_je_Aktie!A$3:AM$103,16,FALSE)&lt;&gt;"",IF(VLOOKUP(A27,Ergebnis_je_Aktie_verwässert!A$3:AK$103,16,FALSE)&lt;&gt;"",IF(VLOOKUP(A27,Ergebnis_je_Aktie_verwässert!A$3:AK$103,16,FALSE)&lt;=0,2,IF(VLOOKUP(A27,Dividende_je_Aktie!A$3:AM$103,16,FALSE)/VLOOKUP(A27,Ergebnis_je_Aktie_verwässert!A$3:AK$103,16,FALSE)&gt;=2,2,VLOOKUP(A27,Dividende_je_Aktie!A$3:AM$103,16,FALSE)/VLOOKUP(A27,Ergebnis_je_Aktie_verwässert!A$3:AK$103,16,FALSE))),""),"")</f>
        <v>0.63636363636363635</v>
      </c>
      <c r="AE27" s="71">
        <f>IF(VLOOKUP(A27,Dividende_je_Aktie!A$3:AM$103,17,FALSE)&lt;&gt;"",IF(VLOOKUP(A27,Ergebnis_je_Aktie_verwässert!A$3:AK$103,17,FALSE)&lt;&gt;"",IF(VLOOKUP(A27,Ergebnis_je_Aktie_verwässert!A$3:AK$103,17,FALSE)&lt;=0,2,IF(VLOOKUP(A27,Dividende_je_Aktie!A$3:AM$103,17,FALSE)/VLOOKUP(A27,Ergebnis_je_Aktie_verwässert!A$3:AK$103,17,FALSE)&gt;=2,2,VLOOKUP(A27,Dividende_je_Aktie!A$3:AM$103,17,FALSE)/VLOOKUP(A27,Ergebnis_je_Aktie_verwässert!A$3:AK$103,17,FALSE))),""),"")</f>
        <v>0.5725190839694656</v>
      </c>
      <c r="AF27" s="71">
        <f>IF(VLOOKUP(A27,Dividende_je_Aktie!A$3:AM$103,18,FALSE)&lt;&gt;"",IF(VLOOKUP(A27,Ergebnis_je_Aktie_verwässert!A$3:AK$103,18,FALSE)&lt;&gt;"",IF(VLOOKUP(A27,Ergebnis_je_Aktie_verwässert!A$3:AK$103,18,FALSE)&lt;=0,2,IF(VLOOKUP(A27,Dividende_je_Aktie!A$3:AM$103,18,FALSE)/VLOOKUP(A27,Ergebnis_je_Aktie_verwässert!A$3:AK$103,18,FALSE)&gt;=2,2,VLOOKUP(A27,Dividende_je_Aktie!A$3:AM$103,18,FALSE)/VLOOKUP(A27,Ergebnis_je_Aktie_verwässert!A$3:AK$103,18,FALSE))),""),"")</f>
        <v>0.63002680965147451</v>
      </c>
      <c r="AG27" s="105">
        <f t="shared" si="1"/>
        <v>0.63735213601878893</v>
      </c>
      <c r="AH27" s="4">
        <f t="shared" ca="1" si="2"/>
        <v>0</v>
      </c>
      <c r="AI27" s="4">
        <f t="shared" ca="1" si="3"/>
        <v>108</v>
      </c>
      <c r="AJ27" s="4">
        <f t="shared" ca="1" si="4"/>
        <v>252</v>
      </c>
      <c r="AK27" s="10">
        <f t="shared" ca="1" si="5"/>
        <v>0.6713555920452472</v>
      </c>
      <c r="AL27" s="5">
        <f t="shared" ca="1" si="6"/>
        <v>5.3351128998892827E-2</v>
      </c>
    </row>
    <row r="28" spans="1:38">
      <c r="A28" t="s">
        <v>38</v>
      </c>
      <c r="B28" t="s">
        <v>39</v>
      </c>
      <c r="C28" s="60">
        <v>31</v>
      </c>
      <c r="D28" s="60">
        <v>12</v>
      </c>
      <c r="E28" s="60">
        <v>2016</v>
      </c>
      <c r="F28" s="71">
        <f>IF(VLOOKUP(A28,Dividende_je_Aktie!A$3:AM$103,6,FALSE)&lt;&gt;"",IF(VLOOKUP(A28,Ergebnis_je_Aktie_verwässert!A$3:AK$103,6,FALSE)&lt;&gt;"",IF(VLOOKUP(A28,Ergebnis_je_Aktie_verwässert!A$3:AK$103,6,FALSE)&lt;=0,2,IF(VLOOKUP(A28,Dividende_je_Aktie!A$3:AM$103,6,FALSE)/VLOOKUP(A28,Ergebnis_je_Aktie_verwässert!A$3:AK$103,6,FALSE)&gt;=2,2,VLOOKUP(A28,Dividende_je_Aktie!A$3:AM$103,6,FALSE)/VLOOKUP(A28,Ergebnis_je_Aktie_verwässert!A$3:AK$103,6,FALSE))),""),"")</f>
        <v>0.64401294498381878</v>
      </c>
      <c r="G28" s="71">
        <f>IF(VLOOKUP(A28,Dividende_je_Aktie!A$3:AM$103,7,FALSE)&lt;&gt;"",IF(VLOOKUP(A28,Ergebnis_je_Aktie_verwässert!A$3:AK$103,7,FALSE)&lt;&gt;"",IF(VLOOKUP(A28,Ergebnis_je_Aktie_verwässert!A$3:AK$103,7,FALSE)&lt;=0,2,IF(VLOOKUP(A28,Dividende_je_Aktie!A$3:AM$103,7,FALSE)/VLOOKUP(A28,Ergebnis_je_Aktie_verwässert!A$3:AK$103,7,FALSE)&gt;=2,2,VLOOKUP(A28,Dividende_je_Aktie!A$3:AM$103,7,FALSE)/VLOOKUP(A28,Ergebnis_je_Aktie_verwässert!A$3:AK$103,7,FALSE))),""),"")</f>
        <v>0.6901408450704225</v>
      </c>
      <c r="H28" s="71">
        <f>IF(VLOOKUP(A28,Fiktive_Dividende!A$3:AM$103,14,FALSE)&lt;&gt;"",IF(VLOOKUP(A28,Ergebnis_je_Aktie_verwässert!A$3:AK$103,8,FALSE)&lt;&gt;"",IF(VLOOKUP(A28,Ergebnis_je_Aktie_verwässert!A$3:AK$103,8,FALSE)&lt;=0,2,IF(VLOOKUP(A28,Fiktive_Dividende!A$3:AM$103,14,FALSE)/VLOOKUP(A28,Ergebnis_je_Aktie_verwässert!A$3:AK$103,8,FALSE)&gt;=2,2,VLOOKUP(A28,Fiktive_Dividende!A$3:AM$103,14,FALSE)/VLOOKUP(A28,Ergebnis_je_Aktie_verwässert!A$3:AK$103,8,FALSE))),""),"")</f>
        <v>0.7201492537313432</v>
      </c>
      <c r="I28" s="71">
        <f>IF(VLOOKUP(A28,Fiktive_Dividende!A$3:AM$103,15,FALSE)&lt;&gt;"",IF(VLOOKUP(A28,Ergebnis_je_Aktie_verwässert!A$3:AK$103,9,FALSE)&lt;&gt;"",IF(VLOOKUP(A28,Ergebnis_je_Aktie_verwässert!A$3:AK$103,9,FALSE)&lt;=0,2,IF(VLOOKUP(A28,Fiktive_Dividende!A$3:AM$103,15,FALSE)/VLOOKUP(A28,Ergebnis_je_Aktie_verwässert!A$3:AK$103,9,FALSE)&gt;=2,2,VLOOKUP(A28,Fiktive_Dividende!A$3:AM$103,15,FALSE)/VLOOKUP(A28,Ergebnis_je_Aktie_verwässert!A$3:AK$103,9,FALSE))),""),"")</f>
        <v>0.79668049792531115</v>
      </c>
      <c r="J28" s="71">
        <f>IF(VLOOKUP(A28,Fiktive_Dividende!A$3:AM$103,16,FALSE)&lt;&gt;"",IF(VLOOKUP(A28,Ergebnis_je_Aktie_verwässert!A$3:AK$103,10,FALSE)&lt;&gt;"",IF(VLOOKUP(A28,Ergebnis_je_Aktie_verwässert!A$3:AK$103,10,FALSE)&lt;=0,2,IF(VLOOKUP(A28,Fiktive_Dividende!A$3:AM$103,16,FALSE)/VLOOKUP(A28,Ergebnis_je_Aktie_verwässert!A$3:AK$103,10,FALSE)&gt;=2,2,VLOOKUP(A28,Fiktive_Dividende!A$3:AM$103,16,FALSE)/VLOOKUP(A28,Ergebnis_je_Aktie_verwässert!A$3:AK$103,10,FALSE))),""),"")</f>
        <v>0.82777810668403295</v>
      </c>
      <c r="K28" s="71">
        <f>IF(VLOOKUP(A28,Fiktive_Dividende!A$3:AM$103,17,FALSE)&lt;&gt;"",IF(VLOOKUP(A28,Ergebnis_je_Aktie_verwässert!A$3:AK$103,11,FALSE)&lt;&gt;"",IF(VLOOKUP(A28,Ergebnis_je_Aktie_verwässert!A$3:AK$103,11,FALSE)&lt;=0,2,IF(VLOOKUP(A28,Fiktive_Dividende!A$3:AM$103,17,FALSE)/VLOOKUP(A28,Ergebnis_je_Aktie_verwässert!A$3:AK$103,11,FALSE)&gt;=2,2,VLOOKUP(A28,Fiktive_Dividende!A$3:AM$103,17,FALSE)/VLOOKUP(A28,Ergebnis_je_Aktie_verwässert!A$3:AK$103,11,FALSE))),""),"")</f>
        <v>1.679361653272101</v>
      </c>
      <c r="L28" s="71">
        <f>IF(VLOOKUP(A28,Fiktive_Dividende!A$3:AM$103,18,FALSE)&lt;&gt;"",IF(VLOOKUP(A28,Ergebnis_je_Aktie_verwässert!A$3:AK$103,12,FALSE)&lt;&gt;"",IF(VLOOKUP(A28,Ergebnis_je_Aktie_verwässert!A$3:AK$103,12,FALSE)&lt;=0,2,IF(VLOOKUP(A28,Fiktive_Dividende!A$3:AM$103,18,FALSE)/VLOOKUP(A28,Ergebnis_je_Aktie_verwässert!A$3:AK$103,12,FALSE)&gt;=2,2,VLOOKUP(A28,Fiktive_Dividende!A$3:AM$103,18,FALSE)/VLOOKUP(A28,Ergebnis_je_Aktie_verwässert!A$3:AK$103,12,FALSE))),""),"")</f>
        <v>1.6709468038978879</v>
      </c>
      <c r="M28" s="71">
        <f>IF(VLOOKUP(A28,Fiktive_Dividende!A$3:AM$103,19,FALSE)&lt;&gt;"",IF(VLOOKUP(A28,Ergebnis_je_Aktie_verwässert!A$3:AK$103,13,FALSE)&lt;&gt;"",IF(VLOOKUP(A28,Ergebnis_je_Aktie_verwässert!A$3:AK$103,13,FALSE)&lt;=0,2,IF(VLOOKUP(A28,Fiktive_Dividende!A$3:AM$103,19,FALSE)/VLOOKUP(A28,Ergebnis_je_Aktie_verwässert!A$3:AK$103,13,FALSE)&gt;=2,2,VLOOKUP(A28,Fiktive_Dividende!A$3:AM$103,19,FALSE)/VLOOKUP(A28,Ergebnis_je_Aktie_verwässert!A$3:AK$103,13,FALSE))),""),"")</f>
        <v>0.78181818181818175</v>
      </c>
      <c r="N28" s="71">
        <f>IF(VLOOKUP(A28,Fiktive_Dividende!A$3:AM$103,20,FALSE)&lt;&gt;"",IF(VLOOKUP(A28,Ergebnis_je_Aktie_verwässert!A$3:AK$103,14,FALSE)&lt;&gt;"",IF(VLOOKUP(A28,Ergebnis_je_Aktie_verwässert!A$3:AK$103,14,FALSE)&lt;=0,2,IF(VLOOKUP(A28,Fiktive_Dividende!A$3:AM$103,20,FALSE)/VLOOKUP(A28,Ergebnis_je_Aktie_verwässert!A$3:AK$103,14,FALSE)&gt;=2,2,VLOOKUP(A28,Fiktive_Dividende!A$3:AM$103,20,FALSE)/VLOOKUP(A28,Ergebnis_je_Aktie_verwässert!A$3:AK$103,14,FALSE))),""),"")</f>
        <v>0.73362445414847155</v>
      </c>
      <c r="O28" s="71">
        <f>IF(VLOOKUP(A28,Fiktive_Dividende!A$3:AM$103,21,FALSE)&lt;&gt;"",IF(VLOOKUP(A28,Ergebnis_je_Aktie_verwässert!A$3:AK$103,15,FALSE)&lt;&gt;"",IF(VLOOKUP(A28,Ergebnis_je_Aktie_verwässert!A$3:AK$103,15,FALSE)&lt;=0,2,IF(VLOOKUP(A28,Fiktive_Dividende!A$3:AM$103,21,FALSE)/VLOOKUP(A28,Ergebnis_je_Aktie_verwässert!A$3:AK$103,15,FALSE)&gt;=2,2,VLOOKUP(A28,Fiktive_Dividende!A$3:AM$103,21,FALSE)/VLOOKUP(A28,Ergebnis_je_Aktie_verwässert!A$3:AK$103,15,FALSE))),""),"")</f>
        <v>0.79710144927536231</v>
      </c>
      <c r="P28" s="71">
        <f>IF(VLOOKUP(A28,Fiktive_Dividende!A$3:AM$103,22,FALSE)&lt;&gt;"",IF(VLOOKUP(A28,Ergebnis_je_Aktie_verwässert!A$3:AK$103,16,FALSE)&lt;&gt;"",IF(VLOOKUP(A28,Ergebnis_je_Aktie_verwässert!A$3:AK$103,16,FALSE)&lt;=0,2,IF(VLOOKUP(A28,Fiktive_Dividende!A$3:AM$103,22,FALSE)/VLOOKUP(A28,Ergebnis_je_Aktie_verwässert!A$3:AK$103,16,FALSE)&gt;=2,2,VLOOKUP(A28,Fiktive_Dividende!A$3:AM$103,22,FALSE)/VLOOKUP(A28,Ergebnis_je_Aktie_verwässert!A$3:AK$103,16,FALSE))),""),"")</f>
        <v>1.0834598173602077</v>
      </c>
      <c r="Q28" s="71">
        <f>IF(VLOOKUP(A28,Fiktive_Dividende!A$3:AM$103,23,FALSE)&lt;&gt;"",IF(VLOOKUP(A28,Ergebnis_je_Aktie_verwässert!A$3:AK$103,17,FALSE)&lt;&gt;"",IF(VLOOKUP(A28,Ergebnis_je_Aktie_verwässert!A$3:AK$103,17,FALSE)&lt;=0,2,IF(VLOOKUP(A28,Fiktive_Dividende!A$3:AM$103,23,FALSE)/VLOOKUP(A28,Ergebnis_je_Aktie_verwässert!A$3:AK$103,17,FALSE)&gt;=2,2,VLOOKUP(A28,Fiktive_Dividende!A$3:AM$103,23,FALSE)/VLOOKUP(A28,Ergebnis_je_Aktie_verwässert!A$3:AK$103,17,FALSE))),""),"")</f>
        <v>1.4489005028417039</v>
      </c>
      <c r="R28" s="71">
        <f>IF(VLOOKUP(A28,Fiktive_Dividende!A$3:AM$103,24,FALSE)&lt;&gt;"",IF(VLOOKUP(A28,Ergebnis_je_Aktie_verwässert!A$3:AK$103,18,FALSE)&lt;&gt;"",IF(VLOOKUP(A28,Ergebnis_je_Aktie_verwässert!A$3:AK$103,18,FALSE)&lt;=0,2,IF(VLOOKUP(A28,Fiktive_Dividende!A$3:AM$103,24,FALSE)/VLOOKUP(A28,Ergebnis_je_Aktie_verwässert!A$3:AK$103,18,FALSE)&gt;=2,2,VLOOKUP(A28,Fiktive_Dividende!A$3:AM$103,24,FALSE)/VLOOKUP(A28,Ergebnis_je_Aktie_verwässert!A$3:AK$103,18,FALSE))),""),"")</f>
        <v>0.71428571428571441</v>
      </c>
      <c r="S28" s="105">
        <f t="shared" si="0"/>
        <v>0.96832770963804293</v>
      </c>
      <c r="T28" s="71">
        <f>IF(VLOOKUP(A28,Dividende_je_Aktie!A$3:AM$103,6,FALSE)&lt;&gt;"",IF(VLOOKUP(A28,Ergebnis_je_Aktie_verwässert!A$3:AK$103,6,FALSE)&lt;&gt;"",IF(VLOOKUP(A28,Ergebnis_je_Aktie_verwässert!A$3:AK$103,6,FALSE)&lt;=0,2,IF(VLOOKUP(A28,Dividende_je_Aktie!A$3:AM$103,6,FALSE)/VLOOKUP(A28,Ergebnis_je_Aktie_verwässert!A$3:AK$103,6,FALSE)&gt;=2,2,VLOOKUP(A28,Dividende_je_Aktie!A$3:AM$103,6,FALSE)/VLOOKUP(A28,Ergebnis_je_Aktie_verwässert!A$3:AK$103,6,FALSE))),""),"")</f>
        <v>0.64401294498381878</v>
      </c>
      <c r="U28" s="71">
        <f>IF(VLOOKUP(A28,Dividende_je_Aktie!A$3:AM$103,7,FALSE)&lt;&gt;"",IF(VLOOKUP(A28,Ergebnis_je_Aktie_verwässert!A$3:AK$103,7,FALSE)&lt;&gt;"",IF(VLOOKUP(A28,Ergebnis_je_Aktie_verwässert!A$3:AK$103,7,FALSE)&lt;=0,2,IF(VLOOKUP(A28,Dividende_je_Aktie!A$3:AM$103,7,FALSE)/VLOOKUP(A28,Ergebnis_je_Aktie_verwässert!A$3:AK$103,7,FALSE)&gt;=2,2,VLOOKUP(A28,Dividende_je_Aktie!A$3:AM$103,7,FALSE)/VLOOKUP(A28,Ergebnis_je_Aktie_verwässert!A$3:AK$103,7,FALSE))),""),"")</f>
        <v>0.6901408450704225</v>
      </c>
      <c r="V28" s="71">
        <f>IF(VLOOKUP(A28,Dividende_je_Aktie!A$3:AM$103,8,FALSE)&lt;&gt;"",IF(VLOOKUP(A28,Ergebnis_je_Aktie_verwässert!A$3:AK$103,8,FALSE)&lt;&gt;"",IF(VLOOKUP(A28,Ergebnis_je_Aktie_verwässert!A$3:AK$103,8,FALSE)&lt;=0,2,IF(VLOOKUP(A28,Dividende_je_Aktie!A$3:AM$103,8,FALSE)/VLOOKUP(A28,Ergebnis_je_Aktie_verwässert!A$3:AK$103,8,FALSE)&gt;=2,2,VLOOKUP(A28,Dividende_je_Aktie!A$3:AM$103,8,FALSE)/VLOOKUP(A28,Ergebnis_je_Aktie_verwässert!A$3:AK$103,8,FALSE))),""),"")</f>
        <v>0.7201492537313432</v>
      </c>
      <c r="W28" s="71">
        <f>IF(VLOOKUP(A28,Dividende_je_Aktie!A$3:AM$103,9,FALSE)&lt;&gt;"",IF(VLOOKUP(A28,Ergebnis_je_Aktie_verwässert!A$3:AK$103,9,FALSE)&lt;&gt;"",IF(VLOOKUP(A28,Ergebnis_je_Aktie_verwässert!A$3:AK$103,9,FALSE)&lt;=0,2,IF(VLOOKUP(A28,Dividende_je_Aktie!A$3:AM$103,9,FALSE)/VLOOKUP(A28,Ergebnis_je_Aktie_verwässert!A$3:AK$103,9,FALSE)&gt;=2,2,VLOOKUP(A28,Dividende_je_Aktie!A$3:AM$103,9,FALSE)/VLOOKUP(A28,Ergebnis_je_Aktie_verwässert!A$3:AK$103,9,FALSE))),""),"")</f>
        <v>0.79668049792531115</v>
      </c>
      <c r="X28" s="71">
        <f>IF(VLOOKUP(A28,Dividende_je_Aktie!A$3:AM$103,10,FALSE)&lt;&gt;"",IF(VLOOKUP(A28,Ergebnis_je_Aktie_verwässert!A$3:AK$103,10,FALSE)&lt;&gt;"",IF(VLOOKUP(A28,Ergebnis_je_Aktie_verwässert!A$3:AK$103,10,FALSE)&lt;=0,2,IF(VLOOKUP(A28,Dividende_je_Aktie!A$3:AM$103,10,FALSE)/VLOOKUP(A28,Ergebnis_je_Aktie_verwässert!A$3:AK$103,10,FALSE)&gt;=2,2,VLOOKUP(A28,Dividende_je_Aktie!A$3:AM$103,10,FALSE)/VLOOKUP(A28,Ergebnis_je_Aktie_verwässert!A$3:AK$103,10,FALSE))),""),"")</f>
        <v>0.72834645669291342</v>
      </c>
      <c r="Y28" s="71">
        <f>IF(VLOOKUP(A28,Dividende_je_Aktie!A$3:AM$103,11,FALSE)&lt;&gt;"",IF(VLOOKUP(A28,Ergebnis_je_Aktie_verwässert!A$3:AK$103,11,FALSE)&lt;&gt;"",IF(VLOOKUP(A28,Ergebnis_je_Aktie_verwässert!A$3:AK$103,11,FALSE)&lt;=0,2,IF(VLOOKUP(A28,Dividende_je_Aktie!A$3:AM$103,11,FALSE)/VLOOKUP(A28,Ergebnis_je_Aktie_verwässert!A$3:AK$103,11,FALSE)&gt;=2,2,VLOOKUP(A28,Dividende_je_Aktie!A$3:AM$103,11,FALSE)/VLOOKUP(A28,Ergebnis_je_Aktie_verwässert!A$3:AK$103,11,FALSE))),""),"")</f>
        <v>0.72399999999999998</v>
      </c>
      <c r="Z28" s="71">
        <f>IF(VLOOKUP(A28,Dividende_je_Aktie!A$3:AM$103,12,FALSE)&lt;&gt;"",IF(VLOOKUP(A28,Ergebnis_je_Aktie_verwässert!A$3:AK$103,12,FALSE)&lt;&gt;"",IF(VLOOKUP(A28,Ergebnis_je_Aktie_verwässert!A$3:AK$103,12,FALSE)&lt;=0,2,IF(VLOOKUP(A28,Dividende_je_Aktie!A$3:AM$103,12,FALSE)/VLOOKUP(A28,Ergebnis_je_Aktie_verwässert!A$3:AK$103,12,FALSE)&gt;=2,2,VLOOKUP(A28,Dividende_je_Aktie!A$3:AM$103,12,FALSE)/VLOOKUP(A28,Ergebnis_je_Aktie_verwässert!A$3:AK$103,12,FALSE))),""),"")</f>
        <v>0.76623376623376627</v>
      </c>
      <c r="AA28" s="71">
        <f>IF(VLOOKUP(A28,Dividende_je_Aktie!A$3:AM$103,13,FALSE)&lt;&gt;"",IF(VLOOKUP(A28,Ergebnis_je_Aktie_verwässert!A$3:AK$103,13,FALSE)&lt;&gt;"",IF(VLOOKUP(A28,Ergebnis_je_Aktie_verwässert!A$3:AK$103,13,FALSE)&lt;=0,2,IF(VLOOKUP(A28,Dividende_je_Aktie!A$3:AM$103,13,FALSE)/VLOOKUP(A28,Ergebnis_je_Aktie_verwässert!A$3:AK$103,13,FALSE)&gt;=2,2,VLOOKUP(A28,Dividende_je_Aktie!A$3:AM$103,13,FALSE)/VLOOKUP(A28,Ergebnis_je_Aktie_verwässert!A$3:AK$103,13,FALSE))),""),"")</f>
        <v>0.78181818181818175</v>
      </c>
      <c r="AB28" s="71">
        <f>IF(VLOOKUP(A28,Dividende_je_Aktie!A$3:AM$103,14,FALSE)&lt;&gt;"",IF(VLOOKUP(A28,Ergebnis_je_Aktie_verwässert!A$3:AK$103,14,FALSE)&lt;&gt;"",IF(VLOOKUP(A28,Ergebnis_je_Aktie_verwässert!A$3:AK$103,14,FALSE)&lt;=0,2,IF(VLOOKUP(A28,Dividende_je_Aktie!A$3:AM$103,14,FALSE)/VLOOKUP(A28,Ergebnis_je_Aktie_verwässert!A$3:AK$103,14,FALSE)&gt;=2,2,VLOOKUP(A28,Dividende_je_Aktie!A$3:AM$103,14,FALSE)/VLOOKUP(A28,Ergebnis_je_Aktie_verwässert!A$3:AK$103,14,FALSE))),""),"")</f>
        <v>0.73362445414847155</v>
      </c>
      <c r="AC28" s="71">
        <f>IF(VLOOKUP(A28,Dividende_je_Aktie!A$3:AM$103,15,FALSE)&lt;&gt;"",IF(VLOOKUP(A28,Ergebnis_je_Aktie_verwässert!A$3:AK$103,15,FALSE)&lt;&gt;"",IF(VLOOKUP(A28,Ergebnis_je_Aktie_verwässert!A$3:AK$103,15,FALSE)&lt;=0,2,IF(VLOOKUP(A28,Dividende_je_Aktie!A$3:AM$103,15,FALSE)/VLOOKUP(A28,Ergebnis_je_Aktie_verwässert!A$3:AK$103,15,FALSE)&gt;=2,2,VLOOKUP(A28,Dividende_je_Aktie!A$3:AM$103,15,FALSE)/VLOOKUP(A28,Ergebnis_je_Aktie_verwässert!A$3:AK$103,15,FALSE))),""),"")</f>
        <v>0.79710144927536231</v>
      </c>
      <c r="AD28" s="71">
        <f>IF(VLOOKUP(A28,Dividende_je_Aktie!A$3:AM$103,16,FALSE)&lt;&gt;"",IF(VLOOKUP(A28,Ergebnis_je_Aktie_verwässert!A$3:AK$103,16,FALSE)&lt;&gt;"",IF(VLOOKUP(A28,Ergebnis_je_Aktie_verwässert!A$3:AK$103,16,FALSE)&lt;=0,2,IF(VLOOKUP(A28,Dividende_je_Aktie!A$3:AM$103,16,FALSE)/VLOOKUP(A28,Ergebnis_je_Aktie_verwässert!A$3:AK$103,16,FALSE)&gt;=2,2,VLOOKUP(A28,Dividende_je_Aktie!A$3:AM$103,16,FALSE)/VLOOKUP(A28,Ergebnis_je_Aktie_verwässert!A$3:AK$103,16,FALSE))),""),"")</f>
        <v>0.74537037037037035</v>
      </c>
      <c r="AE28" s="71">
        <f>IF(VLOOKUP(A28,Dividende_je_Aktie!A$3:AM$103,17,FALSE)&lt;&gt;"",IF(VLOOKUP(A28,Ergebnis_je_Aktie_verwässert!A$3:AK$103,17,FALSE)&lt;&gt;"",IF(VLOOKUP(A28,Ergebnis_je_Aktie_verwässert!A$3:AK$103,17,FALSE)&lt;=0,2,IF(VLOOKUP(A28,Dividende_je_Aktie!A$3:AM$103,17,FALSE)/VLOOKUP(A28,Ergebnis_je_Aktie_verwässert!A$3:AK$103,17,FALSE)&gt;=2,2,VLOOKUP(A28,Dividende_je_Aktie!A$3:AM$103,17,FALSE)/VLOOKUP(A28,Ergebnis_je_Aktie_verwässert!A$3:AK$103,17,FALSE))),""),"")</f>
        <v>0.75773195876288657</v>
      </c>
      <c r="AF28" s="71">
        <f>IF(VLOOKUP(A28,Dividende_je_Aktie!A$3:AM$103,18,FALSE)&lt;&gt;"",IF(VLOOKUP(A28,Ergebnis_je_Aktie_verwässert!A$3:AK$103,18,FALSE)&lt;&gt;"",IF(VLOOKUP(A28,Ergebnis_je_Aktie_verwässert!A$3:AK$103,18,FALSE)&lt;=0,2,IF(VLOOKUP(A28,Dividende_je_Aktie!A$3:AM$103,18,FALSE)/VLOOKUP(A28,Ergebnis_je_Aktie_verwässert!A$3:AK$103,18,FALSE)&gt;=2,2,VLOOKUP(A28,Dividende_je_Aktie!A$3:AM$103,18,FALSE)/VLOOKUP(A28,Ergebnis_je_Aktie_verwässert!A$3:AK$103,18,FALSE))),""),"")</f>
        <v>0.71428571428571441</v>
      </c>
      <c r="AG28" s="105">
        <f t="shared" si="1"/>
        <v>0.73842276102296645</v>
      </c>
      <c r="AH28" s="4">
        <f t="shared" ca="1" si="2"/>
        <v>0</v>
      </c>
      <c r="AI28" s="4">
        <f t="shared" ca="1" si="3"/>
        <v>108</v>
      </c>
      <c r="AJ28" s="4">
        <f t="shared" ca="1" si="4"/>
        <v>252</v>
      </c>
      <c r="AK28" s="10">
        <f t="shared" ca="1" si="5"/>
        <v>0.71114673113306703</v>
      </c>
      <c r="AL28" s="5">
        <f t="shared" ca="1" si="6"/>
        <v>-3.693823014354658E-2</v>
      </c>
    </row>
    <row r="29" spans="1:38">
      <c r="A29" t="s">
        <v>318</v>
      </c>
      <c r="B29" t="s">
        <v>319</v>
      </c>
      <c r="C29" s="60">
        <v>31</v>
      </c>
      <c r="D29" s="60">
        <v>12</v>
      </c>
      <c r="E29" s="60">
        <v>2016</v>
      </c>
      <c r="F29" s="71">
        <f>IF(VLOOKUP(A29,Dividende_je_Aktie!A$3:AM$103,6,FALSE)&lt;&gt;"",IF(VLOOKUP(A29,Ergebnis_je_Aktie_verwässert!A$3:AK$103,6,FALSE)&lt;&gt;"",IF(VLOOKUP(A29,Ergebnis_je_Aktie_verwässert!A$3:AK$103,6,FALSE)&lt;=0,2,IF(VLOOKUP(A29,Dividende_je_Aktie!A$3:AM$103,6,FALSE)/VLOOKUP(A29,Ergebnis_je_Aktie_verwässert!A$3:AK$103,6,FALSE)&gt;=2,2,VLOOKUP(A29,Dividende_je_Aktie!A$3:AM$103,6,FALSE)/VLOOKUP(A29,Ergebnis_je_Aktie_verwässert!A$3:AK$103,6,FALSE))),""),"")</f>
        <v>0</v>
      </c>
      <c r="G29" s="71">
        <f>IF(VLOOKUP(A29,Dividende_je_Aktie!A$3:AM$103,7,FALSE)&lt;&gt;"",IF(VLOOKUP(A29,Ergebnis_je_Aktie_verwässert!A$3:AK$103,7,FALSE)&lt;&gt;"",IF(VLOOKUP(A29,Ergebnis_je_Aktie_verwässert!A$3:AK$103,7,FALSE)&lt;=0,2,IF(VLOOKUP(A29,Dividende_je_Aktie!A$3:AM$103,7,FALSE)/VLOOKUP(A29,Ergebnis_je_Aktie_verwässert!A$3:AK$103,7,FALSE)&gt;=2,2,VLOOKUP(A29,Dividende_je_Aktie!A$3:AM$103,7,FALSE)/VLOOKUP(A29,Ergebnis_je_Aktie_verwässert!A$3:AK$103,7,FALSE))),""),"")</f>
        <v>0</v>
      </c>
      <c r="H29" s="71">
        <f>IF(VLOOKUP(A29,Fiktive_Dividende!A$3:AM$103,14,FALSE)&lt;&gt;"",IF(VLOOKUP(A29,Ergebnis_je_Aktie_verwässert!A$3:AK$103,8,FALSE)&lt;&gt;"",IF(VLOOKUP(A29,Ergebnis_je_Aktie_verwässert!A$3:AK$103,8,FALSE)&lt;=0,2,IF(VLOOKUP(A29,Fiktive_Dividende!A$3:AM$103,14,FALSE)/VLOOKUP(A29,Ergebnis_je_Aktie_verwässert!A$3:AK$103,8,FALSE)&gt;=2,2,VLOOKUP(A29,Fiktive_Dividende!A$3:AM$103,14,FALSE)/VLOOKUP(A29,Ergebnis_je_Aktie_verwässert!A$3:AK$103,8,FALSE))),""),"")</f>
        <v>0</v>
      </c>
      <c r="I29" s="71">
        <f>IF(VLOOKUP(A29,Fiktive_Dividende!A$3:AM$103,15,FALSE)&lt;&gt;"",IF(VLOOKUP(A29,Ergebnis_je_Aktie_verwässert!A$3:AK$103,9,FALSE)&lt;&gt;"",IF(VLOOKUP(A29,Ergebnis_je_Aktie_verwässert!A$3:AK$103,9,FALSE)&lt;=0,2,IF(VLOOKUP(A29,Fiktive_Dividende!A$3:AM$103,15,FALSE)/VLOOKUP(A29,Ergebnis_je_Aktie_verwässert!A$3:AK$103,9,FALSE)&gt;=2,2,VLOOKUP(A29,Fiktive_Dividende!A$3:AM$103,15,FALSE)/VLOOKUP(A29,Ergebnis_je_Aktie_verwässert!A$3:AK$103,9,FALSE))),""),"")</f>
        <v>0</v>
      </c>
      <c r="J29" s="71">
        <f>IF(VLOOKUP(A29,Fiktive_Dividende!A$3:AM$103,16,FALSE)&lt;&gt;"",IF(VLOOKUP(A29,Ergebnis_je_Aktie_verwässert!A$3:AK$103,10,FALSE)&lt;&gt;"",IF(VLOOKUP(A29,Ergebnis_je_Aktie_verwässert!A$3:AK$103,10,FALSE)&lt;=0,2,IF(VLOOKUP(A29,Fiktive_Dividende!A$3:AM$103,16,FALSE)/VLOOKUP(A29,Ergebnis_je_Aktie_verwässert!A$3:AK$103,10,FALSE)&gt;=2,2,VLOOKUP(A29,Fiktive_Dividende!A$3:AM$103,16,FALSE)/VLOOKUP(A29,Ergebnis_je_Aktie_verwässert!A$3:AK$103,10,FALSE))),""),"")</f>
        <v>0</v>
      </c>
      <c r="K29" s="71">
        <f>IF(VLOOKUP(A29,Fiktive_Dividende!A$3:AM$103,17,FALSE)&lt;&gt;"",IF(VLOOKUP(A29,Ergebnis_je_Aktie_verwässert!A$3:AK$103,11,FALSE)&lt;&gt;"",IF(VLOOKUP(A29,Ergebnis_je_Aktie_verwässert!A$3:AK$103,11,FALSE)&lt;=0,2,IF(VLOOKUP(A29,Fiktive_Dividende!A$3:AM$103,17,FALSE)/VLOOKUP(A29,Ergebnis_je_Aktie_verwässert!A$3:AK$103,11,FALSE)&gt;=2,2,VLOOKUP(A29,Fiktive_Dividende!A$3:AM$103,17,FALSE)/VLOOKUP(A29,Ergebnis_je_Aktie_verwässert!A$3:AK$103,11,FALSE))),""),"")</f>
        <v>0</v>
      </c>
      <c r="L29" s="71">
        <f>IF(VLOOKUP(A29,Fiktive_Dividende!A$3:AM$103,18,FALSE)&lt;&gt;"",IF(VLOOKUP(A29,Ergebnis_je_Aktie_verwässert!A$3:AK$103,12,FALSE)&lt;&gt;"",IF(VLOOKUP(A29,Ergebnis_je_Aktie_verwässert!A$3:AK$103,12,FALSE)&lt;=0,2,IF(VLOOKUP(A29,Fiktive_Dividende!A$3:AM$103,18,FALSE)/VLOOKUP(A29,Ergebnis_je_Aktie_verwässert!A$3:AK$103,12,FALSE)&gt;=2,2,VLOOKUP(A29,Fiktive_Dividende!A$3:AM$103,18,FALSE)/VLOOKUP(A29,Ergebnis_je_Aktie_verwässert!A$3:AK$103,12,FALSE))),""),"")</f>
        <v>0</v>
      </c>
      <c r="M29" s="71">
        <f>IF(VLOOKUP(A29,Fiktive_Dividende!A$3:AM$103,19,FALSE)&lt;&gt;"",IF(VLOOKUP(A29,Ergebnis_je_Aktie_verwässert!A$3:AK$103,13,FALSE)&lt;&gt;"",IF(VLOOKUP(A29,Ergebnis_je_Aktie_verwässert!A$3:AK$103,13,FALSE)&lt;=0,2,IF(VLOOKUP(A29,Fiktive_Dividende!A$3:AM$103,19,FALSE)/VLOOKUP(A29,Ergebnis_je_Aktie_verwässert!A$3:AK$103,13,FALSE)&gt;=2,2,VLOOKUP(A29,Fiktive_Dividende!A$3:AM$103,19,FALSE)/VLOOKUP(A29,Ergebnis_je_Aktie_verwässert!A$3:AK$103,13,FALSE))),""),"")</f>
        <v>0</v>
      </c>
      <c r="N29" s="71">
        <f>IF(VLOOKUP(A29,Fiktive_Dividende!A$3:AM$103,20,FALSE)&lt;&gt;"",IF(VLOOKUP(A29,Ergebnis_je_Aktie_verwässert!A$3:AK$103,14,FALSE)&lt;&gt;"",IF(VLOOKUP(A29,Ergebnis_je_Aktie_verwässert!A$3:AK$103,14,FALSE)&lt;=0,2,IF(VLOOKUP(A29,Fiktive_Dividende!A$3:AM$103,20,FALSE)/VLOOKUP(A29,Ergebnis_je_Aktie_verwässert!A$3:AK$103,14,FALSE)&gt;=2,2,VLOOKUP(A29,Fiktive_Dividende!A$3:AM$103,20,FALSE)/VLOOKUP(A29,Ergebnis_je_Aktie_verwässert!A$3:AK$103,14,FALSE))),""),"")</f>
        <v>0</v>
      </c>
      <c r="O29" s="71">
        <f>IF(VLOOKUP(A29,Fiktive_Dividende!A$3:AM$103,21,FALSE)&lt;&gt;"",IF(VLOOKUP(A29,Ergebnis_je_Aktie_verwässert!A$3:AK$103,15,FALSE)&lt;&gt;"",IF(VLOOKUP(A29,Ergebnis_je_Aktie_verwässert!A$3:AK$103,15,FALSE)&lt;=0,2,IF(VLOOKUP(A29,Fiktive_Dividende!A$3:AM$103,21,FALSE)/VLOOKUP(A29,Ergebnis_je_Aktie_verwässert!A$3:AK$103,15,FALSE)&gt;=2,2,VLOOKUP(A29,Fiktive_Dividende!A$3:AM$103,21,FALSE)/VLOOKUP(A29,Ergebnis_je_Aktie_verwässert!A$3:AK$103,15,FALSE))),""),"")</f>
        <v>0</v>
      </c>
      <c r="P29" s="71">
        <f>IF(VLOOKUP(A29,Fiktive_Dividende!A$3:AM$103,22,FALSE)&lt;&gt;"",IF(VLOOKUP(A29,Ergebnis_je_Aktie_verwässert!A$3:AK$103,16,FALSE)&lt;&gt;"",IF(VLOOKUP(A29,Ergebnis_je_Aktie_verwässert!A$3:AK$103,16,FALSE)&lt;=0,2,IF(VLOOKUP(A29,Fiktive_Dividende!A$3:AM$103,22,FALSE)/VLOOKUP(A29,Ergebnis_je_Aktie_verwässert!A$3:AK$103,16,FALSE)&gt;=2,2,VLOOKUP(A29,Fiktive_Dividende!A$3:AM$103,22,FALSE)/VLOOKUP(A29,Ergebnis_je_Aktie_verwässert!A$3:AK$103,16,FALSE))),""),"")</f>
        <v>0</v>
      </c>
      <c r="Q29" s="71">
        <f>IF(VLOOKUP(A29,Fiktive_Dividende!A$3:AM$103,23,FALSE)&lt;&gt;"",IF(VLOOKUP(A29,Ergebnis_je_Aktie_verwässert!A$3:AK$103,17,FALSE)&lt;&gt;"",IF(VLOOKUP(A29,Ergebnis_je_Aktie_verwässert!A$3:AK$103,17,FALSE)&lt;=0,2,IF(VLOOKUP(A29,Fiktive_Dividende!A$3:AM$103,23,FALSE)/VLOOKUP(A29,Ergebnis_je_Aktie_verwässert!A$3:AK$103,17,FALSE)&gt;=2,2,VLOOKUP(A29,Fiktive_Dividende!A$3:AM$103,23,FALSE)/VLOOKUP(A29,Ergebnis_je_Aktie_verwässert!A$3:AK$103,17,FALSE))),""),"")</f>
        <v>0</v>
      </c>
      <c r="R29" s="71">
        <f>IF(VLOOKUP(A29,Fiktive_Dividende!A$3:AM$103,24,FALSE)&lt;&gt;"",IF(VLOOKUP(A29,Ergebnis_je_Aktie_verwässert!A$3:AK$103,18,FALSE)&lt;&gt;"",IF(VLOOKUP(A29,Ergebnis_je_Aktie_verwässert!A$3:AK$103,18,FALSE)&lt;=0,2,IF(VLOOKUP(A29,Fiktive_Dividende!A$3:AM$103,24,FALSE)/VLOOKUP(A29,Ergebnis_je_Aktie_verwässert!A$3:AK$103,18,FALSE)&gt;=2,2,VLOOKUP(A29,Fiktive_Dividende!A$3:AM$103,24,FALSE)/VLOOKUP(A29,Ergebnis_je_Aktie_verwässert!A$3:AK$103,18,FALSE))),""),"")</f>
        <v>0</v>
      </c>
      <c r="S29" s="105">
        <f t="shared" si="0"/>
        <v>0</v>
      </c>
      <c r="T29" s="71">
        <f>IF(VLOOKUP(A29,Dividende_je_Aktie!A$3:AM$103,6,FALSE)&lt;&gt;"",IF(VLOOKUP(A29,Ergebnis_je_Aktie_verwässert!A$3:AK$103,6,FALSE)&lt;&gt;"",IF(VLOOKUP(A29,Ergebnis_je_Aktie_verwässert!A$3:AK$103,6,FALSE)&lt;=0,2,IF(VLOOKUP(A29,Dividende_je_Aktie!A$3:AM$103,6,FALSE)/VLOOKUP(A29,Ergebnis_je_Aktie_verwässert!A$3:AK$103,6,FALSE)&gt;=2,2,VLOOKUP(A29,Dividende_je_Aktie!A$3:AM$103,6,FALSE)/VLOOKUP(A29,Ergebnis_je_Aktie_verwässert!A$3:AK$103,6,FALSE))),""),"")</f>
        <v>0</v>
      </c>
      <c r="U29" s="71">
        <f>IF(VLOOKUP(A29,Dividende_je_Aktie!A$3:AM$103,7,FALSE)&lt;&gt;"",IF(VLOOKUP(A29,Ergebnis_je_Aktie_verwässert!A$3:AK$103,7,FALSE)&lt;&gt;"",IF(VLOOKUP(A29,Ergebnis_je_Aktie_verwässert!A$3:AK$103,7,FALSE)&lt;=0,2,IF(VLOOKUP(A29,Dividende_je_Aktie!A$3:AM$103,7,FALSE)/VLOOKUP(A29,Ergebnis_je_Aktie_verwässert!A$3:AK$103,7,FALSE)&gt;=2,2,VLOOKUP(A29,Dividende_je_Aktie!A$3:AM$103,7,FALSE)/VLOOKUP(A29,Ergebnis_je_Aktie_verwässert!A$3:AK$103,7,FALSE))),""),"")</f>
        <v>0</v>
      </c>
      <c r="V29" s="71">
        <f>IF(VLOOKUP(A29,Dividende_je_Aktie!A$3:AM$103,8,FALSE)&lt;&gt;"",IF(VLOOKUP(A29,Ergebnis_je_Aktie_verwässert!A$3:AK$103,8,FALSE)&lt;&gt;"",IF(VLOOKUP(A29,Ergebnis_je_Aktie_verwässert!A$3:AK$103,8,FALSE)&lt;=0,2,IF(VLOOKUP(A29,Dividende_je_Aktie!A$3:AM$103,8,FALSE)/VLOOKUP(A29,Ergebnis_je_Aktie_verwässert!A$3:AK$103,8,FALSE)&gt;=2,2,VLOOKUP(A29,Dividende_je_Aktie!A$3:AM$103,8,FALSE)/VLOOKUP(A29,Ergebnis_je_Aktie_verwässert!A$3:AK$103,8,FALSE))),""),"")</f>
        <v>0</v>
      </c>
      <c r="W29" s="71">
        <f>IF(VLOOKUP(A29,Dividende_je_Aktie!A$3:AM$103,9,FALSE)&lt;&gt;"",IF(VLOOKUP(A29,Ergebnis_je_Aktie_verwässert!A$3:AK$103,9,FALSE)&lt;&gt;"",IF(VLOOKUP(A29,Ergebnis_je_Aktie_verwässert!A$3:AK$103,9,FALSE)&lt;=0,2,IF(VLOOKUP(A29,Dividende_je_Aktie!A$3:AM$103,9,FALSE)/VLOOKUP(A29,Ergebnis_je_Aktie_verwässert!A$3:AK$103,9,FALSE)&gt;=2,2,VLOOKUP(A29,Dividende_je_Aktie!A$3:AM$103,9,FALSE)/VLOOKUP(A29,Ergebnis_je_Aktie_verwässert!A$3:AK$103,9,FALSE))),""),"")</f>
        <v>0</v>
      </c>
      <c r="X29" s="71">
        <f>IF(VLOOKUP(A29,Dividende_je_Aktie!A$3:AM$103,10,FALSE)&lt;&gt;"",IF(VLOOKUP(A29,Ergebnis_je_Aktie_verwässert!A$3:AK$103,10,FALSE)&lt;&gt;"",IF(VLOOKUP(A29,Ergebnis_je_Aktie_verwässert!A$3:AK$103,10,FALSE)&lt;=0,2,IF(VLOOKUP(A29,Dividende_je_Aktie!A$3:AM$103,10,FALSE)/VLOOKUP(A29,Ergebnis_je_Aktie_verwässert!A$3:AK$103,10,FALSE)&gt;=2,2,VLOOKUP(A29,Dividende_je_Aktie!A$3:AM$103,10,FALSE)/VLOOKUP(A29,Ergebnis_je_Aktie_verwässert!A$3:AK$103,10,FALSE))),""),"")</f>
        <v>0</v>
      </c>
      <c r="Y29" s="71">
        <f>IF(VLOOKUP(A29,Dividende_je_Aktie!A$3:AM$103,11,FALSE)&lt;&gt;"",IF(VLOOKUP(A29,Ergebnis_je_Aktie_verwässert!A$3:AK$103,11,FALSE)&lt;&gt;"",IF(VLOOKUP(A29,Ergebnis_je_Aktie_verwässert!A$3:AK$103,11,FALSE)&lt;=0,2,IF(VLOOKUP(A29,Dividende_je_Aktie!A$3:AM$103,11,FALSE)/VLOOKUP(A29,Ergebnis_je_Aktie_verwässert!A$3:AK$103,11,FALSE)&gt;=2,2,VLOOKUP(A29,Dividende_je_Aktie!A$3:AM$103,11,FALSE)/VLOOKUP(A29,Ergebnis_je_Aktie_verwässert!A$3:AK$103,11,FALSE))),""),"")</f>
        <v>0</v>
      </c>
      <c r="Z29" s="71">
        <f>IF(VLOOKUP(A29,Dividende_je_Aktie!A$3:AM$103,12,FALSE)&lt;&gt;"",IF(VLOOKUP(A29,Ergebnis_je_Aktie_verwässert!A$3:AK$103,12,FALSE)&lt;&gt;"",IF(VLOOKUP(A29,Ergebnis_je_Aktie_verwässert!A$3:AK$103,12,FALSE)&lt;=0,2,IF(VLOOKUP(A29,Dividende_je_Aktie!A$3:AM$103,12,FALSE)/VLOOKUP(A29,Ergebnis_je_Aktie_verwässert!A$3:AK$103,12,FALSE)&gt;=2,2,VLOOKUP(A29,Dividende_je_Aktie!A$3:AM$103,12,FALSE)/VLOOKUP(A29,Ergebnis_je_Aktie_verwässert!A$3:AK$103,12,FALSE))),""),"")</f>
        <v>0</v>
      </c>
      <c r="AA29" s="71">
        <f>IF(VLOOKUP(A29,Dividende_je_Aktie!A$3:AM$103,13,FALSE)&lt;&gt;"",IF(VLOOKUP(A29,Ergebnis_je_Aktie_verwässert!A$3:AK$103,13,FALSE)&lt;&gt;"",IF(VLOOKUP(A29,Ergebnis_je_Aktie_verwässert!A$3:AK$103,13,FALSE)&lt;=0,2,IF(VLOOKUP(A29,Dividende_je_Aktie!A$3:AM$103,13,FALSE)/VLOOKUP(A29,Ergebnis_je_Aktie_verwässert!A$3:AK$103,13,FALSE)&gt;=2,2,VLOOKUP(A29,Dividende_je_Aktie!A$3:AM$103,13,FALSE)/VLOOKUP(A29,Ergebnis_je_Aktie_verwässert!A$3:AK$103,13,FALSE))),""),"")</f>
        <v>0</v>
      </c>
      <c r="AB29" s="71">
        <f>IF(VLOOKUP(A29,Dividende_je_Aktie!A$3:AM$103,14,FALSE)&lt;&gt;"",IF(VLOOKUP(A29,Ergebnis_je_Aktie_verwässert!A$3:AK$103,14,FALSE)&lt;&gt;"",IF(VLOOKUP(A29,Ergebnis_je_Aktie_verwässert!A$3:AK$103,14,FALSE)&lt;=0,2,IF(VLOOKUP(A29,Dividende_je_Aktie!A$3:AM$103,14,FALSE)/VLOOKUP(A29,Ergebnis_je_Aktie_verwässert!A$3:AK$103,14,FALSE)&gt;=2,2,VLOOKUP(A29,Dividende_je_Aktie!A$3:AM$103,14,FALSE)/VLOOKUP(A29,Ergebnis_je_Aktie_verwässert!A$3:AK$103,14,FALSE))),""),"")</f>
        <v>0</v>
      </c>
      <c r="AC29" s="71">
        <f>IF(VLOOKUP(A29,Dividende_je_Aktie!A$3:AM$103,15,FALSE)&lt;&gt;"",IF(VLOOKUP(A29,Ergebnis_je_Aktie_verwässert!A$3:AK$103,15,FALSE)&lt;&gt;"",IF(VLOOKUP(A29,Ergebnis_je_Aktie_verwässert!A$3:AK$103,15,FALSE)&lt;=0,2,IF(VLOOKUP(A29,Dividende_je_Aktie!A$3:AM$103,15,FALSE)/VLOOKUP(A29,Ergebnis_je_Aktie_verwässert!A$3:AK$103,15,FALSE)&gt;=2,2,VLOOKUP(A29,Dividende_je_Aktie!A$3:AM$103,15,FALSE)/VLOOKUP(A29,Ergebnis_je_Aktie_verwässert!A$3:AK$103,15,FALSE))),""),"")</f>
        <v>0</v>
      </c>
      <c r="AD29" s="71">
        <f>IF(VLOOKUP(A29,Dividende_je_Aktie!A$3:AM$103,16,FALSE)&lt;&gt;"",IF(VLOOKUP(A29,Ergebnis_je_Aktie_verwässert!A$3:AK$103,16,FALSE)&lt;&gt;"",IF(VLOOKUP(A29,Ergebnis_je_Aktie_verwässert!A$3:AK$103,16,FALSE)&lt;=0,2,IF(VLOOKUP(A29,Dividende_je_Aktie!A$3:AM$103,16,FALSE)/VLOOKUP(A29,Ergebnis_je_Aktie_verwässert!A$3:AK$103,16,FALSE)&gt;=2,2,VLOOKUP(A29,Dividende_je_Aktie!A$3:AM$103,16,FALSE)/VLOOKUP(A29,Ergebnis_je_Aktie_verwässert!A$3:AK$103,16,FALSE))),""),"")</f>
        <v>0</v>
      </c>
      <c r="AE29" s="71">
        <f>IF(VLOOKUP(A29,Dividende_je_Aktie!A$3:AM$103,17,FALSE)&lt;&gt;"",IF(VLOOKUP(A29,Ergebnis_je_Aktie_verwässert!A$3:AK$103,17,FALSE)&lt;&gt;"",IF(VLOOKUP(A29,Ergebnis_je_Aktie_verwässert!A$3:AK$103,17,FALSE)&lt;=0,2,IF(VLOOKUP(A29,Dividende_je_Aktie!A$3:AM$103,17,FALSE)/VLOOKUP(A29,Ergebnis_je_Aktie_verwässert!A$3:AK$103,17,FALSE)&gt;=2,2,VLOOKUP(A29,Dividende_je_Aktie!A$3:AM$103,17,FALSE)/VLOOKUP(A29,Ergebnis_je_Aktie_verwässert!A$3:AK$103,17,FALSE))),""),"")</f>
        <v>0</v>
      </c>
      <c r="AF29" s="71">
        <f>IF(VLOOKUP(A29,Dividende_je_Aktie!A$3:AM$103,18,FALSE)&lt;&gt;"",IF(VLOOKUP(A29,Ergebnis_je_Aktie_verwässert!A$3:AK$103,18,FALSE)&lt;&gt;"",IF(VLOOKUP(A29,Ergebnis_je_Aktie_verwässert!A$3:AK$103,18,FALSE)&lt;=0,2,IF(VLOOKUP(A29,Dividende_je_Aktie!A$3:AM$103,18,FALSE)/VLOOKUP(A29,Ergebnis_je_Aktie_verwässert!A$3:AK$103,18,FALSE)&gt;=2,2,VLOOKUP(A29,Dividende_je_Aktie!A$3:AM$103,18,FALSE)/VLOOKUP(A29,Ergebnis_je_Aktie_verwässert!A$3:AK$103,18,FALSE))),""),"")</f>
        <v>0</v>
      </c>
      <c r="AG29" s="105">
        <f t="shared" si="1"/>
        <v>0</v>
      </c>
      <c r="AH29" s="4">
        <f t="shared" ca="1" si="2"/>
        <v>0</v>
      </c>
      <c r="AI29" s="4">
        <f t="shared" ca="1" si="3"/>
        <v>108</v>
      </c>
      <c r="AJ29" s="4">
        <f t="shared" ca="1" si="4"/>
        <v>252</v>
      </c>
      <c r="AK29" s="10">
        <f t="shared" ca="1" si="5"/>
        <v>0</v>
      </c>
      <c r="AL29" s="5">
        <f t="shared" si="6"/>
        <v>0</v>
      </c>
    </row>
    <row r="30" spans="1:38">
      <c r="A30" t="s">
        <v>91</v>
      </c>
      <c r="B30" t="s">
        <v>194</v>
      </c>
      <c r="C30" s="60">
        <v>31</v>
      </c>
      <c r="D30" s="60">
        <v>12</v>
      </c>
      <c r="E30" s="60">
        <v>2016</v>
      </c>
      <c r="F30" s="71">
        <f>IF(VLOOKUP(A30,Dividende_je_Aktie!A$3:AM$103,6,FALSE)&lt;&gt;"",IF(VLOOKUP(A30,Ergebnis_je_Aktie_verwässert!A$3:AK$103,6,FALSE)&lt;&gt;"",IF(VLOOKUP(A30,Ergebnis_je_Aktie_verwässert!A$3:AK$103,6,FALSE)&lt;=0,2,IF(VLOOKUP(A30,Dividende_je_Aktie!A$3:AM$103,6,FALSE)/VLOOKUP(A30,Ergebnis_je_Aktie_verwässert!A$3:AK$103,6,FALSE)&gt;=2,2,VLOOKUP(A30,Dividende_je_Aktie!A$3:AM$103,6,FALSE)/VLOOKUP(A30,Ergebnis_je_Aktie_verwässert!A$3:AK$103,6,FALSE))),""),"")</f>
        <v>0.44308943089430891</v>
      </c>
      <c r="G30" s="71">
        <f>IF(VLOOKUP(A30,Dividende_je_Aktie!A$3:AM$103,7,FALSE)&lt;&gt;"",IF(VLOOKUP(A30,Ergebnis_je_Aktie_verwässert!A$3:AK$103,7,FALSE)&lt;&gt;"",IF(VLOOKUP(A30,Ergebnis_je_Aktie_verwässert!A$3:AK$103,7,FALSE)&lt;=0,2,IF(VLOOKUP(A30,Dividende_je_Aktie!A$3:AM$103,7,FALSE)/VLOOKUP(A30,Ergebnis_je_Aktie_verwässert!A$3:AK$103,7,FALSE)&gt;=2,2,VLOOKUP(A30,Dividende_je_Aktie!A$3:AM$103,7,FALSE)/VLOOKUP(A30,Ergebnis_je_Aktie_verwässert!A$3:AK$103,7,FALSE))),""),"")</f>
        <v>0.44529147982062778</v>
      </c>
      <c r="H30" s="71">
        <f>IF(VLOOKUP(A30,Fiktive_Dividende!A$3:AM$103,14,FALSE)&lt;&gt;"",IF(VLOOKUP(A30,Ergebnis_je_Aktie_verwässert!A$3:AK$103,8,FALSE)&lt;&gt;"",IF(VLOOKUP(A30,Ergebnis_je_Aktie_verwässert!A$3:AK$103,8,FALSE)&lt;=0,2,IF(VLOOKUP(A30,Fiktive_Dividende!A$3:AM$103,14,FALSE)/VLOOKUP(A30,Ergebnis_je_Aktie_verwässert!A$3:AK$103,8,FALSE)&gt;=2,2,VLOOKUP(A30,Fiktive_Dividende!A$3:AM$103,14,FALSE)/VLOOKUP(A30,Ergebnis_je_Aktie_verwässert!A$3:AK$103,8,FALSE))),""),"")</f>
        <v>0.47076923076923077</v>
      </c>
      <c r="I30" s="71">
        <f>IF(VLOOKUP(A30,Fiktive_Dividende!A$3:AM$103,15,FALSE)&lt;&gt;"",IF(VLOOKUP(A30,Ergebnis_je_Aktie_verwässert!A$3:AK$103,9,FALSE)&lt;&gt;"",IF(VLOOKUP(A30,Ergebnis_je_Aktie_verwässert!A$3:AK$103,9,FALSE)&lt;=0,2,IF(VLOOKUP(A30,Fiktive_Dividende!A$3:AM$103,15,FALSE)/VLOOKUP(A30,Ergebnis_je_Aktie_verwässert!A$3:AK$103,9,FALSE)&gt;=2,2,VLOOKUP(A30,Fiktive_Dividende!A$3:AM$103,15,FALSE)/VLOOKUP(A30,Ergebnis_je_Aktie_verwässert!A$3:AK$103,9,FALSE))),""),"")</f>
        <v>0.44489795918367347</v>
      </c>
      <c r="J30" s="71">
        <f>IF(VLOOKUP(A30,Fiktive_Dividende!A$3:AM$103,16,FALSE)&lt;&gt;"",IF(VLOOKUP(A30,Ergebnis_je_Aktie_verwässert!A$3:AK$103,10,FALSE)&lt;&gt;"",IF(VLOOKUP(A30,Ergebnis_je_Aktie_verwässert!A$3:AK$103,10,FALSE)&lt;=0,2,IF(VLOOKUP(A30,Fiktive_Dividende!A$3:AM$103,16,FALSE)/VLOOKUP(A30,Ergebnis_je_Aktie_verwässert!A$3:AK$103,10,FALSE)&gt;=2,2,VLOOKUP(A30,Fiktive_Dividende!A$3:AM$103,16,FALSE)/VLOOKUP(A30,Ergebnis_je_Aktie_verwässert!A$3:AK$103,10,FALSE))),""),"")</f>
        <v>0.60111816656378247</v>
      </c>
      <c r="K30" s="71">
        <f>IF(VLOOKUP(A30,Fiktive_Dividende!A$3:AM$103,17,FALSE)&lt;&gt;"",IF(VLOOKUP(A30,Ergebnis_je_Aktie_verwässert!A$3:AK$103,11,FALSE)&lt;&gt;"",IF(VLOOKUP(A30,Ergebnis_je_Aktie_verwässert!A$3:AK$103,11,FALSE)&lt;=0,2,IF(VLOOKUP(A30,Fiktive_Dividende!A$3:AM$103,17,FALSE)/VLOOKUP(A30,Ergebnis_je_Aktie_verwässert!A$3:AK$103,11,FALSE)&gt;=2,2,VLOOKUP(A30,Fiktive_Dividende!A$3:AM$103,17,FALSE)/VLOOKUP(A30,Ergebnis_je_Aktie_verwässert!A$3:AK$103,11,FALSE))),""),"")</f>
        <v>0.66768992385471893</v>
      </c>
      <c r="L30" s="71">
        <f>IF(VLOOKUP(A30,Fiktive_Dividende!A$3:AM$103,18,FALSE)&lt;&gt;"",IF(VLOOKUP(A30,Ergebnis_je_Aktie_verwässert!A$3:AK$103,12,FALSE)&lt;&gt;"",IF(VLOOKUP(A30,Ergebnis_je_Aktie_verwässert!A$3:AK$103,12,FALSE)&lt;=0,2,IF(VLOOKUP(A30,Fiktive_Dividende!A$3:AM$103,18,FALSE)/VLOOKUP(A30,Ergebnis_je_Aktie_verwässert!A$3:AK$103,12,FALSE)&gt;=2,2,VLOOKUP(A30,Fiktive_Dividende!A$3:AM$103,18,FALSE)/VLOOKUP(A30,Ergebnis_je_Aktie_verwässert!A$3:AK$103,12,FALSE))),""),"")</f>
        <v>0.43859649122807021</v>
      </c>
      <c r="M30" s="71">
        <f>IF(VLOOKUP(A30,Fiktive_Dividende!A$3:AM$103,19,FALSE)&lt;&gt;"",IF(VLOOKUP(A30,Ergebnis_je_Aktie_verwässert!A$3:AK$103,13,FALSE)&lt;&gt;"",IF(VLOOKUP(A30,Ergebnis_je_Aktie_verwässert!A$3:AK$103,13,FALSE)&lt;=0,2,IF(VLOOKUP(A30,Fiktive_Dividende!A$3:AM$103,19,FALSE)/VLOOKUP(A30,Ergebnis_je_Aktie_verwässert!A$3:AK$103,13,FALSE)&gt;=2,2,VLOOKUP(A30,Fiktive_Dividende!A$3:AM$103,19,FALSE)/VLOOKUP(A30,Ergebnis_je_Aktie_verwässert!A$3:AK$103,13,FALSE))),""),"")</f>
        <v>0.46413502109704641</v>
      </c>
      <c r="N30" s="71">
        <f>IF(VLOOKUP(A30,Fiktive_Dividende!A$3:AM$103,20,FALSE)&lt;&gt;"",IF(VLOOKUP(A30,Ergebnis_je_Aktie_verwässert!A$3:AK$103,14,FALSE)&lt;&gt;"",IF(VLOOKUP(A30,Ergebnis_je_Aktie_verwässert!A$3:AK$103,14,FALSE)&lt;=0,2,IF(VLOOKUP(A30,Fiktive_Dividende!A$3:AM$103,20,FALSE)/VLOOKUP(A30,Ergebnis_je_Aktie_verwässert!A$3:AK$103,14,FALSE)&gt;=2,2,VLOOKUP(A30,Fiktive_Dividende!A$3:AM$103,20,FALSE)/VLOOKUP(A30,Ergebnis_je_Aktie_verwässert!A$3:AK$103,14,FALSE))),""),"")</f>
        <v>0.3656307129798903</v>
      </c>
      <c r="O30" s="71">
        <f>IF(VLOOKUP(A30,Fiktive_Dividende!A$3:AM$103,21,FALSE)&lt;&gt;"",IF(VLOOKUP(A30,Ergebnis_je_Aktie_verwässert!A$3:AK$103,15,FALSE)&lt;&gt;"",IF(VLOOKUP(A30,Ergebnis_je_Aktie_verwässert!A$3:AK$103,15,FALSE)&lt;=0,2,IF(VLOOKUP(A30,Fiktive_Dividende!A$3:AM$103,21,FALSE)/VLOOKUP(A30,Ergebnis_je_Aktie_verwässert!A$3:AK$103,15,FALSE)&gt;=2,2,VLOOKUP(A30,Fiktive_Dividende!A$3:AM$103,21,FALSE)/VLOOKUP(A30,Ergebnis_je_Aktie_verwässert!A$3:AK$103,15,FALSE))),""),"")</f>
        <v>0.43758765778401126</v>
      </c>
      <c r="P30" s="71">
        <f>IF(VLOOKUP(A30,Fiktive_Dividende!A$3:AM$103,22,FALSE)&lt;&gt;"",IF(VLOOKUP(A30,Ergebnis_je_Aktie_verwässert!A$3:AK$103,16,FALSE)&lt;&gt;"",IF(VLOOKUP(A30,Ergebnis_je_Aktie_verwässert!A$3:AK$103,16,FALSE)&lt;=0,2,IF(VLOOKUP(A30,Fiktive_Dividende!A$3:AM$103,22,FALSE)/VLOOKUP(A30,Ergebnis_je_Aktie_verwässert!A$3:AK$103,16,FALSE)&gt;=2,2,VLOOKUP(A30,Fiktive_Dividende!A$3:AM$103,22,FALSE)/VLOOKUP(A30,Ergebnis_je_Aktie_verwässert!A$3:AK$103,16,FALSE))),""),"")</f>
        <v>0.48372093023255813</v>
      </c>
      <c r="Q30" s="71">
        <f>IF(VLOOKUP(A30,Fiktive_Dividende!A$3:AM$103,23,FALSE)&lt;&gt;"",IF(VLOOKUP(A30,Ergebnis_je_Aktie_verwässert!A$3:AK$103,17,FALSE)&lt;&gt;"",IF(VLOOKUP(A30,Ergebnis_je_Aktie_verwässert!A$3:AK$103,17,FALSE)&lt;=0,2,IF(VLOOKUP(A30,Fiktive_Dividende!A$3:AM$103,23,FALSE)/VLOOKUP(A30,Ergebnis_je_Aktie_verwässert!A$3:AK$103,17,FALSE)&gt;=2,2,VLOOKUP(A30,Fiktive_Dividende!A$3:AM$103,23,FALSE)/VLOOKUP(A30,Ergebnis_je_Aktie_verwässert!A$3:AK$103,17,FALSE))),""),"")</f>
        <v>0.32802937576499391</v>
      </c>
      <c r="R30" s="71">
        <f>IF(VLOOKUP(A30,Fiktive_Dividende!A$3:AM$103,24,FALSE)&lt;&gt;"",IF(VLOOKUP(A30,Ergebnis_je_Aktie_verwässert!A$3:AK$103,18,FALSE)&lt;&gt;"",IF(VLOOKUP(A30,Ergebnis_je_Aktie_verwässert!A$3:AK$103,18,FALSE)&lt;=0,2,IF(VLOOKUP(A30,Fiktive_Dividende!A$3:AM$103,24,FALSE)/VLOOKUP(A30,Ergebnis_je_Aktie_verwässert!A$3:AK$103,18,FALSE)&gt;=2,2,VLOOKUP(A30,Fiktive_Dividende!A$3:AM$103,24,FALSE)/VLOOKUP(A30,Ergebnis_je_Aktie_verwässert!A$3:AK$103,18,FALSE))),""),"")</f>
        <v>0.3151969981238274</v>
      </c>
      <c r="S30" s="105">
        <f t="shared" si="0"/>
        <v>0.45428872140744159</v>
      </c>
      <c r="T30" s="71">
        <f>IF(VLOOKUP(A30,Dividende_je_Aktie!A$3:AM$103,6,FALSE)&lt;&gt;"",IF(VLOOKUP(A30,Ergebnis_je_Aktie_verwässert!A$3:AK$103,6,FALSE)&lt;&gt;"",IF(VLOOKUP(A30,Ergebnis_je_Aktie_verwässert!A$3:AK$103,6,FALSE)&lt;=0,2,IF(VLOOKUP(A30,Dividende_je_Aktie!A$3:AM$103,6,FALSE)/VLOOKUP(A30,Ergebnis_je_Aktie_verwässert!A$3:AK$103,6,FALSE)&gt;=2,2,VLOOKUP(A30,Dividende_je_Aktie!A$3:AM$103,6,FALSE)/VLOOKUP(A30,Ergebnis_je_Aktie_verwässert!A$3:AK$103,6,FALSE))),""),"")</f>
        <v>0.44308943089430891</v>
      </c>
      <c r="U30" s="71">
        <f>IF(VLOOKUP(A30,Dividende_je_Aktie!A$3:AM$103,7,FALSE)&lt;&gt;"",IF(VLOOKUP(A30,Ergebnis_je_Aktie_verwässert!A$3:AK$103,7,FALSE)&lt;&gt;"",IF(VLOOKUP(A30,Ergebnis_je_Aktie_verwässert!A$3:AK$103,7,FALSE)&lt;=0,2,IF(VLOOKUP(A30,Dividende_je_Aktie!A$3:AM$103,7,FALSE)/VLOOKUP(A30,Ergebnis_je_Aktie_verwässert!A$3:AK$103,7,FALSE)&gt;=2,2,VLOOKUP(A30,Dividende_je_Aktie!A$3:AM$103,7,FALSE)/VLOOKUP(A30,Ergebnis_je_Aktie_verwässert!A$3:AK$103,7,FALSE))),""),"")</f>
        <v>0.44529147982062778</v>
      </c>
      <c r="V30" s="71">
        <f>IF(VLOOKUP(A30,Dividende_je_Aktie!A$3:AM$103,8,FALSE)&lt;&gt;"",IF(VLOOKUP(A30,Ergebnis_je_Aktie_verwässert!A$3:AK$103,8,FALSE)&lt;&gt;"",IF(VLOOKUP(A30,Ergebnis_je_Aktie_verwässert!A$3:AK$103,8,FALSE)&lt;=0,2,IF(VLOOKUP(A30,Dividende_je_Aktie!A$3:AM$103,8,FALSE)/VLOOKUP(A30,Ergebnis_je_Aktie_verwässert!A$3:AK$103,8,FALSE)&gt;=2,2,VLOOKUP(A30,Dividende_je_Aktie!A$3:AM$103,8,FALSE)/VLOOKUP(A30,Ergebnis_je_Aktie_verwässert!A$3:AK$103,8,FALSE))),""),"")</f>
        <v>0.47076923076923077</v>
      </c>
      <c r="W30" s="71">
        <f>IF(VLOOKUP(A30,Dividende_je_Aktie!A$3:AM$103,9,FALSE)&lt;&gt;"",IF(VLOOKUP(A30,Ergebnis_je_Aktie_verwässert!A$3:AK$103,9,FALSE)&lt;&gt;"",IF(VLOOKUP(A30,Ergebnis_je_Aktie_verwässert!A$3:AK$103,9,FALSE)&lt;=0,2,IF(VLOOKUP(A30,Dividende_je_Aktie!A$3:AM$103,9,FALSE)/VLOOKUP(A30,Ergebnis_je_Aktie_verwässert!A$3:AK$103,9,FALSE)&gt;=2,2,VLOOKUP(A30,Dividende_je_Aktie!A$3:AM$103,9,FALSE)/VLOOKUP(A30,Ergebnis_je_Aktie_verwässert!A$3:AK$103,9,FALSE))),""),"")</f>
        <v>0.44489795918367347</v>
      </c>
      <c r="X30" s="71">
        <f>IF(VLOOKUP(A30,Dividende_je_Aktie!A$3:AM$103,10,FALSE)&lt;&gt;"",IF(VLOOKUP(A30,Ergebnis_je_Aktie_verwässert!A$3:AK$103,10,FALSE)&lt;&gt;"",IF(VLOOKUP(A30,Ergebnis_je_Aktie_verwässert!A$3:AK$103,10,FALSE)&lt;=0,2,IF(VLOOKUP(A30,Dividende_je_Aktie!A$3:AM$103,10,FALSE)/VLOOKUP(A30,Ergebnis_je_Aktie_verwässert!A$3:AK$103,10,FALSE)&gt;=2,2,VLOOKUP(A30,Dividende_je_Aktie!A$3:AM$103,10,FALSE)/VLOOKUP(A30,Ergebnis_je_Aktie_verwässert!A$3:AK$103,10,FALSE))),""),"")</f>
        <v>0.39917269906928643</v>
      </c>
      <c r="Y30" s="71">
        <f>IF(VLOOKUP(A30,Dividende_je_Aktie!A$3:AM$103,11,FALSE)&lt;&gt;"",IF(VLOOKUP(A30,Ergebnis_je_Aktie_verwässert!A$3:AK$103,11,FALSE)&lt;&gt;"",IF(VLOOKUP(A30,Ergebnis_je_Aktie_verwässert!A$3:AK$103,11,FALSE)&lt;=0,2,IF(VLOOKUP(A30,Dividende_je_Aktie!A$3:AM$103,11,FALSE)/VLOOKUP(A30,Ergebnis_je_Aktie_verwässert!A$3:AK$103,11,FALSE)&gt;=2,2,VLOOKUP(A30,Dividende_je_Aktie!A$3:AM$103,11,FALSE)/VLOOKUP(A30,Ergebnis_je_Aktie_verwässert!A$3:AK$103,11,FALSE))),""),"")</f>
        <v>0.40530759951749096</v>
      </c>
      <c r="Z30" s="71">
        <f>IF(VLOOKUP(A30,Dividende_je_Aktie!A$3:AM$103,12,FALSE)&lt;&gt;"",IF(VLOOKUP(A30,Ergebnis_je_Aktie_verwässert!A$3:AK$103,12,FALSE)&lt;&gt;"",IF(VLOOKUP(A30,Ergebnis_je_Aktie_verwässert!A$3:AK$103,12,FALSE)&lt;=0,2,IF(VLOOKUP(A30,Dividende_je_Aktie!A$3:AM$103,12,FALSE)/VLOOKUP(A30,Ergebnis_je_Aktie_verwässert!A$3:AK$103,12,FALSE)&gt;=2,2,VLOOKUP(A30,Dividende_je_Aktie!A$3:AM$103,12,FALSE)/VLOOKUP(A30,Ergebnis_je_Aktie_verwässert!A$3:AK$103,12,FALSE))),""),"")</f>
        <v>0.43859649122807021</v>
      </c>
      <c r="AA30" s="71">
        <f>IF(VLOOKUP(A30,Dividende_je_Aktie!A$3:AM$103,13,FALSE)&lt;&gt;"",IF(VLOOKUP(A30,Ergebnis_je_Aktie_verwässert!A$3:AK$103,13,FALSE)&lt;&gt;"",IF(VLOOKUP(A30,Ergebnis_je_Aktie_verwässert!A$3:AK$103,13,FALSE)&lt;=0,2,IF(VLOOKUP(A30,Dividende_je_Aktie!A$3:AM$103,13,FALSE)/VLOOKUP(A30,Ergebnis_je_Aktie_verwässert!A$3:AK$103,13,FALSE)&gt;=2,2,VLOOKUP(A30,Dividende_je_Aktie!A$3:AM$103,13,FALSE)/VLOOKUP(A30,Ergebnis_je_Aktie_verwässert!A$3:AK$103,13,FALSE))),""),"")</f>
        <v>0.46413502109704641</v>
      </c>
      <c r="AB30" s="71">
        <f>IF(VLOOKUP(A30,Dividende_je_Aktie!A$3:AM$103,14,FALSE)&lt;&gt;"",IF(VLOOKUP(A30,Ergebnis_je_Aktie_verwässert!A$3:AK$103,14,FALSE)&lt;&gt;"",IF(VLOOKUP(A30,Ergebnis_je_Aktie_verwässert!A$3:AK$103,14,FALSE)&lt;=0,2,IF(VLOOKUP(A30,Dividende_je_Aktie!A$3:AM$103,14,FALSE)/VLOOKUP(A30,Ergebnis_je_Aktie_verwässert!A$3:AK$103,14,FALSE)&gt;=2,2,VLOOKUP(A30,Dividende_je_Aktie!A$3:AM$103,14,FALSE)/VLOOKUP(A30,Ergebnis_je_Aktie_verwässert!A$3:AK$103,14,FALSE))),""),"")</f>
        <v>0.3656307129798903</v>
      </c>
      <c r="AC30" s="71">
        <f>IF(VLOOKUP(A30,Dividende_je_Aktie!A$3:AM$103,15,FALSE)&lt;&gt;"",IF(VLOOKUP(A30,Ergebnis_je_Aktie_verwässert!A$3:AK$103,15,FALSE)&lt;&gt;"",IF(VLOOKUP(A30,Ergebnis_je_Aktie_verwässert!A$3:AK$103,15,FALSE)&lt;=0,2,IF(VLOOKUP(A30,Dividende_je_Aktie!A$3:AM$103,15,FALSE)/VLOOKUP(A30,Ergebnis_je_Aktie_verwässert!A$3:AK$103,15,FALSE)&gt;=2,2,VLOOKUP(A30,Dividende_je_Aktie!A$3:AM$103,15,FALSE)/VLOOKUP(A30,Ergebnis_je_Aktie_verwässert!A$3:AK$103,15,FALSE))),""),"")</f>
        <v>0.43758765778401126</v>
      </c>
      <c r="AD30" s="71">
        <f>IF(VLOOKUP(A30,Dividende_je_Aktie!A$3:AM$103,16,FALSE)&lt;&gt;"",IF(VLOOKUP(A30,Ergebnis_je_Aktie_verwässert!A$3:AK$103,16,FALSE)&lt;&gt;"",IF(VLOOKUP(A30,Ergebnis_je_Aktie_verwässert!A$3:AK$103,16,FALSE)&lt;=0,2,IF(VLOOKUP(A30,Dividende_je_Aktie!A$3:AM$103,16,FALSE)/VLOOKUP(A30,Ergebnis_je_Aktie_verwässert!A$3:AK$103,16,FALSE)&gt;=2,2,VLOOKUP(A30,Dividende_je_Aktie!A$3:AM$103,16,FALSE)/VLOOKUP(A30,Ergebnis_je_Aktie_verwässert!A$3:AK$103,16,FALSE))),""),"")</f>
        <v>0.48372093023255813</v>
      </c>
      <c r="AE30" s="71">
        <f>IF(VLOOKUP(A30,Dividende_je_Aktie!A$3:AM$103,17,FALSE)&lt;&gt;"",IF(VLOOKUP(A30,Ergebnis_je_Aktie_verwässert!A$3:AK$103,17,FALSE)&lt;&gt;"",IF(VLOOKUP(A30,Ergebnis_je_Aktie_verwässert!A$3:AK$103,17,FALSE)&lt;=0,2,IF(VLOOKUP(A30,Dividende_je_Aktie!A$3:AM$103,17,FALSE)/VLOOKUP(A30,Ergebnis_je_Aktie_verwässert!A$3:AK$103,17,FALSE)&gt;=2,2,VLOOKUP(A30,Dividende_je_Aktie!A$3:AM$103,17,FALSE)/VLOOKUP(A30,Ergebnis_je_Aktie_verwässert!A$3:AK$103,17,FALSE))),""),"")</f>
        <v>0.32802937576499391</v>
      </c>
      <c r="AF30" s="71">
        <f>IF(VLOOKUP(A30,Dividende_je_Aktie!A$3:AM$103,18,FALSE)&lt;&gt;"",IF(VLOOKUP(A30,Ergebnis_je_Aktie_verwässert!A$3:AK$103,18,FALSE)&lt;&gt;"",IF(VLOOKUP(A30,Ergebnis_je_Aktie_verwässert!A$3:AK$103,18,FALSE)&lt;=0,2,IF(VLOOKUP(A30,Dividende_je_Aktie!A$3:AM$103,18,FALSE)/VLOOKUP(A30,Ergebnis_je_Aktie_verwässert!A$3:AK$103,18,FALSE)&gt;=2,2,VLOOKUP(A30,Dividende_je_Aktie!A$3:AM$103,18,FALSE)/VLOOKUP(A30,Ergebnis_je_Aktie_verwässert!A$3:AK$103,18,FALSE))),""),"")</f>
        <v>0.3151969981238274</v>
      </c>
      <c r="AG30" s="105">
        <f t="shared" si="1"/>
        <v>0.41857119895884742</v>
      </c>
      <c r="AH30" s="4">
        <f t="shared" ca="1" si="2"/>
        <v>0</v>
      </c>
      <c r="AI30" s="4">
        <f t="shared" ca="1" si="3"/>
        <v>108</v>
      </c>
      <c r="AJ30" s="4">
        <f t="shared" ca="1" si="4"/>
        <v>252</v>
      </c>
      <c r="AK30" s="10">
        <f t="shared" ca="1" si="5"/>
        <v>0.46312590548464994</v>
      </c>
      <c r="AL30" s="5">
        <f t="shared" ca="1" si="6"/>
        <v>0.1064447497501686</v>
      </c>
    </row>
    <row r="31" spans="1:38">
      <c r="A31" t="s">
        <v>267</v>
      </c>
      <c r="B31" t="s">
        <v>273</v>
      </c>
      <c r="C31" s="60">
        <v>31</v>
      </c>
      <c r="D31" s="60">
        <v>12</v>
      </c>
      <c r="E31" s="60">
        <v>2016</v>
      </c>
      <c r="F31" s="71">
        <f>IF(VLOOKUP(A31,Dividende_je_Aktie!A$3:AM$103,6,FALSE)&lt;&gt;"",IF(VLOOKUP(A31,Ergebnis_je_Aktie_verwässert!A$3:AK$103,6,FALSE)&lt;&gt;"",IF(VLOOKUP(A31,Ergebnis_je_Aktie_verwässert!A$3:AK$103,6,FALSE)&lt;=0,2,IF(VLOOKUP(A31,Dividende_je_Aktie!A$3:AM$103,6,FALSE)/VLOOKUP(A31,Ergebnis_je_Aktie_verwässert!A$3:AK$103,6,FALSE)&gt;=2,2,VLOOKUP(A31,Dividende_je_Aktie!A$3:AM$103,6,FALSE)/VLOOKUP(A31,Ergebnis_je_Aktie_verwässert!A$3:AK$103,6,FALSE))),""),"")</f>
        <v>0.32956152758132956</v>
      </c>
      <c r="G31" s="71">
        <f>IF(VLOOKUP(A31,Dividende_je_Aktie!A$3:AM$103,7,FALSE)&lt;&gt;"",IF(VLOOKUP(A31,Ergebnis_je_Aktie_verwässert!A$3:AK$103,7,FALSE)&lt;&gt;"",IF(VLOOKUP(A31,Ergebnis_je_Aktie_verwässert!A$3:AK$103,7,FALSE)&lt;=0,2,IF(VLOOKUP(A31,Dividende_je_Aktie!A$3:AM$103,7,FALSE)/VLOOKUP(A31,Ergebnis_je_Aktie_verwässert!A$3:AK$103,7,FALSE)&gt;=2,2,VLOOKUP(A31,Dividende_je_Aktie!A$3:AM$103,7,FALSE)/VLOOKUP(A31,Ergebnis_je_Aktie_verwässert!A$3:AK$103,7,FALSE))),""),"")</f>
        <v>0.30967741935483867</v>
      </c>
      <c r="H31" s="71">
        <f>IF(VLOOKUP(A31,Fiktive_Dividende!A$3:AM$103,14,FALSE)&lt;&gt;"",IF(VLOOKUP(A31,Ergebnis_je_Aktie_verwässert!A$3:AK$103,8,FALSE)&lt;&gt;"",IF(VLOOKUP(A31,Ergebnis_je_Aktie_verwässert!A$3:AK$103,8,FALSE)&lt;=0,2,IF(VLOOKUP(A31,Fiktive_Dividende!A$3:AM$103,14,FALSE)/VLOOKUP(A31,Ergebnis_je_Aktie_verwässert!A$3:AK$103,8,FALSE)&gt;=2,2,VLOOKUP(A31,Fiktive_Dividende!A$3:AM$103,14,FALSE)/VLOOKUP(A31,Ergebnis_je_Aktie_verwässert!A$3:AK$103,8,FALSE))),""),"")</f>
        <v>0.29908256880733941</v>
      </c>
      <c r="I31" s="71">
        <f>IF(VLOOKUP(A31,Fiktive_Dividende!A$3:AM$103,15,FALSE)&lt;&gt;"",IF(VLOOKUP(A31,Ergebnis_je_Aktie_verwässert!A$3:AK$103,9,FALSE)&lt;&gt;"",IF(VLOOKUP(A31,Ergebnis_je_Aktie_verwässert!A$3:AK$103,9,FALSE)&lt;=0,2,IF(VLOOKUP(A31,Fiktive_Dividende!A$3:AM$103,15,FALSE)/VLOOKUP(A31,Ergebnis_je_Aktie_verwässert!A$3:AK$103,9,FALSE)&gt;=2,2,VLOOKUP(A31,Fiktive_Dividende!A$3:AM$103,15,FALSE)/VLOOKUP(A31,Ergebnis_je_Aktie_verwässert!A$3:AK$103,9,FALSE))),""),"")</f>
        <v>1.0152907112342358</v>
      </c>
      <c r="J31" s="71">
        <f>IF(VLOOKUP(A31,Fiktive_Dividende!A$3:AM$103,16,FALSE)&lt;&gt;"",IF(VLOOKUP(A31,Ergebnis_je_Aktie_verwässert!A$3:AK$103,10,FALSE)&lt;&gt;"",IF(VLOOKUP(A31,Ergebnis_je_Aktie_verwässert!A$3:AK$103,10,FALSE)&lt;=0,2,IF(VLOOKUP(A31,Fiktive_Dividende!A$3:AM$103,16,FALSE)/VLOOKUP(A31,Ergebnis_je_Aktie_verwässert!A$3:AK$103,10,FALSE)&gt;=2,2,VLOOKUP(A31,Fiktive_Dividende!A$3:AM$103,16,FALSE)/VLOOKUP(A31,Ergebnis_je_Aktie_verwässert!A$3:AK$103,10,FALSE))),""),"")</f>
        <v>1.0589357554643108</v>
      </c>
      <c r="K31" s="71">
        <f>IF(VLOOKUP(A31,Fiktive_Dividende!A$3:AM$103,17,FALSE)&lt;&gt;"",IF(VLOOKUP(A31,Ergebnis_je_Aktie_verwässert!A$3:AK$103,11,FALSE)&lt;&gt;"",IF(VLOOKUP(A31,Ergebnis_je_Aktie_verwässert!A$3:AK$103,11,FALSE)&lt;=0,2,IF(VLOOKUP(A31,Fiktive_Dividende!A$3:AM$103,17,FALSE)/VLOOKUP(A31,Ergebnis_je_Aktie_verwässert!A$3:AK$103,11,FALSE)&gt;=2,2,VLOOKUP(A31,Fiktive_Dividende!A$3:AM$103,17,FALSE)/VLOOKUP(A31,Ergebnis_je_Aktie_verwässert!A$3:AK$103,11,FALSE))),""),"")</f>
        <v>1.0763557037781535</v>
      </c>
      <c r="L31" s="71">
        <f>IF(VLOOKUP(A31,Fiktive_Dividende!A$3:AM$103,18,FALSE)&lt;&gt;"",IF(VLOOKUP(A31,Ergebnis_je_Aktie_verwässert!A$3:AK$103,12,FALSE)&lt;&gt;"",IF(VLOOKUP(A31,Ergebnis_je_Aktie_verwässert!A$3:AK$103,12,FALSE)&lt;=0,2,IF(VLOOKUP(A31,Fiktive_Dividende!A$3:AM$103,18,FALSE)/VLOOKUP(A31,Ergebnis_je_Aktie_verwässert!A$3:AK$103,12,FALSE)&gt;=2,2,VLOOKUP(A31,Fiktive_Dividende!A$3:AM$103,18,FALSE)/VLOOKUP(A31,Ergebnis_je_Aktie_verwässert!A$3:AK$103,12,FALSE))),""),"")</f>
        <v>1.0254874086108854</v>
      </c>
      <c r="M31" s="71">
        <f>IF(VLOOKUP(A31,Fiktive_Dividende!A$3:AM$103,19,FALSE)&lt;&gt;"",IF(VLOOKUP(A31,Ergebnis_je_Aktie_verwässert!A$3:AK$103,13,FALSE)&lt;&gt;"",IF(VLOOKUP(A31,Ergebnis_je_Aktie_verwässert!A$3:AK$103,13,FALSE)&lt;=0,2,IF(VLOOKUP(A31,Fiktive_Dividende!A$3:AM$103,19,FALSE)/VLOOKUP(A31,Ergebnis_je_Aktie_verwässert!A$3:AK$103,13,FALSE)&gt;=2,2,VLOOKUP(A31,Fiktive_Dividende!A$3:AM$103,19,FALSE)/VLOOKUP(A31,Ergebnis_je_Aktie_verwässert!A$3:AK$103,13,FALSE))),""),"")</f>
        <v>1.0008432112395811</v>
      </c>
      <c r="N31" s="71">
        <f>IF(VLOOKUP(A31,Fiktive_Dividende!A$3:AM$103,20,FALSE)&lt;&gt;"",IF(VLOOKUP(A31,Ergebnis_je_Aktie_verwässert!A$3:AK$103,14,FALSE)&lt;&gt;"",IF(VLOOKUP(A31,Ergebnis_je_Aktie_verwässert!A$3:AK$103,14,FALSE)&lt;=0,2,IF(VLOOKUP(A31,Fiktive_Dividende!A$3:AM$103,20,FALSE)/VLOOKUP(A31,Ergebnis_je_Aktie_verwässert!A$3:AK$103,14,FALSE)&gt;=2,2,VLOOKUP(A31,Fiktive_Dividende!A$3:AM$103,20,FALSE)/VLOOKUP(A31,Ergebnis_je_Aktie_verwässert!A$3:AK$103,14,FALSE))),""),"")</f>
        <v>0.42742061422505867</v>
      </c>
      <c r="O31" s="71">
        <f>IF(VLOOKUP(A31,Fiktive_Dividende!A$3:AM$103,21,FALSE)&lt;&gt;"",IF(VLOOKUP(A31,Ergebnis_je_Aktie_verwässert!A$3:AK$103,15,FALSE)&lt;&gt;"",IF(VLOOKUP(A31,Ergebnis_je_Aktie_verwässert!A$3:AK$103,15,FALSE)&lt;=0,2,IF(VLOOKUP(A31,Fiktive_Dividende!A$3:AM$103,21,FALSE)/VLOOKUP(A31,Ergebnis_je_Aktie_verwässert!A$3:AK$103,15,FALSE)&gt;=2,2,VLOOKUP(A31,Fiktive_Dividende!A$3:AM$103,21,FALSE)/VLOOKUP(A31,Ergebnis_je_Aktie_verwässert!A$3:AK$103,15,FALSE))),""),"")</f>
        <v>0.5829169292305324</v>
      </c>
      <c r="P31" s="71">
        <f>IF(VLOOKUP(A31,Fiktive_Dividende!A$3:AM$103,22,FALSE)&lt;&gt;"",IF(VLOOKUP(A31,Ergebnis_je_Aktie_verwässert!A$3:AK$103,16,FALSE)&lt;&gt;"",IF(VLOOKUP(A31,Ergebnis_je_Aktie_verwässert!A$3:AK$103,16,FALSE)&lt;=0,2,IF(VLOOKUP(A31,Fiktive_Dividende!A$3:AM$103,22,FALSE)/VLOOKUP(A31,Ergebnis_je_Aktie_verwässert!A$3:AK$103,16,FALSE)&gt;=2,2,VLOOKUP(A31,Fiktive_Dividende!A$3:AM$103,22,FALSE)/VLOOKUP(A31,Ergebnis_je_Aktie_verwässert!A$3:AK$103,16,FALSE))),""),"")</f>
        <v>0.118348623853211</v>
      </c>
      <c r="Q31" s="71">
        <f>IF(VLOOKUP(A31,Fiktive_Dividende!A$3:AM$103,23,FALSE)&lt;&gt;"",IF(VLOOKUP(A31,Ergebnis_je_Aktie_verwässert!A$3:AK$103,17,FALSE)&lt;&gt;"",IF(VLOOKUP(A31,Ergebnis_je_Aktie_verwässert!A$3:AK$103,17,FALSE)&lt;=0,2,IF(VLOOKUP(A31,Fiktive_Dividende!A$3:AM$103,23,FALSE)/VLOOKUP(A31,Ergebnis_je_Aktie_verwässert!A$3:AK$103,17,FALSE)&gt;=2,2,VLOOKUP(A31,Fiktive_Dividende!A$3:AM$103,23,FALSE)/VLOOKUP(A31,Ergebnis_je_Aktie_verwässert!A$3:AK$103,17,FALSE))),""),"")</f>
        <v>0.11914062500000001</v>
      </c>
      <c r="R31" s="71">
        <f>IF(VLOOKUP(A31,Fiktive_Dividende!A$3:AM$103,24,FALSE)&lt;&gt;"",IF(VLOOKUP(A31,Ergebnis_je_Aktie_verwässert!A$3:AK$103,18,FALSE)&lt;&gt;"",IF(VLOOKUP(A31,Ergebnis_je_Aktie_verwässert!A$3:AK$103,18,FALSE)&lt;=0,2,IF(VLOOKUP(A31,Fiktive_Dividende!A$3:AM$103,24,FALSE)/VLOOKUP(A31,Ergebnis_je_Aktie_verwässert!A$3:AK$103,18,FALSE)&gt;=2,2,VLOOKUP(A31,Fiktive_Dividende!A$3:AM$103,24,FALSE)/VLOOKUP(A31,Ergebnis_je_Aktie_verwässert!A$3:AK$103,18,FALSE))),""),"")</f>
        <v>9.6874999999999989E-2</v>
      </c>
      <c r="S31" s="105">
        <f t="shared" si="0"/>
        <v>0.57384123833688283</v>
      </c>
      <c r="T31" s="71">
        <f>IF(VLOOKUP(A31,Dividende_je_Aktie!A$3:AM$103,6,FALSE)&lt;&gt;"",IF(VLOOKUP(A31,Ergebnis_je_Aktie_verwässert!A$3:AK$103,6,FALSE)&lt;&gt;"",IF(VLOOKUP(A31,Ergebnis_je_Aktie_verwässert!A$3:AK$103,6,FALSE)&lt;=0,2,IF(VLOOKUP(A31,Dividende_je_Aktie!A$3:AM$103,6,FALSE)/VLOOKUP(A31,Ergebnis_je_Aktie_verwässert!A$3:AK$103,6,FALSE)&gt;=2,2,VLOOKUP(A31,Dividende_je_Aktie!A$3:AM$103,6,FALSE)/VLOOKUP(A31,Ergebnis_je_Aktie_verwässert!A$3:AK$103,6,FALSE))),""),"")</f>
        <v>0.32956152758132956</v>
      </c>
      <c r="U31" s="71">
        <f>IF(VLOOKUP(A31,Dividende_je_Aktie!A$3:AM$103,7,FALSE)&lt;&gt;"",IF(VLOOKUP(A31,Ergebnis_je_Aktie_verwässert!A$3:AK$103,7,FALSE)&lt;&gt;"",IF(VLOOKUP(A31,Ergebnis_je_Aktie_verwässert!A$3:AK$103,7,FALSE)&lt;=0,2,IF(VLOOKUP(A31,Dividende_je_Aktie!A$3:AM$103,7,FALSE)/VLOOKUP(A31,Ergebnis_je_Aktie_verwässert!A$3:AK$103,7,FALSE)&gt;=2,2,VLOOKUP(A31,Dividende_je_Aktie!A$3:AM$103,7,FALSE)/VLOOKUP(A31,Ergebnis_je_Aktie_verwässert!A$3:AK$103,7,FALSE))),""),"")</f>
        <v>0.30967741935483867</v>
      </c>
      <c r="V31" s="71">
        <f>IF(VLOOKUP(A31,Dividende_je_Aktie!A$3:AM$103,8,FALSE)&lt;&gt;"",IF(VLOOKUP(A31,Ergebnis_je_Aktie_verwässert!A$3:AK$103,8,FALSE)&lt;&gt;"",IF(VLOOKUP(A31,Ergebnis_je_Aktie_verwässert!A$3:AK$103,8,FALSE)&lt;=0,2,IF(VLOOKUP(A31,Dividende_je_Aktie!A$3:AM$103,8,FALSE)/VLOOKUP(A31,Ergebnis_je_Aktie_verwässert!A$3:AK$103,8,FALSE)&gt;=2,2,VLOOKUP(A31,Dividende_je_Aktie!A$3:AM$103,8,FALSE)/VLOOKUP(A31,Ergebnis_je_Aktie_verwässert!A$3:AK$103,8,FALSE))),""),"")</f>
        <v>0.29908256880733941</v>
      </c>
      <c r="W31" s="71">
        <f>IF(VLOOKUP(A31,Dividende_je_Aktie!A$3:AM$103,9,FALSE)&lt;&gt;"",IF(VLOOKUP(A31,Ergebnis_je_Aktie_verwässert!A$3:AK$103,9,FALSE)&lt;&gt;"",IF(VLOOKUP(A31,Ergebnis_je_Aktie_verwässert!A$3:AK$103,9,FALSE)&lt;=0,2,IF(VLOOKUP(A31,Dividende_je_Aktie!A$3:AM$103,9,FALSE)/VLOOKUP(A31,Ergebnis_je_Aktie_verwässert!A$3:AK$103,9,FALSE)&gt;=2,2,VLOOKUP(A31,Dividende_je_Aktie!A$3:AM$103,9,FALSE)/VLOOKUP(A31,Ergebnis_je_Aktie_verwässert!A$3:AK$103,9,FALSE))),""),"")</f>
        <v>0.29227557411273486</v>
      </c>
      <c r="X31" s="71">
        <f>IF(VLOOKUP(A31,Dividende_je_Aktie!A$3:AM$103,10,FALSE)&lt;&gt;"",IF(VLOOKUP(A31,Ergebnis_je_Aktie_verwässert!A$3:AK$103,10,FALSE)&lt;&gt;"",IF(VLOOKUP(A31,Ergebnis_je_Aktie_verwässert!A$3:AK$103,10,FALSE)&lt;=0,2,IF(VLOOKUP(A31,Dividende_je_Aktie!A$3:AM$103,10,FALSE)/VLOOKUP(A31,Ergebnis_je_Aktie_verwässert!A$3:AK$103,10,FALSE)&gt;=2,2,VLOOKUP(A31,Dividende_je_Aktie!A$3:AM$103,10,FALSE)/VLOOKUP(A31,Ergebnis_je_Aktie_verwässert!A$3:AK$103,10,FALSE))),""),"")</f>
        <v>0.26004728132387706</v>
      </c>
      <c r="Y31" s="71">
        <f>IF(VLOOKUP(A31,Dividende_je_Aktie!A$3:AM$103,11,FALSE)&lt;&gt;"",IF(VLOOKUP(A31,Ergebnis_je_Aktie_verwässert!A$3:AK$103,11,FALSE)&lt;&gt;"",IF(VLOOKUP(A31,Ergebnis_je_Aktie_verwässert!A$3:AK$103,11,FALSE)&lt;=0,2,IF(VLOOKUP(A31,Dividende_je_Aktie!A$3:AM$103,11,FALSE)/VLOOKUP(A31,Ergebnis_je_Aktie_verwässert!A$3:AK$103,11,FALSE)&gt;=2,2,VLOOKUP(A31,Dividende_je_Aktie!A$3:AM$103,11,FALSE)/VLOOKUP(A31,Ergebnis_je_Aktie_verwässert!A$3:AK$103,11,FALSE))),""),"")</f>
        <v>0.24258760107816713</v>
      </c>
      <c r="Z31" s="71">
        <f>IF(VLOOKUP(A31,Dividende_je_Aktie!A$3:AM$103,12,FALSE)&lt;&gt;"",IF(VLOOKUP(A31,Ergebnis_je_Aktie_verwässert!A$3:AK$103,12,FALSE)&lt;&gt;"",IF(VLOOKUP(A31,Ergebnis_je_Aktie_verwässert!A$3:AK$103,12,FALSE)&lt;=0,2,IF(VLOOKUP(A31,Dividende_je_Aktie!A$3:AM$103,12,FALSE)/VLOOKUP(A31,Ergebnis_je_Aktie_verwässert!A$3:AK$103,12,FALSE)&gt;=2,2,VLOOKUP(A31,Dividende_je_Aktie!A$3:AM$103,12,FALSE)/VLOOKUP(A31,Ergebnis_je_Aktie_verwässert!A$3:AK$103,12,FALSE))),""),"")</f>
        <v>0.203125</v>
      </c>
      <c r="AA31" s="71">
        <f>IF(VLOOKUP(A31,Dividende_je_Aktie!A$3:AM$103,13,FALSE)&lt;&gt;"",IF(VLOOKUP(A31,Ergebnis_je_Aktie_verwässert!A$3:AK$103,13,FALSE)&lt;&gt;"",IF(VLOOKUP(A31,Ergebnis_je_Aktie_verwässert!A$3:AK$103,13,FALSE)&lt;=0,2,IF(VLOOKUP(A31,Dividende_je_Aktie!A$3:AM$103,13,FALSE)/VLOOKUP(A31,Ergebnis_je_Aktie_verwässert!A$3:AK$103,13,FALSE)&gt;=2,2,VLOOKUP(A31,Dividende_je_Aktie!A$3:AM$103,13,FALSE)/VLOOKUP(A31,Ergebnis_je_Aktie_verwässert!A$3:AK$103,13,FALSE))),""),"")</f>
        <v>0.19685039370078738</v>
      </c>
      <c r="AB31" s="71">
        <f>IF(VLOOKUP(A31,Dividende_je_Aktie!A$3:AM$103,14,FALSE)&lt;&gt;"",IF(VLOOKUP(A31,Ergebnis_je_Aktie_verwässert!A$3:AK$103,14,FALSE)&lt;&gt;"",IF(VLOOKUP(A31,Ergebnis_je_Aktie_verwässert!A$3:AK$103,14,FALSE)&lt;=0,2,IF(VLOOKUP(A31,Dividende_je_Aktie!A$3:AM$103,14,FALSE)/VLOOKUP(A31,Ergebnis_je_Aktie_verwässert!A$3:AK$103,14,FALSE)&gt;=2,2,VLOOKUP(A31,Dividende_je_Aktie!A$3:AM$103,14,FALSE)/VLOOKUP(A31,Ergebnis_je_Aktie_verwässert!A$3:AK$103,14,FALSE))),""),"")</f>
        <v>0.14056224899598391</v>
      </c>
      <c r="AC31" s="71">
        <f>IF(VLOOKUP(A31,Dividende_je_Aktie!A$3:AM$103,15,FALSE)&lt;&gt;"",IF(VLOOKUP(A31,Ergebnis_je_Aktie_verwässert!A$3:AK$103,15,FALSE)&lt;&gt;"",IF(VLOOKUP(A31,Ergebnis_je_Aktie_verwässert!A$3:AK$103,15,FALSE)&lt;=0,2,IF(VLOOKUP(A31,Dividende_je_Aktie!A$3:AM$103,15,FALSE)/VLOOKUP(A31,Ergebnis_je_Aktie_verwässert!A$3:AK$103,15,FALSE)&gt;=2,2,VLOOKUP(A31,Dividende_je_Aktie!A$3:AM$103,15,FALSE)/VLOOKUP(A31,Ergebnis_je_Aktie_verwässert!A$3:AK$103,15,FALSE))),""),"")</f>
        <v>0.12551440329218105</v>
      </c>
      <c r="AD31" s="71">
        <f>IF(VLOOKUP(A31,Dividende_je_Aktie!A$3:AM$103,16,FALSE)&lt;&gt;"",IF(VLOOKUP(A31,Ergebnis_je_Aktie_verwässert!A$3:AK$103,16,FALSE)&lt;&gt;"",IF(VLOOKUP(A31,Ergebnis_je_Aktie_verwässert!A$3:AK$103,16,FALSE)&lt;=0,2,IF(VLOOKUP(A31,Dividende_je_Aktie!A$3:AM$103,16,FALSE)/VLOOKUP(A31,Ergebnis_je_Aktie_verwässert!A$3:AK$103,16,FALSE)&gt;=2,2,VLOOKUP(A31,Dividende_je_Aktie!A$3:AM$103,16,FALSE)/VLOOKUP(A31,Ergebnis_je_Aktie_verwässert!A$3:AK$103,16,FALSE))),""),"")</f>
        <v>0.118348623853211</v>
      </c>
      <c r="AE31" s="71">
        <f>IF(VLOOKUP(A31,Dividende_je_Aktie!A$3:AM$103,17,FALSE)&lt;&gt;"",IF(VLOOKUP(A31,Ergebnis_je_Aktie_verwässert!A$3:AK$103,17,FALSE)&lt;&gt;"",IF(VLOOKUP(A31,Ergebnis_je_Aktie_verwässert!A$3:AK$103,17,FALSE)&lt;=0,2,IF(VLOOKUP(A31,Dividende_je_Aktie!A$3:AM$103,17,FALSE)/VLOOKUP(A31,Ergebnis_je_Aktie_verwässert!A$3:AK$103,17,FALSE)&gt;=2,2,VLOOKUP(A31,Dividende_je_Aktie!A$3:AM$103,17,FALSE)/VLOOKUP(A31,Ergebnis_je_Aktie_verwässert!A$3:AK$103,17,FALSE))),""),"")</f>
        <v>0.11914062500000001</v>
      </c>
      <c r="AF31" s="71">
        <f>IF(VLOOKUP(A31,Dividende_je_Aktie!A$3:AM$103,18,FALSE)&lt;&gt;"",IF(VLOOKUP(A31,Ergebnis_je_Aktie_verwässert!A$3:AK$103,18,FALSE)&lt;&gt;"",IF(VLOOKUP(A31,Ergebnis_je_Aktie_verwässert!A$3:AK$103,18,FALSE)&lt;=0,2,IF(VLOOKUP(A31,Dividende_je_Aktie!A$3:AM$103,18,FALSE)/VLOOKUP(A31,Ergebnis_je_Aktie_verwässert!A$3:AK$103,18,FALSE)&gt;=2,2,VLOOKUP(A31,Dividende_je_Aktie!A$3:AM$103,18,FALSE)/VLOOKUP(A31,Ergebnis_je_Aktie_verwässert!A$3:AK$103,18,FALSE))),""),"")</f>
        <v>9.6874999999999989E-2</v>
      </c>
      <c r="AG31" s="105">
        <f t="shared" si="1"/>
        <v>0.21028063593080379</v>
      </c>
      <c r="AH31" s="4">
        <f t="shared" ca="1" si="2"/>
        <v>0</v>
      </c>
      <c r="AI31" s="4">
        <f t="shared" ca="1" si="3"/>
        <v>108</v>
      </c>
      <c r="AJ31" s="4">
        <f t="shared" ca="1" si="4"/>
        <v>252</v>
      </c>
      <c r="AK31" s="10">
        <f t="shared" ca="1" si="5"/>
        <v>0.30226102397158916</v>
      </c>
      <c r="AL31" s="5">
        <f t="shared" ca="1" si="6"/>
        <v>0.43741730014100288</v>
      </c>
    </row>
    <row r="32" spans="1:38">
      <c r="A32" t="s">
        <v>279</v>
      </c>
      <c r="B32" t="s">
        <v>280</v>
      </c>
      <c r="C32" s="60">
        <v>31</v>
      </c>
      <c r="D32" s="60">
        <v>7</v>
      </c>
      <c r="E32" s="60">
        <v>2016</v>
      </c>
      <c r="F32" s="71">
        <f>IF(VLOOKUP(A32,Dividende_je_Aktie!A$3:AM$103,6,FALSE)&lt;&gt;"",IF(VLOOKUP(A32,Ergebnis_je_Aktie_verwässert!A$3:AK$103,6,FALSE)&lt;&gt;"",IF(VLOOKUP(A32,Ergebnis_je_Aktie_verwässert!A$3:AK$103,6,FALSE)&lt;=0,2,IF(VLOOKUP(A32,Dividende_je_Aktie!A$3:AM$103,6,FALSE)/VLOOKUP(A32,Ergebnis_je_Aktie_verwässert!A$3:AK$103,6,FALSE)&gt;=2,2,VLOOKUP(A32,Dividende_je_Aktie!A$3:AM$103,6,FALSE)/VLOOKUP(A32,Ergebnis_je_Aktie_verwässert!A$3:AK$103,6,FALSE))),""),"")</f>
        <v>0.53333333333333333</v>
      </c>
      <c r="G32" s="71">
        <f>IF(VLOOKUP(A32,Dividende_je_Aktie!A$3:AM$103,7,FALSE)&lt;&gt;"",IF(VLOOKUP(A32,Ergebnis_je_Aktie_verwässert!A$3:AK$103,7,FALSE)&lt;&gt;"",IF(VLOOKUP(A32,Ergebnis_je_Aktie_verwässert!A$3:AK$103,7,FALSE)&lt;=0,2,IF(VLOOKUP(A32,Dividende_je_Aktie!A$3:AM$103,7,FALSE)/VLOOKUP(A32,Ergebnis_je_Aktie_verwässert!A$3:AK$103,7,FALSE)&gt;=2,2,VLOOKUP(A32,Dividende_je_Aktie!A$3:AM$103,7,FALSE)/VLOOKUP(A32,Ergebnis_je_Aktie_verwässert!A$3:AK$103,7,FALSE))),""),"")</f>
        <v>0.47169811320754712</v>
      </c>
      <c r="H32" s="71">
        <f>IF(VLOOKUP(A32,Fiktive_Dividende!A$3:AM$103,14,FALSE)&lt;&gt;"",IF(VLOOKUP(A32,Ergebnis_je_Aktie_verwässert!A$3:AK$103,8,FALSE)&lt;&gt;"",IF(VLOOKUP(A32,Ergebnis_je_Aktie_verwässert!A$3:AK$103,8,FALSE)&lt;=0,2,IF(VLOOKUP(A32,Fiktive_Dividende!A$3:AM$103,14,FALSE)/VLOOKUP(A32,Ergebnis_je_Aktie_verwässert!A$3:AK$103,8,FALSE)&gt;=2,2,VLOOKUP(A32,Fiktive_Dividende!A$3:AM$103,14,FALSE)/VLOOKUP(A32,Ergebnis_je_Aktie_verwässert!A$3:AK$103,8,FALSE))),""),"")</f>
        <v>0.43203883495145629</v>
      </c>
      <c r="I32" s="71">
        <f>IF(VLOOKUP(A32,Fiktive_Dividende!A$3:AM$103,15,FALSE)&lt;&gt;"",IF(VLOOKUP(A32,Ergebnis_je_Aktie_verwässert!A$3:AK$103,9,FALSE)&lt;&gt;"",IF(VLOOKUP(A32,Ergebnis_je_Aktie_verwässert!A$3:AK$103,9,FALSE)&lt;=0,2,IF(VLOOKUP(A32,Fiktive_Dividende!A$3:AM$103,15,FALSE)/VLOOKUP(A32,Ergebnis_je_Aktie_verwässert!A$3:AK$103,9,FALSE)&gt;=2,2,VLOOKUP(A32,Fiktive_Dividende!A$3:AM$103,15,FALSE)/VLOOKUP(A32,Ergebnis_je_Aktie_verwässert!A$3:AK$103,9,FALSE))),""),"")</f>
        <v>0.52740441073184441</v>
      </c>
      <c r="J32" s="71">
        <f>IF(VLOOKUP(A32,Fiktive_Dividende!A$3:AM$103,16,FALSE)&lt;&gt;"",IF(VLOOKUP(A32,Ergebnis_je_Aktie_verwässert!A$3:AK$103,10,FALSE)&lt;&gt;"",IF(VLOOKUP(A32,Ergebnis_je_Aktie_verwässert!A$3:AK$103,10,FALSE)&lt;=0,2,IF(VLOOKUP(A32,Fiktive_Dividende!A$3:AM$103,16,FALSE)/VLOOKUP(A32,Ergebnis_je_Aktie_verwässert!A$3:AK$103,10,FALSE)&gt;=2,2,VLOOKUP(A32,Fiktive_Dividende!A$3:AM$103,16,FALSE)/VLOOKUP(A32,Ergebnis_je_Aktie_verwässert!A$3:AK$103,10,FALSE))),""),"")</f>
        <v>1.3374420316616804</v>
      </c>
      <c r="K32" s="71">
        <f>IF(VLOOKUP(A32,Fiktive_Dividende!A$3:AM$103,17,FALSE)&lt;&gt;"",IF(VLOOKUP(A32,Ergebnis_je_Aktie_verwässert!A$3:AK$103,11,FALSE)&lt;&gt;"",IF(VLOOKUP(A32,Ergebnis_je_Aktie_verwässert!A$3:AK$103,11,FALSE)&lt;=0,2,IF(VLOOKUP(A32,Fiktive_Dividende!A$3:AM$103,17,FALSE)/VLOOKUP(A32,Ergebnis_je_Aktie_verwässert!A$3:AK$103,11,FALSE)&gt;=2,2,VLOOKUP(A32,Fiktive_Dividende!A$3:AM$103,17,FALSE)/VLOOKUP(A32,Ergebnis_je_Aktie_verwässert!A$3:AK$103,11,FALSE))),""),"")</f>
        <v>0.37125748502994016</v>
      </c>
      <c r="L32" s="71">
        <f>IF(VLOOKUP(A32,Fiktive_Dividende!A$3:AM$103,18,FALSE)&lt;&gt;"",IF(VLOOKUP(A32,Ergebnis_je_Aktie_verwässert!A$3:AK$103,12,FALSE)&lt;&gt;"",IF(VLOOKUP(A32,Ergebnis_je_Aktie_verwässert!A$3:AK$103,12,FALSE)&lt;=0,2,IF(VLOOKUP(A32,Fiktive_Dividende!A$3:AM$103,18,FALSE)/VLOOKUP(A32,Ergebnis_je_Aktie_verwässert!A$3:AK$103,12,FALSE)&gt;=2,2,VLOOKUP(A32,Fiktive_Dividende!A$3:AM$103,18,FALSE)/VLOOKUP(A32,Ergebnis_je_Aktie_verwässert!A$3:AK$103,12,FALSE))),""),"")</f>
        <v>0.46473026417465374</v>
      </c>
      <c r="M32" s="71">
        <f>IF(VLOOKUP(A32,Fiktive_Dividende!A$3:AM$103,19,FALSE)&lt;&gt;"",IF(VLOOKUP(A32,Ergebnis_je_Aktie_verwässert!A$3:AK$103,13,FALSE)&lt;&gt;"",IF(VLOOKUP(A32,Ergebnis_je_Aktie_verwässert!A$3:AK$103,13,FALSE)&lt;=0,2,IF(VLOOKUP(A32,Fiktive_Dividende!A$3:AM$103,19,FALSE)/VLOOKUP(A32,Ergebnis_je_Aktie_verwässert!A$3:AK$103,13,FALSE)&gt;=2,2,VLOOKUP(A32,Fiktive_Dividende!A$3:AM$103,19,FALSE)/VLOOKUP(A32,Ergebnis_je_Aktie_verwässert!A$3:AK$103,13,FALSE))),""),"")</f>
        <v>0.59413933520178563</v>
      </c>
      <c r="N32" s="71">
        <f>IF(VLOOKUP(A32,Fiktive_Dividende!A$3:AM$103,20,FALSE)&lt;&gt;"",IF(VLOOKUP(A32,Ergebnis_je_Aktie_verwässert!A$3:AK$103,14,FALSE)&lt;&gt;"",IF(VLOOKUP(A32,Ergebnis_je_Aktie_verwässert!A$3:AK$103,14,FALSE)&lt;=0,2,IF(VLOOKUP(A32,Fiktive_Dividende!A$3:AM$103,20,FALSE)/VLOOKUP(A32,Ergebnis_je_Aktie_verwässert!A$3:AK$103,14,FALSE)&gt;=2,2,VLOOKUP(A32,Fiktive_Dividende!A$3:AM$103,20,FALSE)/VLOOKUP(A32,Ergebnis_je_Aktie_verwässert!A$3:AK$103,14,FALSE))),""),"")</f>
        <v>0.39875550946331345</v>
      </c>
      <c r="O32" s="71">
        <f>IF(VLOOKUP(A32,Fiktive_Dividende!A$3:AM$103,21,FALSE)&lt;&gt;"",IF(VLOOKUP(A32,Ergebnis_je_Aktie_verwässert!A$3:AK$103,15,FALSE)&lt;&gt;"",IF(VLOOKUP(A32,Ergebnis_je_Aktie_verwässert!A$3:AK$103,15,FALSE)&lt;=0,2,IF(VLOOKUP(A32,Fiktive_Dividende!A$3:AM$103,21,FALSE)/VLOOKUP(A32,Ergebnis_je_Aktie_verwässert!A$3:AK$103,15,FALSE)&gt;=2,2,VLOOKUP(A32,Fiktive_Dividende!A$3:AM$103,21,FALSE)/VLOOKUP(A32,Ergebnis_je_Aktie_verwässert!A$3:AK$103,15,FALSE))),""),"")</f>
        <v>0.39133720212371903</v>
      </c>
      <c r="P32" s="71">
        <f>IF(VLOOKUP(A32,Fiktive_Dividende!A$3:AM$103,22,FALSE)&lt;&gt;"",IF(VLOOKUP(A32,Ergebnis_je_Aktie_verwässert!A$3:AK$103,16,FALSE)&lt;&gt;"",IF(VLOOKUP(A32,Ergebnis_je_Aktie_verwässert!A$3:AK$103,16,FALSE)&lt;=0,2,IF(VLOOKUP(A32,Fiktive_Dividende!A$3:AM$103,22,FALSE)/VLOOKUP(A32,Ergebnis_je_Aktie_verwässert!A$3:AK$103,16,FALSE)&gt;=2,2,VLOOKUP(A32,Fiktive_Dividende!A$3:AM$103,22,FALSE)/VLOOKUP(A32,Ergebnis_je_Aktie_verwässert!A$3:AK$103,16,FALSE))),""),"")</f>
        <v>0.4728523814643586</v>
      </c>
      <c r="Q32" s="71">
        <f>IF(VLOOKUP(A32,Fiktive_Dividende!A$3:AM$103,23,FALSE)&lt;&gt;"",IF(VLOOKUP(A32,Ergebnis_je_Aktie_verwässert!A$3:AK$103,17,FALSE)&lt;&gt;"",IF(VLOOKUP(A32,Ergebnis_je_Aktie_verwässert!A$3:AK$103,17,FALSE)&lt;=0,2,IF(VLOOKUP(A32,Fiktive_Dividende!A$3:AM$103,23,FALSE)/VLOOKUP(A32,Ergebnis_je_Aktie_verwässert!A$3:AK$103,17,FALSE)&gt;=2,2,VLOOKUP(A32,Fiktive_Dividende!A$3:AM$103,23,FALSE)/VLOOKUP(A32,Ergebnis_je_Aktie_verwässert!A$3:AK$103,17,FALSE))),""),"")</f>
        <v>0</v>
      </c>
      <c r="R32" s="71">
        <f>IF(VLOOKUP(A32,Fiktive_Dividende!A$3:AM$103,24,FALSE)&lt;&gt;"",IF(VLOOKUP(A32,Ergebnis_je_Aktie_verwässert!A$3:AK$103,18,FALSE)&lt;&gt;"",IF(VLOOKUP(A32,Ergebnis_je_Aktie_verwässert!A$3:AK$103,18,FALSE)&lt;=0,2,IF(VLOOKUP(A32,Fiktive_Dividende!A$3:AM$103,24,FALSE)/VLOOKUP(A32,Ergebnis_je_Aktie_verwässert!A$3:AK$103,18,FALSE)&gt;=2,2,VLOOKUP(A32,Fiktive_Dividende!A$3:AM$103,24,FALSE)/VLOOKUP(A32,Ergebnis_je_Aktie_verwässert!A$3:AK$103,18,FALSE))),""),"")</f>
        <v>0.90187315368909837</v>
      </c>
      <c r="S32" s="105">
        <f t="shared" si="0"/>
        <v>0.53052785038713313</v>
      </c>
      <c r="T32" s="71">
        <f>IF(VLOOKUP(A32,Dividende_je_Aktie!A$3:AM$103,6,FALSE)&lt;&gt;"",IF(VLOOKUP(A32,Ergebnis_je_Aktie_verwässert!A$3:AK$103,6,FALSE)&lt;&gt;"",IF(VLOOKUP(A32,Ergebnis_je_Aktie_verwässert!A$3:AK$103,6,FALSE)&lt;=0,2,IF(VLOOKUP(A32,Dividende_je_Aktie!A$3:AM$103,6,FALSE)/VLOOKUP(A32,Ergebnis_je_Aktie_verwässert!A$3:AK$103,6,FALSE)&gt;=2,2,VLOOKUP(A32,Dividende_je_Aktie!A$3:AM$103,6,FALSE)/VLOOKUP(A32,Ergebnis_je_Aktie_verwässert!A$3:AK$103,6,FALSE))),""),"")</f>
        <v>0.53333333333333333</v>
      </c>
      <c r="U32" s="71">
        <f>IF(VLOOKUP(A32,Dividende_je_Aktie!A$3:AM$103,7,FALSE)&lt;&gt;"",IF(VLOOKUP(A32,Ergebnis_je_Aktie_verwässert!A$3:AK$103,7,FALSE)&lt;&gt;"",IF(VLOOKUP(A32,Ergebnis_je_Aktie_verwässert!A$3:AK$103,7,FALSE)&lt;=0,2,IF(VLOOKUP(A32,Dividende_je_Aktie!A$3:AM$103,7,FALSE)/VLOOKUP(A32,Ergebnis_je_Aktie_verwässert!A$3:AK$103,7,FALSE)&gt;=2,2,VLOOKUP(A32,Dividende_je_Aktie!A$3:AM$103,7,FALSE)/VLOOKUP(A32,Ergebnis_je_Aktie_verwässert!A$3:AK$103,7,FALSE))),""),"")</f>
        <v>0.47169811320754712</v>
      </c>
      <c r="V32" s="71">
        <f>IF(VLOOKUP(A32,Dividende_je_Aktie!A$3:AM$103,8,FALSE)&lt;&gt;"",IF(VLOOKUP(A32,Ergebnis_je_Aktie_verwässert!A$3:AK$103,8,FALSE)&lt;&gt;"",IF(VLOOKUP(A32,Ergebnis_je_Aktie_verwässert!A$3:AK$103,8,FALSE)&lt;=0,2,IF(VLOOKUP(A32,Dividende_je_Aktie!A$3:AM$103,8,FALSE)/VLOOKUP(A32,Ergebnis_je_Aktie_verwässert!A$3:AK$103,8,FALSE)&gt;=2,2,VLOOKUP(A32,Dividende_je_Aktie!A$3:AM$103,8,FALSE)/VLOOKUP(A32,Ergebnis_je_Aktie_verwässert!A$3:AK$103,8,FALSE))),""),"")</f>
        <v>0.43203883495145629</v>
      </c>
      <c r="W32" s="71">
        <f>IF(VLOOKUP(A32,Dividende_je_Aktie!A$3:AM$103,9,FALSE)&lt;&gt;"",IF(VLOOKUP(A32,Ergebnis_je_Aktie_verwässert!A$3:AK$103,9,FALSE)&lt;&gt;"",IF(VLOOKUP(A32,Ergebnis_je_Aktie_verwässert!A$3:AK$103,9,FALSE)&lt;=0,2,IF(VLOOKUP(A32,Dividende_je_Aktie!A$3:AM$103,9,FALSE)/VLOOKUP(A32,Ergebnis_je_Aktie_verwässert!A$3:AK$103,9,FALSE)&gt;=2,2,VLOOKUP(A32,Dividende_je_Aktie!A$3:AM$103,9,FALSE)/VLOOKUP(A32,Ergebnis_je_Aktie_verwässert!A$3:AK$103,9,FALSE))),""),"")</f>
        <v>0.45714285714285718</v>
      </c>
      <c r="X32" s="71">
        <f>IF(VLOOKUP(A32,Dividende_je_Aktie!A$3:AM$103,10,FALSE)&lt;&gt;"",IF(VLOOKUP(A32,Ergebnis_je_Aktie_verwässert!A$3:AK$103,10,FALSE)&lt;&gt;"",IF(VLOOKUP(A32,Ergebnis_je_Aktie_verwässert!A$3:AK$103,10,FALSE)&lt;=0,2,IF(VLOOKUP(A32,Dividende_je_Aktie!A$3:AM$103,10,FALSE)/VLOOKUP(A32,Ergebnis_je_Aktie_verwässert!A$3:AK$103,10,FALSE)&gt;=2,2,VLOOKUP(A32,Dividende_je_Aktie!A$3:AM$103,10,FALSE)/VLOOKUP(A32,Ergebnis_je_Aktie_verwässert!A$3:AK$103,10,FALSE))),""),"")</f>
        <v>0.45569620253164556</v>
      </c>
      <c r="Y32" s="71">
        <f>IF(VLOOKUP(A32,Dividende_je_Aktie!A$3:AM$103,11,FALSE)&lt;&gt;"",IF(VLOOKUP(A32,Ergebnis_je_Aktie_verwässert!A$3:AK$103,11,FALSE)&lt;&gt;"",IF(VLOOKUP(A32,Ergebnis_je_Aktie_verwässert!A$3:AK$103,11,FALSE)&lt;=0,2,IF(VLOOKUP(A32,Dividende_je_Aktie!A$3:AM$103,11,FALSE)/VLOOKUP(A32,Ergebnis_je_Aktie_verwässert!A$3:AK$103,11,FALSE)&gt;=2,2,VLOOKUP(A32,Dividende_je_Aktie!A$3:AM$103,11,FALSE)/VLOOKUP(A32,Ergebnis_je_Aktie_verwässert!A$3:AK$103,11,FALSE))),""),"")</f>
        <v>0.37125748502994016</v>
      </c>
      <c r="Z32" s="71">
        <f>IF(VLOOKUP(A32,Dividende_je_Aktie!A$3:AM$103,12,FALSE)&lt;&gt;"",IF(VLOOKUP(A32,Ergebnis_je_Aktie_verwässert!A$3:AK$103,12,FALSE)&lt;&gt;"",IF(VLOOKUP(A32,Ergebnis_je_Aktie_verwässert!A$3:AK$103,12,FALSE)&lt;=0,2,IF(VLOOKUP(A32,Dividende_je_Aktie!A$3:AM$103,12,FALSE)/VLOOKUP(A32,Ergebnis_je_Aktie_verwässert!A$3:AK$103,12,FALSE)&gt;=2,2,VLOOKUP(A32,Dividende_je_Aktie!A$3:AM$103,12,FALSE)/VLOOKUP(A32,Ergebnis_je_Aktie_verwässert!A$3:AK$103,12,FALSE))),""),"")</f>
        <v>0.18791946308724833</v>
      </c>
      <c r="AA32" s="71">
        <f>IF(VLOOKUP(A32,Dividende_je_Aktie!A$3:AM$103,13,FALSE)&lt;&gt;"",IF(VLOOKUP(A32,Ergebnis_je_Aktie_verwässert!A$3:AK$103,13,FALSE)&lt;&gt;"",IF(VLOOKUP(A32,Ergebnis_je_Aktie_verwässert!A$3:AK$103,13,FALSE)&lt;=0,2,IF(VLOOKUP(A32,Dividende_je_Aktie!A$3:AM$103,13,FALSE)/VLOOKUP(A32,Ergebnis_je_Aktie_verwässert!A$3:AK$103,13,FALSE)&gt;=2,2,VLOOKUP(A32,Dividende_je_Aktie!A$3:AM$103,13,FALSE)/VLOOKUP(A32,Ergebnis_je_Aktie_verwässert!A$3:AK$103,13,FALSE))),""),"")</f>
        <v>9.3023255813953487E-2</v>
      </c>
      <c r="AB32" s="71">
        <f>IF(VLOOKUP(A32,Dividende_je_Aktie!A$3:AM$103,14,FALSE)&lt;&gt;"",IF(VLOOKUP(A32,Ergebnis_je_Aktie_verwässert!A$3:AK$103,14,FALSE)&lt;&gt;"",IF(VLOOKUP(A32,Ergebnis_je_Aktie_verwässert!A$3:AK$103,14,FALSE)&lt;=0,2,IF(VLOOKUP(A32,Dividende_je_Aktie!A$3:AM$103,14,FALSE)/VLOOKUP(A32,Ergebnis_je_Aktie_verwässert!A$3:AK$103,14,FALSE)&gt;=2,2,VLOOKUP(A32,Dividende_je_Aktie!A$3:AM$103,14,FALSE)/VLOOKUP(A32,Ergebnis_je_Aktie_verwässert!A$3:AK$103,14,FALSE))),""),"")</f>
        <v>0</v>
      </c>
      <c r="AC32" s="71">
        <f>IF(VLOOKUP(A32,Dividende_je_Aktie!A$3:AM$103,15,FALSE)&lt;&gt;"",IF(VLOOKUP(A32,Ergebnis_je_Aktie_verwässert!A$3:AK$103,15,FALSE)&lt;&gt;"",IF(VLOOKUP(A32,Ergebnis_je_Aktie_verwässert!A$3:AK$103,15,FALSE)&lt;=0,2,IF(VLOOKUP(A32,Dividende_je_Aktie!A$3:AM$103,15,FALSE)/VLOOKUP(A32,Ergebnis_je_Aktie_verwässert!A$3:AK$103,15,FALSE)&gt;=2,2,VLOOKUP(A32,Dividende_je_Aktie!A$3:AM$103,15,FALSE)/VLOOKUP(A32,Ergebnis_je_Aktie_verwässert!A$3:AK$103,15,FALSE))),""),"")</f>
        <v>0</v>
      </c>
      <c r="AD32" s="71">
        <f>IF(VLOOKUP(A32,Dividende_je_Aktie!A$3:AM$103,16,FALSE)&lt;&gt;"",IF(VLOOKUP(A32,Ergebnis_je_Aktie_verwässert!A$3:AK$103,16,FALSE)&lt;&gt;"",IF(VLOOKUP(A32,Ergebnis_je_Aktie_verwässert!A$3:AK$103,16,FALSE)&lt;=0,2,IF(VLOOKUP(A32,Dividende_je_Aktie!A$3:AM$103,16,FALSE)/VLOOKUP(A32,Ergebnis_je_Aktie_verwässert!A$3:AK$103,16,FALSE)&gt;=2,2,VLOOKUP(A32,Dividende_je_Aktie!A$3:AM$103,16,FALSE)/VLOOKUP(A32,Ergebnis_je_Aktie_verwässert!A$3:AK$103,16,FALSE))),""),"")</f>
        <v>0</v>
      </c>
      <c r="AE32" s="71">
        <f>IF(VLOOKUP(A32,Dividende_je_Aktie!A$3:AM$103,17,FALSE)&lt;&gt;"",IF(VLOOKUP(A32,Ergebnis_je_Aktie_verwässert!A$3:AK$103,17,FALSE)&lt;&gt;"",IF(VLOOKUP(A32,Ergebnis_je_Aktie_verwässert!A$3:AK$103,17,FALSE)&lt;=0,2,IF(VLOOKUP(A32,Dividende_je_Aktie!A$3:AM$103,17,FALSE)/VLOOKUP(A32,Ergebnis_je_Aktie_verwässert!A$3:AK$103,17,FALSE)&gt;=2,2,VLOOKUP(A32,Dividende_je_Aktie!A$3:AM$103,17,FALSE)/VLOOKUP(A32,Ergebnis_je_Aktie_verwässert!A$3:AK$103,17,FALSE))),""),"")</f>
        <v>0</v>
      </c>
      <c r="AF32" s="71">
        <f>IF(VLOOKUP(A32,Dividende_je_Aktie!A$3:AM$103,18,FALSE)&lt;&gt;"",IF(VLOOKUP(A32,Ergebnis_je_Aktie_verwässert!A$3:AK$103,18,FALSE)&lt;&gt;"",IF(VLOOKUP(A32,Ergebnis_je_Aktie_verwässert!A$3:AK$103,18,FALSE)&lt;=0,2,IF(VLOOKUP(A32,Dividende_je_Aktie!A$3:AM$103,18,FALSE)/VLOOKUP(A32,Ergebnis_je_Aktie_verwässert!A$3:AK$103,18,FALSE)&gt;=2,2,VLOOKUP(A32,Dividende_je_Aktie!A$3:AM$103,18,FALSE)/VLOOKUP(A32,Ergebnis_je_Aktie_verwässert!A$3:AK$103,18,FALSE))),""),"")</f>
        <v>0</v>
      </c>
      <c r="AG32" s="105">
        <f t="shared" si="1"/>
        <v>0.23093150346907557</v>
      </c>
      <c r="AH32" s="4">
        <f t="shared" ca="1" si="2"/>
        <v>0</v>
      </c>
      <c r="AI32" s="4">
        <f t="shared" ca="1" si="3"/>
        <v>258</v>
      </c>
      <c r="AJ32" s="4">
        <f t="shared" ca="1" si="4"/>
        <v>102</v>
      </c>
      <c r="AK32" s="10">
        <f t="shared" ca="1" si="5"/>
        <v>0.46046131770165477</v>
      </c>
      <c r="AL32" s="5">
        <f t="shared" ca="1" si="6"/>
        <v>0.9939302814235389</v>
      </c>
    </row>
    <row r="33" spans="1:38">
      <c r="A33" t="s">
        <v>40</v>
      </c>
      <c r="B33" t="s">
        <v>41</v>
      </c>
      <c r="C33" s="60">
        <v>31</v>
      </c>
      <c r="D33" s="60">
        <v>12</v>
      </c>
      <c r="E33" s="60">
        <v>2016</v>
      </c>
      <c r="F33" s="71">
        <f>IF(VLOOKUP(A33,Dividende_je_Aktie!A$3:AM$103,6,FALSE)&lt;&gt;"",IF(VLOOKUP(A33,Ergebnis_je_Aktie_verwässert!A$3:AK$103,6,FALSE)&lt;&gt;"",IF(VLOOKUP(A33,Ergebnis_je_Aktie_verwässert!A$3:AK$103,6,FALSE)&lt;=0,2,IF(VLOOKUP(A33,Dividende_je_Aktie!A$3:AM$103,6,FALSE)/VLOOKUP(A33,Ergebnis_je_Aktie_verwässert!A$3:AK$103,6,FALSE)&gt;=2,2,VLOOKUP(A33,Dividende_je_Aktie!A$3:AM$103,6,FALSE)/VLOOKUP(A33,Ergebnis_je_Aktie_verwässert!A$3:AK$103,6,FALSE))),""),"")</f>
        <v>0.71621621621621623</v>
      </c>
      <c r="G33" s="71">
        <f>IF(VLOOKUP(A33,Dividende_je_Aktie!A$3:AM$103,7,FALSE)&lt;&gt;"",IF(VLOOKUP(A33,Ergebnis_je_Aktie_verwässert!A$3:AK$103,7,FALSE)&lt;&gt;"",IF(VLOOKUP(A33,Ergebnis_je_Aktie_verwässert!A$3:AK$103,7,FALSE)&lt;=0,2,IF(VLOOKUP(A33,Dividende_je_Aktie!A$3:AM$103,7,FALSE)/VLOOKUP(A33,Ergebnis_je_Aktie_verwässert!A$3:AK$103,7,FALSE)&gt;=2,2,VLOOKUP(A33,Dividende_je_Aktie!A$3:AM$103,7,FALSE)/VLOOKUP(A33,Ergebnis_je_Aktie_verwässert!A$3:AK$103,7,FALSE))),""),"")</f>
        <v>0.72549019607843135</v>
      </c>
      <c r="H33" s="71">
        <f>IF(VLOOKUP(A33,Fiktive_Dividende!A$3:AM$103,14,FALSE)&lt;&gt;"",IF(VLOOKUP(A33,Ergebnis_je_Aktie_verwässert!A$3:AK$103,8,FALSE)&lt;&gt;"",IF(VLOOKUP(A33,Ergebnis_je_Aktie_verwässert!A$3:AK$103,8,FALSE)&lt;=0,2,IF(VLOOKUP(A33,Fiktive_Dividende!A$3:AM$103,14,FALSE)/VLOOKUP(A33,Ergebnis_je_Aktie_verwässert!A$3:AK$103,8,FALSE)&gt;=2,2,VLOOKUP(A33,Fiktive_Dividende!A$3:AM$103,14,FALSE)/VLOOKUP(A33,Ergebnis_je_Aktie_verwässert!A$3:AK$103,8,FALSE))),""),"")</f>
        <v>0.71875</v>
      </c>
      <c r="I33" s="71">
        <f>IF(VLOOKUP(A33,Fiktive_Dividende!A$3:AM$103,15,FALSE)&lt;&gt;"",IF(VLOOKUP(A33,Ergebnis_je_Aktie_verwässert!A$3:AK$103,9,FALSE)&lt;&gt;"",IF(VLOOKUP(A33,Ergebnis_je_Aktie_verwässert!A$3:AK$103,9,FALSE)&lt;=0,2,IF(VLOOKUP(A33,Fiktive_Dividende!A$3:AM$103,15,FALSE)/VLOOKUP(A33,Ergebnis_je_Aktie_verwässert!A$3:AK$103,9,FALSE)&gt;=2,2,VLOOKUP(A33,Fiktive_Dividende!A$3:AM$103,15,FALSE)/VLOOKUP(A33,Ergebnis_je_Aktie_verwässert!A$3:AK$103,9,FALSE))),""),"")</f>
        <v>0.74396412968498504</v>
      </c>
      <c r="J33" s="71">
        <f>IF(VLOOKUP(A33,Fiktive_Dividende!A$3:AM$103,16,FALSE)&lt;&gt;"",IF(VLOOKUP(A33,Ergebnis_je_Aktie_verwässert!A$3:AK$103,10,FALSE)&lt;&gt;"",IF(VLOOKUP(A33,Ergebnis_je_Aktie_verwässert!A$3:AK$103,10,FALSE)&lt;=0,2,IF(VLOOKUP(A33,Fiktive_Dividende!A$3:AM$103,16,FALSE)/VLOOKUP(A33,Ergebnis_je_Aktie_verwässert!A$3:AK$103,10,FALSE)&gt;=2,2,VLOOKUP(A33,Fiktive_Dividende!A$3:AM$103,16,FALSE)/VLOOKUP(A33,Ergebnis_je_Aktie_verwässert!A$3:AK$103,10,FALSE))),""),"")</f>
        <v>0.76868942721385392</v>
      </c>
      <c r="K33" s="71">
        <f>IF(VLOOKUP(A33,Fiktive_Dividende!A$3:AM$103,17,FALSE)&lt;&gt;"",IF(VLOOKUP(A33,Ergebnis_je_Aktie_verwässert!A$3:AK$103,11,FALSE)&lt;&gt;"",IF(VLOOKUP(A33,Ergebnis_je_Aktie_verwässert!A$3:AK$103,11,FALSE)&lt;=0,2,IF(VLOOKUP(A33,Fiktive_Dividende!A$3:AM$103,17,FALSE)/VLOOKUP(A33,Ergebnis_je_Aktie_verwässert!A$3:AK$103,11,FALSE)&gt;=2,2,VLOOKUP(A33,Fiktive_Dividende!A$3:AM$103,17,FALSE)/VLOOKUP(A33,Ergebnis_je_Aktie_verwässert!A$3:AK$103,11,FALSE))),""),"")</f>
        <v>0.84074655750882465</v>
      </c>
      <c r="L33" s="71">
        <f>IF(VLOOKUP(A33,Fiktive_Dividende!A$3:AM$103,18,FALSE)&lt;&gt;"",IF(VLOOKUP(A33,Ergebnis_je_Aktie_verwässert!A$3:AK$103,12,FALSE)&lt;&gt;"",IF(VLOOKUP(A33,Ergebnis_je_Aktie_verwässert!A$3:AK$103,12,FALSE)&lt;=0,2,IF(VLOOKUP(A33,Fiktive_Dividende!A$3:AM$103,18,FALSE)/VLOOKUP(A33,Ergebnis_je_Aktie_verwässert!A$3:AK$103,12,FALSE)&gt;=2,2,VLOOKUP(A33,Fiktive_Dividende!A$3:AM$103,18,FALSE)/VLOOKUP(A33,Ergebnis_je_Aktie_verwässert!A$3:AK$103,12,FALSE))),""),"")</f>
        <v>0.77205820653390023</v>
      </c>
      <c r="M33" s="71">
        <f>IF(VLOOKUP(A33,Fiktive_Dividende!A$3:AM$103,19,FALSE)&lt;&gt;"",IF(VLOOKUP(A33,Ergebnis_je_Aktie_verwässert!A$3:AK$103,13,FALSE)&lt;&gt;"",IF(VLOOKUP(A33,Ergebnis_je_Aktie_verwässert!A$3:AK$103,13,FALSE)&lt;=0,2,IF(VLOOKUP(A33,Fiktive_Dividende!A$3:AM$103,19,FALSE)/VLOOKUP(A33,Ergebnis_je_Aktie_verwässert!A$3:AK$103,13,FALSE)&gt;=2,2,VLOOKUP(A33,Fiktive_Dividende!A$3:AM$103,19,FALSE)/VLOOKUP(A33,Ergebnis_je_Aktie_verwässert!A$3:AK$103,13,FALSE))),""),"")</f>
        <v>0.72308720908823099</v>
      </c>
      <c r="N33" s="71">
        <f>IF(VLOOKUP(A33,Fiktive_Dividende!A$3:AM$103,20,FALSE)&lt;&gt;"",IF(VLOOKUP(A33,Ergebnis_je_Aktie_verwässert!A$3:AK$103,14,FALSE)&lt;&gt;"",IF(VLOOKUP(A33,Ergebnis_je_Aktie_verwässert!A$3:AK$103,14,FALSE)&lt;=0,2,IF(VLOOKUP(A33,Fiktive_Dividende!A$3:AM$103,20,FALSE)/VLOOKUP(A33,Ergebnis_je_Aktie_verwässert!A$3:AK$103,14,FALSE)&gt;=2,2,VLOOKUP(A33,Fiktive_Dividende!A$3:AM$103,20,FALSE)/VLOOKUP(A33,Ergebnis_je_Aktie_verwässert!A$3:AK$103,14,FALSE))),""),"")</f>
        <v>0.59474214534671477</v>
      </c>
      <c r="O33" s="71">
        <f>IF(VLOOKUP(A33,Fiktive_Dividende!A$3:AM$103,21,FALSE)&lt;&gt;"",IF(VLOOKUP(A33,Ergebnis_je_Aktie_verwässert!A$3:AK$103,15,FALSE)&lt;&gt;"",IF(VLOOKUP(A33,Ergebnis_je_Aktie_verwässert!A$3:AK$103,15,FALSE)&lt;=0,2,IF(VLOOKUP(A33,Fiktive_Dividende!A$3:AM$103,21,FALSE)/VLOOKUP(A33,Ergebnis_je_Aktie_verwässert!A$3:AK$103,15,FALSE)&gt;=2,2,VLOOKUP(A33,Fiktive_Dividende!A$3:AM$103,21,FALSE)/VLOOKUP(A33,Ergebnis_je_Aktie_verwässert!A$3:AK$103,15,FALSE))),""),"")</f>
        <v>0.6087427878952999</v>
      </c>
      <c r="P33" s="71">
        <f>IF(VLOOKUP(A33,Fiktive_Dividende!A$3:AM$103,22,FALSE)&lt;&gt;"",IF(VLOOKUP(A33,Ergebnis_je_Aktie_verwässert!A$3:AK$103,16,FALSE)&lt;&gt;"",IF(VLOOKUP(A33,Ergebnis_je_Aktie_verwässert!A$3:AK$103,16,FALSE)&lt;=0,2,IF(VLOOKUP(A33,Fiktive_Dividende!A$3:AM$103,22,FALSE)/VLOOKUP(A33,Ergebnis_je_Aktie_verwässert!A$3:AK$103,16,FALSE)&gt;=2,2,VLOOKUP(A33,Fiktive_Dividende!A$3:AM$103,22,FALSE)/VLOOKUP(A33,Ergebnis_je_Aktie_verwässert!A$3:AK$103,16,FALSE))),""),"")</f>
        <v>0.51983577744823417</v>
      </c>
      <c r="Q33" s="71">
        <f>IF(VLOOKUP(A33,Fiktive_Dividende!A$3:AM$103,23,FALSE)&lt;&gt;"",IF(VLOOKUP(A33,Ergebnis_je_Aktie_verwässert!A$3:AK$103,17,FALSE)&lt;&gt;"",IF(VLOOKUP(A33,Ergebnis_je_Aktie_verwässert!A$3:AK$103,17,FALSE)&lt;=0,2,IF(VLOOKUP(A33,Fiktive_Dividende!A$3:AM$103,23,FALSE)/VLOOKUP(A33,Ergebnis_je_Aktie_verwässert!A$3:AK$103,17,FALSE)&gt;=2,2,VLOOKUP(A33,Fiktive_Dividende!A$3:AM$103,23,FALSE)/VLOOKUP(A33,Ergebnis_je_Aktie_verwässert!A$3:AK$103,17,FALSE))),""),"")</f>
        <v>0.50370370370370365</v>
      </c>
      <c r="R33" s="71">
        <f>IF(VLOOKUP(A33,Fiktive_Dividende!A$3:AM$103,24,FALSE)&lt;&gt;"",IF(VLOOKUP(A33,Ergebnis_je_Aktie_verwässert!A$3:AK$103,18,FALSE)&lt;&gt;"",IF(VLOOKUP(A33,Ergebnis_je_Aktie_verwässert!A$3:AK$103,18,FALSE)&lt;=0,2,IF(VLOOKUP(A33,Fiktive_Dividende!A$3:AM$103,24,FALSE)/VLOOKUP(A33,Ergebnis_je_Aktie_verwässert!A$3:AK$103,18,FALSE)&gt;=2,2,VLOOKUP(A33,Fiktive_Dividende!A$3:AM$103,24,FALSE)/VLOOKUP(A33,Ergebnis_je_Aktie_verwässert!A$3:AK$103,18,FALSE))),""),"")</f>
        <v>0.97252469209962034</v>
      </c>
      <c r="S33" s="105">
        <f t="shared" si="0"/>
        <v>0.70835008067830885</v>
      </c>
      <c r="T33" s="71">
        <f>IF(VLOOKUP(A33,Dividende_je_Aktie!A$3:AM$103,6,FALSE)&lt;&gt;"",IF(VLOOKUP(A33,Ergebnis_je_Aktie_verwässert!A$3:AK$103,6,FALSE)&lt;&gt;"",IF(VLOOKUP(A33,Ergebnis_je_Aktie_verwässert!A$3:AK$103,6,FALSE)&lt;=0,2,IF(VLOOKUP(A33,Dividende_je_Aktie!A$3:AM$103,6,FALSE)/VLOOKUP(A33,Ergebnis_je_Aktie_verwässert!A$3:AK$103,6,FALSE)&gt;=2,2,VLOOKUP(A33,Dividende_je_Aktie!A$3:AM$103,6,FALSE)/VLOOKUP(A33,Ergebnis_je_Aktie_verwässert!A$3:AK$103,6,FALSE))),""),"")</f>
        <v>0.71621621621621623</v>
      </c>
      <c r="U33" s="71">
        <f>IF(VLOOKUP(A33,Dividende_je_Aktie!A$3:AM$103,7,FALSE)&lt;&gt;"",IF(VLOOKUP(A33,Ergebnis_je_Aktie_verwässert!A$3:AK$103,7,FALSE)&lt;&gt;"",IF(VLOOKUP(A33,Ergebnis_je_Aktie_verwässert!A$3:AK$103,7,FALSE)&lt;=0,2,IF(VLOOKUP(A33,Dividende_je_Aktie!A$3:AM$103,7,FALSE)/VLOOKUP(A33,Ergebnis_je_Aktie_verwässert!A$3:AK$103,7,FALSE)&gt;=2,2,VLOOKUP(A33,Dividende_je_Aktie!A$3:AM$103,7,FALSE)/VLOOKUP(A33,Ergebnis_je_Aktie_verwässert!A$3:AK$103,7,FALSE))),""),"")</f>
        <v>0.72549019607843135</v>
      </c>
      <c r="V33" s="71">
        <f>IF(VLOOKUP(A33,Dividende_je_Aktie!A$3:AM$103,8,FALSE)&lt;&gt;"",IF(VLOOKUP(A33,Ergebnis_je_Aktie_verwässert!A$3:AK$103,8,FALSE)&lt;&gt;"",IF(VLOOKUP(A33,Ergebnis_je_Aktie_verwässert!A$3:AK$103,8,FALSE)&lt;=0,2,IF(VLOOKUP(A33,Dividende_je_Aktie!A$3:AM$103,8,FALSE)/VLOOKUP(A33,Ergebnis_je_Aktie_verwässert!A$3:AK$103,8,FALSE)&gt;=2,2,VLOOKUP(A33,Dividende_je_Aktie!A$3:AM$103,8,FALSE)/VLOOKUP(A33,Ergebnis_je_Aktie_verwässert!A$3:AK$103,8,FALSE))),""),"")</f>
        <v>0.71875</v>
      </c>
      <c r="W33" s="71">
        <f>IF(VLOOKUP(A33,Dividende_je_Aktie!A$3:AM$103,9,FALSE)&lt;&gt;"",IF(VLOOKUP(A33,Ergebnis_je_Aktie_verwässert!A$3:AK$103,9,FALSE)&lt;&gt;"",IF(VLOOKUP(A33,Ergebnis_je_Aktie_verwässert!A$3:AK$103,9,FALSE)&lt;=0,2,IF(VLOOKUP(A33,Dividende_je_Aktie!A$3:AM$103,9,FALSE)/VLOOKUP(A33,Ergebnis_je_Aktie_verwässert!A$3:AK$103,9,FALSE)&gt;=2,2,VLOOKUP(A33,Dividende_je_Aktie!A$3:AM$103,9,FALSE)/VLOOKUP(A33,Ergebnis_je_Aktie_verwässert!A$3:AK$103,9,FALSE))),""),"")</f>
        <v>0.66</v>
      </c>
      <c r="X33" s="71">
        <f>IF(VLOOKUP(A33,Dividende_je_Aktie!A$3:AM$103,10,FALSE)&lt;&gt;"",IF(VLOOKUP(A33,Ergebnis_je_Aktie_verwässert!A$3:AK$103,10,FALSE)&lt;&gt;"",IF(VLOOKUP(A33,Ergebnis_je_Aktie_verwässert!A$3:AK$103,10,FALSE)&lt;=0,2,IF(VLOOKUP(A33,Dividende_je_Aktie!A$3:AM$103,10,FALSE)/VLOOKUP(A33,Ergebnis_je_Aktie_verwässert!A$3:AK$103,10,FALSE)&gt;=2,2,VLOOKUP(A33,Dividende_je_Aktie!A$3:AM$103,10,FALSE)/VLOOKUP(A33,Ergebnis_je_Aktie_verwässert!A$3:AK$103,10,FALSE))),""),"")</f>
        <v>0.59803921568627449</v>
      </c>
      <c r="Y33" s="71">
        <f>IF(VLOOKUP(A33,Dividende_je_Aktie!A$3:AM$103,11,FALSE)&lt;&gt;"",IF(VLOOKUP(A33,Ergebnis_je_Aktie_verwässert!A$3:AK$103,11,FALSE)&lt;&gt;"",IF(VLOOKUP(A33,Ergebnis_je_Aktie_verwässert!A$3:AK$103,11,FALSE)&lt;=0,2,IF(VLOOKUP(A33,Dividende_je_Aktie!A$3:AM$103,11,FALSE)/VLOOKUP(A33,Ergebnis_je_Aktie_verwässert!A$3:AK$103,11,FALSE)&gt;=2,2,VLOOKUP(A33,Dividende_je_Aktie!A$3:AM$103,11,FALSE)/VLOOKUP(A33,Ergebnis_je_Aktie_verwässert!A$3:AK$103,11,FALSE))),""),"")</f>
        <v>0.53846153846153855</v>
      </c>
      <c r="Z33" s="71">
        <f>IF(VLOOKUP(A33,Dividende_je_Aktie!A$3:AM$103,12,FALSE)&lt;&gt;"",IF(VLOOKUP(A33,Ergebnis_je_Aktie_verwässert!A$3:AK$103,12,FALSE)&lt;&gt;"",IF(VLOOKUP(A33,Ergebnis_je_Aktie_verwässert!A$3:AK$103,12,FALSE)&lt;=0,2,IF(VLOOKUP(A33,Dividende_je_Aktie!A$3:AM$103,12,FALSE)/VLOOKUP(A33,Ergebnis_je_Aktie_verwässert!A$3:AK$103,12,FALSE)&gt;=2,2,VLOOKUP(A33,Dividende_je_Aktie!A$3:AM$103,12,FALSE)/VLOOKUP(A33,Ergebnis_je_Aktie_verwässert!A$3:AK$103,12,FALSE))),""),"")</f>
        <v>0.53125</v>
      </c>
      <c r="AA33" s="71">
        <f>IF(VLOOKUP(A33,Dividende_je_Aktie!A$3:AM$103,13,FALSE)&lt;&gt;"",IF(VLOOKUP(A33,Ergebnis_je_Aktie_verwässert!A$3:AK$103,13,FALSE)&lt;&gt;"",IF(VLOOKUP(A33,Ergebnis_je_Aktie_verwässert!A$3:AK$103,13,FALSE)&lt;=0,2,IF(VLOOKUP(A33,Dividende_je_Aktie!A$3:AM$103,13,FALSE)/VLOOKUP(A33,Ergebnis_je_Aktie_verwässert!A$3:AK$103,13,FALSE)&gt;=2,2,VLOOKUP(A33,Dividende_je_Aktie!A$3:AM$103,13,FALSE)/VLOOKUP(A33,Ergebnis_je_Aktie_verwässert!A$3:AK$103,13,FALSE))),""),"")</f>
        <v>0.48958333333333331</v>
      </c>
      <c r="AB33" s="71">
        <f>IF(VLOOKUP(A33,Dividende_je_Aktie!A$3:AM$103,14,FALSE)&lt;&gt;"",IF(VLOOKUP(A33,Ergebnis_je_Aktie_verwässert!A$3:AK$103,14,FALSE)&lt;&gt;"",IF(VLOOKUP(A33,Ergebnis_je_Aktie_verwässert!A$3:AK$103,14,FALSE)&lt;=0,2,IF(VLOOKUP(A33,Dividende_je_Aktie!A$3:AM$103,14,FALSE)/VLOOKUP(A33,Ergebnis_je_Aktie_verwässert!A$3:AK$103,14,FALSE)&gt;=2,2,VLOOKUP(A33,Dividende_je_Aktie!A$3:AM$103,14,FALSE)/VLOOKUP(A33,Ergebnis_je_Aktie_verwässert!A$3:AK$103,14,FALSE))),""),"")</f>
        <v>0.50429799426934097</v>
      </c>
      <c r="AC33" s="71">
        <f>IF(VLOOKUP(A33,Dividende_je_Aktie!A$3:AM$103,15,FALSE)&lt;&gt;"",IF(VLOOKUP(A33,Ergebnis_je_Aktie_verwässert!A$3:AK$103,15,FALSE)&lt;&gt;"",IF(VLOOKUP(A33,Ergebnis_je_Aktie_verwässert!A$3:AK$103,15,FALSE)&lt;=0,2,IF(VLOOKUP(A33,Dividende_je_Aktie!A$3:AM$103,15,FALSE)/VLOOKUP(A33,Ergebnis_je_Aktie_verwässert!A$3:AK$103,15,FALSE)&gt;=2,2,VLOOKUP(A33,Dividende_je_Aktie!A$3:AM$103,15,FALSE)/VLOOKUP(A33,Ergebnis_je_Aktie_verwässert!A$3:AK$103,15,FALSE))),""),"")</f>
        <v>0.53594771241830064</v>
      </c>
      <c r="AD33" s="71">
        <f>IF(VLOOKUP(A33,Dividende_je_Aktie!A$3:AM$103,16,FALSE)&lt;&gt;"",IF(VLOOKUP(A33,Ergebnis_je_Aktie_verwässert!A$3:AK$103,16,FALSE)&lt;&gt;"",IF(VLOOKUP(A33,Ergebnis_je_Aktie_verwässert!A$3:AK$103,16,FALSE)&lt;=0,2,IF(VLOOKUP(A33,Dividende_je_Aktie!A$3:AM$103,16,FALSE)/VLOOKUP(A33,Ergebnis_je_Aktie_verwässert!A$3:AK$103,16,FALSE)&gt;=2,2,VLOOKUP(A33,Dividende_je_Aktie!A$3:AM$103,16,FALSE)/VLOOKUP(A33,Ergebnis_je_Aktie_verwässert!A$3:AK$103,16,FALSE))),""),"")</f>
        <v>0.48253968253968255</v>
      </c>
      <c r="AE33" s="71">
        <f>IF(VLOOKUP(A33,Dividende_je_Aktie!A$3:AM$103,17,FALSE)&lt;&gt;"",IF(VLOOKUP(A33,Ergebnis_je_Aktie_verwässert!A$3:AK$103,17,FALSE)&lt;&gt;"",IF(VLOOKUP(A33,Ergebnis_je_Aktie_verwässert!A$3:AK$103,17,FALSE)&lt;=0,2,IF(VLOOKUP(A33,Dividende_je_Aktie!A$3:AM$103,17,FALSE)/VLOOKUP(A33,Ergebnis_je_Aktie_verwässert!A$3:AK$103,17,FALSE)&gt;=2,2,VLOOKUP(A33,Dividende_je_Aktie!A$3:AM$103,17,FALSE)/VLOOKUP(A33,Ergebnis_je_Aktie_verwässert!A$3:AK$103,17,FALSE))),""),"")</f>
        <v>0.50370370370370365</v>
      </c>
      <c r="AF33" s="71">
        <f>IF(VLOOKUP(A33,Dividende_je_Aktie!A$3:AM$103,18,FALSE)&lt;&gt;"",IF(VLOOKUP(A33,Ergebnis_je_Aktie_verwässert!A$3:AK$103,18,FALSE)&lt;&gt;"",IF(VLOOKUP(A33,Ergebnis_je_Aktie_verwässert!A$3:AK$103,18,FALSE)&lt;=0,2,IF(VLOOKUP(A33,Dividende_je_Aktie!A$3:AM$103,18,FALSE)/VLOOKUP(A33,Ergebnis_je_Aktie_verwässert!A$3:AK$103,18,FALSE)&gt;=2,2,VLOOKUP(A33,Dividende_je_Aktie!A$3:AM$103,18,FALSE)/VLOOKUP(A33,Ergebnis_je_Aktie_verwässert!A$3:AK$103,18,FALSE))),""),"")</f>
        <v>0.52320675105485226</v>
      </c>
      <c r="AG33" s="105">
        <f t="shared" si="1"/>
        <v>0.5790374110585903</v>
      </c>
      <c r="AH33" s="4">
        <f t="shared" ca="1" si="2"/>
        <v>0</v>
      </c>
      <c r="AI33" s="4">
        <f t="shared" ca="1" si="3"/>
        <v>108</v>
      </c>
      <c r="AJ33" s="4">
        <f t="shared" ca="1" si="4"/>
        <v>252</v>
      </c>
      <c r="AK33" s="10">
        <f t="shared" ca="1" si="5"/>
        <v>0.72077205882352935</v>
      </c>
      <c r="AL33" s="5">
        <f t="shared" ca="1" si="6"/>
        <v>0.24477632197515731</v>
      </c>
    </row>
    <row r="34" spans="1:38">
      <c r="A34" t="s">
        <v>42</v>
      </c>
      <c r="B34" t="s">
        <v>43</v>
      </c>
      <c r="C34" s="60">
        <v>31</v>
      </c>
      <c r="D34" s="60">
        <v>12</v>
      </c>
      <c r="E34" s="60">
        <v>2016</v>
      </c>
      <c r="F34" s="71">
        <f>IF(VLOOKUP(A34,Dividende_je_Aktie!A$3:AM$103,6,FALSE)&lt;&gt;"",IF(VLOOKUP(A34,Ergebnis_je_Aktie_verwässert!A$3:AK$103,6,FALSE)&lt;&gt;"",IF(VLOOKUP(A34,Ergebnis_je_Aktie_verwässert!A$3:AK$103,6,FALSE)&lt;=0,2,IF(VLOOKUP(A34,Dividende_je_Aktie!A$3:AM$103,6,FALSE)/VLOOKUP(A34,Ergebnis_je_Aktie_verwässert!A$3:AK$103,6,FALSE)&gt;=2,2,VLOOKUP(A34,Dividende_je_Aktie!A$3:AM$103,6,FALSE)/VLOOKUP(A34,Ergebnis_je_Aktie_verwässert!A$3:AK$103,6,FALSE))),""),"")</f>
        <v>0.5644171779141105</v>
      </c>
      <c r="G34" s="71">
        <f>IF(VLOOKUP(A34,Dividende_je_Aktie!A$3:AM$103,7,FALSE)&lt;&gt;"",IF(VLOOKUP(A34,Ergebnis_je_Aktie_verwässert!A$3:AK$103,7,FALSE)&lt;&gt;"",IF(VLOOKUP(A34,Ergebnis_je_Aktie_verwässert!A$3:AK$103,7,FALSE)&lt;=0,2,IF(VLOOKUP(A34,Dividende_je_Aktie!A$3:AM$103,7,FALSE)/VLOOKUP(A34,Ergebnis_je_Aktie_verwässert!A$3:AK$103,7,FALSE)&gt;=2,2,VLOOKUP(A34,Dividende_je_Aktie!A$3:AM$103,7,FALSE)/VLOOKUP(A34,Ergebnis_je_Aktie_verwässert!A$3:AK$103,7,FALSE))),""),"")</f>
        <v>0.56521739130434778</v>
      </c>
      <c r="H34" s="71">
        <f>IF(VLOOKUP(A34,Fiktive_Dividende!A$3:AM$103,14,FALSE)&lt;&gt;"",IF(VLOOKUP(A34,Ergebnis_je_Aktie_verwässert!A$3:AK$103,8,FALSE)&lt;&gt;"",IF(VLOOKUP(A34,Ergebnis_je_Aktie_verwässert!A$3:AK$103,8,FALSE)&lt;=0,2,IF(VLOOKUP(A34,Fiktive_Dividende!A$3:AM$103,14,FALSE)/VLOOKUP(A34,Ergebnis_je_Aktie_verwässert!A$3:AK$103,8,FALSE)&gt;=2,2,VLOOKUP(A34,Fiktive_Dividende!A$3:AM$103,14,FALSE)/VLOOKUP(A34,Ergebnis_je_Aktie_verwässert!A$3:AK$103,8,FALSE))),""),"")</f>
        <v>0.57090909090909092</v>
      </c>
      <c r="I34" s="71">
        <f>IF(VLOOKUP(A34,Fiktive_Dividende!A$3:AM$103,15,FALSE)&lt;&gt;"",IF(VLOOKUP(A34,Ergebnis_je_Aktie_verwässert!A$3:AK$103,9,FALSE)&lt;&gt;"",IF(VLOOKUP(A34,Ergebnis_je_Aktie_verwässert!A$3:AK$103,9,FALSE)&lt;=0,2,IF(VLOOKUP(A34,Fiktive_Dividende!A$3:AM$103,15,FALSE)/VLOOKUP(A34,Ergebnis_je_Aktie_verwässert!A$3:AK$103,9,FALSE)&gt;=2,2,VLOOKUP(A34,Fiktive_Dividende!A$3:AM$103,15,FALSE)/VLOOKUP(A34,Ergebnis_je_Aktie_verwässert!A$3:AK$103,9,FALSE))),""),"")</f>
        <v>0.91463021158340485</v>
      </c>
      <c r="J34" s="71">
        <f>IF(VLOOKUP(A34,Fiktive_Dividende!A$3:AM$103,16,FALSE)&lt;&gt;"",IF(VLOOKUP(A34,Ergebnis_je_Aktie_verwässert!A$3:AK$103,10,FALSE)&lt;&gt;"",IF(VLOOKUP(A34,Ergebnis_je_Aktie_verwässert!A$3:AK$103,10,FALSE)&lt;=0,2,IF(VLOOKUP(A34,Fiktive_Dividende!A$3:AM$103,16,FALSE)/VLOOKUP(A34,Ergebnis_je_Aktie_verwässert!A$3:AK$103,10,FALSE)&gt;=2,2,VLOOKUP(A34,Fiktive_Dividende!A$3:AM$103,16,FALSE)/VLOOKUP(A34,Ergebnis_je_Aktie_verwässert!A$3:AK$103,10,FALSE))),""),"")</f>
        <v>0.79611432680870931</v>
      </c>
      <c r="K34" s="71">
        <f>IF(VLOOKUP(A34,Fiktive_Dividende!A$3:AM$103,17,FALSE)&lt;&gt;"",IF(VLOOKUP(A34,Ergebnis_je_Aktie_verwässert!A$3:AK$103,11,FALSE)&lt;&gt;"",IF(VLOOKUP(A34,Ergebnis_je_Aktie_verwässert!A$3:AK$103,11,FALSE)&lt;=0,2,IF(VLOOKUP(A34,Fiktive_Dividende!A$3:AM$103,17,FALSE)/VLOOKUP(A34,Ergebnis_je_Aktie_verwässert!A$3:AK$103,11,FALSE)&gt;=2,2,VLOOKUP(A34,Fiktive_Dividende!A$3:AM$103,17,FALSE)/VLOOKUP(A34,Ergebnis_je_Aktie_verwässert!A$3:AK$103,11,FALSE))),""),"")</f>
        <v>0.87934088633045193</v>
      </c>
      <c r="L34" s="71">
        <f>IF(VLOOKUP(A34,Fiktive_Dividende!A$3:AM$103,18,FALSE)&lt;&gt;"",IF(VLOOKUP(A34,Ergebnis_je_Aktie_verwässert!A$3:AK$103,12,FALSE)&lt;&gt;"",IF(VLOOKUP(A34,Ergebnis_je_Aktie_verwässert!A$3:AK$103,12,FALSE)&lt;=0,2,IF(VLOOKUP(A34,Fiktive_Dividende!A$3:AM$103,18,FALSE)/VLOOKUP(A34,Ergebnis_je_Aktie_verwässert!A$3:AK$103,12,FALSE)&gt;=2,2,VLOOKUP(A34,Fiktive_Dividende!A$3:AM$103,18,FALSE)/VLOOKUP(A34,Ergebnis_je_Aktie_verwässert!A$3:AK$103,12,FALSE))),""),"")</f>
        <v>0.95168401303758332</v>
      </c>
      <c r="M34" s="71">
        <f>IF(VLOOKUP(A34,Fiktive_Dividende!A$3:AM$103,19,FALSE)&lt;&gt;"",IF(VLOOKUP(A34,Ergebnis_je_Aktie_verwässert!A$3:AK$103,13,FALSE)&lt;&gt;"",IF(VLOOKUP(A34,Ergebnis_je_Aktie_verwässert!A$3:AK$103,13,FALSE)&lt;=0,2,IF(VLOOKUP(A34,Fiktive_Dividende!A$3:AM$103,19,FALSE)/VLOOKUP(A34,Ergebnis_je_Aktie_verwässert!A$3:AK$103,13,FALSE)&gt;=2,2,VLOOKUP(A34,Fiktive_Dividende!A$3:AM$103,19,FALSE)/VLOOKUP(A34,Ergebnis_je_Aktie_verwässert!A$3:AK$103,13,FALSE))),""),"")</f>
        <v>1.000943878016304</v>
      </c>
      <c r="N34" s="71">
        <f>IF(VLOOKUP(A34,Fiktive_Dividende!A$3:AM$103,20,FALSE)&lt;&gt;"",IF(VLOOKUP(A34,Ergebnis_je_Aktie_verwässert!A$3:AK$103,14,FALSE)&lt;&gt;"",IF(VLOOKUP(A34,Ergebnis_je_Aktie_verwässert!A$3:AK$103,14,FALSE)&lt;=0,2,IF(VLOOKUP(A34,Fiktive_Dividende!A$3:AM$103,20,FALSE)/VLOOKUP(A34,Ergebnis_je_Aktie_verwässert!A$3:AK$103,14,FALSE)&gt;=2,2,VLOOKUP(A34,Fiktive_Dividende!A$3:AM$103,20,FALSE)/VLOOKUP(A34,Ergebnis_je_Aktie_verwässert!A$3:AK$103,14,FALSE))),""),"")</f>
        <v>0.40400000000000003</v>
      </c>
      <c r="O34" s="71">
        <f>IF(VLOOKUP(A34,Fiktive_Dividende!A$3:AM$103,21,FALSE)&lt;&gt;"",IF(VLOOKUP(A34,Ergebnis_je_Aktie_verwässert!A$3:AK$103,15,FALSE)&lt;&gt;"",IF(VLOOKUP(A34,Ergebnis_je_Aktie_verwässert!A$3:AK$103,15,FALSE)&lt;=0,2,IF(VLOOKUP(A34,Fiktive_Dividende!A$3:AM$103,21,FALSE)/VLOOKUP(A34,Ergebnis_je_Aktie_verwässert!A$3:AK$103,15,FALSE)&gt;=2,2,VLOOKUP(A34,Fiktive_Dividende!A$3:AM$103,21,FALSE)/VLOOKUP(A34,Ergebnis_je_Aktie_verwässert!A$3:AK$103,15,FALSE))),""),"")</f>
        <v>0.66620164626166112</v>
      </c>
      <c r="P34" s="71">
        <f>IF(VLOOKUP(A34,Fiktive_Dividende!A$3:AM$103,22,FALSE)&lt;&gt;"",IF(VLOOKUP(A34,Ergebnis_je_Aktie_verwässert!A$3:AK$103,16,FALSE)&lt;&gt;"",IF(VLOOKUP(A34,Ergebnis_je_Aktie_verwässert!A$3:AK$103,16,FALSE)&lt;=0,2,IF(VLOOKUP(A34,Fiktive_Dividende!A$3:AM$103,22,FALSE)/VLOOKUP(A34,Ergebnis_je_Aktie_verwässert!A$3:AK$103,16,FALSE)&gt;=2,2,VLOOKUP(A34,Fiktive_Dividende!A$3:AM$103,22,FALSE)/VLOOKUP(A34,Ergebnis_je_Aktie_verwässert!A$3:AK$103,16,FALSE))),""),"")</f>
        <v>0.64144539087452279</v>
      </c>
      <c r="Q34" s="71">
        <f>IF(VLOOKUP(A34,Fiktive_Dividende!A$3:AM$103,23,FALSE)&lt;&gt;"",IF(VLOOKUP(A34,Ergebnis_je_Aktie_verwässert!A$3:AK$103,17,FALSE)&lt;&gt;"",IF(VLOOKUP(A34,Ergebnis_je_Aktie_verwässert!A$3:AK$103,17,FALSE)&lt;=0,2,IF(VLOOKUP(A34,Fiktive_Dividende!A$3:AM$103,23,FALSE)/VLOOKUP(A34,Ergebnis_je_Aktie_verwässert!A$3:AK$103,17,FALSE)&gt;=2,2,VLOOKUP(A34,Fiktive_Dividende!A$3:AM$103,23,FALSE)/VLOOKUP(A34,Ergebnis_je_Aktie_verwässert!A$3:AK$103,17,FALSE))),""),"")</f>
        <v>0.54691263472189844</v>
      </c>
      <c r="R34" s="71">
        <f>IF(VLOOKUP(A34,Fiktive_Dividende!A$3:AM$103,24,FALSE)&lt;&gt;"",IF(VLOOKUP(A34,Ergebnis_je_Aktie_verwässert!A$3:AK$103,18,FALSE)&lt;&gt;"",IF(VLOOKUP(A34,Ergebnis_je_Aktie_verwässert!A$3:AK$103,18,FALSE)&lt;=0,2,IF(VLOOKUP(A34,Fiktive_Dividende!A$3:AM$103,24,FALSE)/VLOOKUP(A34,Ergebnis_je_Aktie_verwässert!A$3:AK$103,18,FALSE)&gt;=2,2,VLOOKUP(A34,Fiktive_Dividende!A$3:AM$103,24,FALSE)/VLOOKUP(A34,Ergebnis_je_Aktie_verwässert!A$3:AK$103,18,FALSE))),""),"")</f>
        <v>0.55754503427387214</v>
      </c>
      <c r="S34" s="105">
        <f t="shared" si="0"/>
        <v>0.69687397554122754</v>
      </c>
      <c r="T34" s="71">
        <f>IF(VLOOKUP(A34,Dividende_je_Aktie!A$3:AM$103,6,FALSE)&lt;&gt;"",IF(VLOOKUP(A34,Ergebnis_je_Aktie_verwässert!A$3:AK$103,6,FALSE)&lt;&gt;"",IF(VLOOKUP(A34,Ergebnis_je_Aktie_verwässert!A$3:AK$103,6,FALSE)&lt;=0,2,IF(VLOOKUP(A34,Dividende_je_Aktie!A$3:AM$103,6,FALSE)/VLOOKUP(A34,Ergebnis_je_Aktie_verwässert!A$3:AK$103,6,FALSE)&gt;=2,2,VLOOKUP(A34,Dividende_je_Aktie!A$3:AM$103,6,FALSE)/VLOOKUP(A34,Ergebnis_je_Aktie_verwässert!A$3:AK$103,6,FALSE))),""),"")</f>
        <v>0.5644171779141105</v>
      </c>
      <c r="U34" s="71">
        <f>IF(VLOOKUP(A34,Dividende_je_Aktie!A$3:AM$103,7,FALSE)&lt;&gt;"",IF(VLOOKUP(A34,Ergebnis_je_Aktie_verwässert!A$3:AK$103,7,FALSE)&lt;&gt;"",IF(VLOOKUP(A34,Ergebnis_je_Aktie_verwässert!A$3:AK$103,7,FALSE)&lt;=0,2,IF(VLOOKUP(A34,Dividende_je_Aktie!A$3:AM$103,7,FALSE)/VLOOKUP(A34,Ergebnis_je_Aktie_verwässert!A$3:AK$103,7,FALSE)&gt;=2,2,VLOOKUP(A34,Dividende_je_Aktie!A$3:AM$103,7,FALSE)/VLOOKUP(A34,Ergebnis_je_Aktie_verwässert!A$3:AK$103,7,FALSE))),""),"")</f>
        <v>0.56521739130434778</v>
      </c>
      <c r="V34" s="71">
        <f>IF(VLOOKUP(A34,Dividende_je_Aktie!A$3:AM$103,8,FALSE)&lt;&gt;"",IF(VLOOKUP(A34,Ergebnis_je_Aktie_verwässert!A$3:AK$103,8,FALSE)&lt;&gt;"",IF(VLOOKUP(A34,Ergebnis_je_Aktie_verwässert!A$3:AK$103,8,FALSE)&lt;=0,2,IF(VLOOKUP(A34,Dividende_je_Aktie!A$3:AM$103,8,FALSE)/VLOOKUP(A34,Ergebnis_je_Aktie_verwässert!A$3:AK$103,8,FALSE)&gt;=2,2,VLOOKUP(A34,Dividende_je_Aktie!A$3:AM$103,8,FALSE)/VLOOKUP(A34,Ergebnis_je_Aktie_verwässert!A$3:AK$103,8,FALSE))),""),"")</f>
        <v>0.57090909090909092</v>
      </c>
      <c r="W34" s="71">
        <f>IF(VLOOKUP(A34,Dividende_je_Aktie!A$3:AM$103,9,FALSE)&lt;&gt;"",IF(VLOOKUP(A34,Ergebnis_je_Aktie_verwässert!A$3:AK$103,9,FALSE)&lt;&gt;"",IF(VLOOKUP(A34,Ergebnis_je_Aktie_verwässert!A$3:AK$103,9,FALSE)&lt;=0,2,IF(VLOOKUP(A34,Dividende_je_Aktie!A$3:AM$103,9,FALSE)/VLOOKUP(A34,Ergebnis_je_Aktie_verwässert!A$3:AK$103,9,FALSE)&gt;=2,2,VLOOKUP(A34,Dividende_je_Aktie!A$3:AM$103,9,FALSE)/VLOOKUP(A34,Ergebnis_je_Aktie_verwässert!A$3:AK$103,9,FALSE))),""),"")</f>
        <v>0.53380782918149461</v>
      </c>
      <c r="X34" s="71">
        <f>IF(VLOOKUP(A34,Dividende_je_Aktie!A$3:AM$103,10,FALSE)&lt;&gt;"",IF(VLOOKUP(A34,Ergebnis_je_Aktie_verwässert!A$3:AK$103,10,FALSE)&lt;&gt;"",IF(VLOOKUP(A34,Ergebnis_je_Aktie_verwässert!A$3:AK$103,10,FALSE)&lt;=0,2,IF(VLOOKUP(A34,Dividende_je_Aktie!A$3:AM$103,10,FALSE)/VLOOKUP(A34,Ergebnis_je_Aktie_verwässert!A$3:AK$103,10,FALSE)&gt;=2,2,VLOOKUP(A34,Dividende_je_Aktie!A$3:AM$103,10,FALSE)/VLOOKUP(A34,Ergebnis_je_Aktie_verwässert!A$3:AK$103,10,FALSE))),""),"")</f>
        <v>0.4863013698630137</v>
      </c>
      <c r="Y34" s="71">
        <f>IF(VLOOKUP(A34,Dividende_je_Aktie!A$3:AM$103,11,FALSE)&lt;&gt;"",IF(VLOOKUP(A34,Ergebnis_je_Aktie_verwässert!A$3:AK$103,11,FALSE)&lt;&gt;"",IF(VLOOKUP(A34,Ergebnis_je_Aktie_verwässert!A$3:AK$103,11,FALSE)&lt;=0,2,IF(VLOOKUP(A34,Dividende_je_Aktie!A$3:AM$103,11,FALSE)/VLOOKUP(A34,Ergebnis_je_Aktie_verwässert!A$3:AK$103,11,FALSE)&gt;=2,2,VLOOKUP(A34,Dividende_je_Aktie!A$3:AM$103,11,FALSE)/VLOOKUP(A34,Ergebnis_je_Aktie_verwässert!A$3:AK$103,11,FALSE))),""),"")</f>
        <v>0.46830985915492962</v>
      </c>
      <c r="Z34" s="71">
        <f>IF(VLOOKUP(A34,Dividende_je_Aktie!A$3:AM$103,12,FALSE)&lt;&gt;"",IF(VLOOKUP(A34,Ergebnis_je_Aktie_verwässert!A$3:AK$103,12,FALSE)&lt;&gt;"",IF(VLOOKUP(A34,Ergebnis_je_Aktie_verwässert!A$3:AK$103,12,FALSE)&lt;=0,2,IF(VLOOKUP(A34,Dividende_je_Aktie!A$3:AM$103,12,FALSE)/VLOOKUP(A34,Ergebnis_je_Aktie_verwässert!A$3:AK$103,12,FALSE)&gt;=2,2,VLOOKUP(A34,Dividende_je_Aktie!A$3:AM$103,12,FALSE)/VLOOKUP(A34,Ergebnis_je_Aktie_verwässert!A$3:AK$103,12,FALSE))),""),"")</f>
        <v>0.45522388059701491</v>
      </c>
      <c r="AA34" s="71">
        <f>IF(VLOOKUP(A34,Dividende_je_Aktie!A$3:AM$103,13,FALSE)&lt;&gt;"",IF(VLOOKUP(A34,Ergebnis_je_Aktie_verwässert!A$3:AK$103,13,FALSE)&lt;&gt;"",IF(VLOOKUP(A34,Ergebnis_je_Aktie_verwässert!A$3:AK$103,13,FALSE)&lt;=0,2,IF(VLOOKUP(A34,Dividende_je_Aktie!A$3:AM$103,13,FALSE)/VLOOKUP(A34,Ergebnis_je_Aktie_verwässert!A$3:AK$103,13,FALSE)&gt;=2,2,VLOOKUP(A34,Dividende_je_Aktie!A$3:AM$103,13,FALSE)/VLOOKUP(A34,Ergebnis_je_Aktie_verwässert!A$3:AK$103,13,FALSE))),""),"")</f>
        <v>0.45328031809145125</v>
      </c>
      <c r="AB34" s="71">
        <f>IF(VLOOKUP(A34,Dividende_je_Aktie!A$3:AM$103,14,FALSE)&lt;&gt;"",IF(VLOOKUP(A34,Ergebnis_je_Aktie_verwässert!A$3:AK$103,14,FALSE)&lt;&gt;"",IF(VLOOKUP(A34,Ergebnis_je_Aktie_verwässert!A$3:AK$103,14,FALSE)&lt;=0,2,IF(VLOOKUP(A34,Dividende_je_Aktie!A$3:AM$103,14,FALSE)/VLOOKUP(A34,Ergebnis_je_Aktie_verwässert!A$3:AK$103,14,FALSE)&gt;=2,2,VLOOKUP(A34,Dividende_je_Aktie!A$3:AM$103,14,FALSE)/VLOOKUP(A34,Ergebnis_je_Aktie_verwässert!A$3:AK$103,14,FALSE))),""),"")</f>
        <v>0.40400000000000003</v>
      </c>
      <c r="AC34" s="71">
        <f>IF(VLOOKUP(A34,Dividende_je_Aktie!A$3:AM$103,15,FALSE)&lt;&gt;"",IF(VLOOKUP(A34,Ergebnis_je_Aktie_verwässert!A$3:AK$103,15,FALSE)&lt;&gt;"",IF(VLOOKUP(A34,Ergebnis_je_Aktie_verwässert!A$3:AK$103,15,FALSE)&lt;=0,2,IF(VLOOKUP(A34,Dividende_je_Aktie!A$3:AM$103,15,FALSE)/VLOOKUP(A34,Ergebnis_je_Aktie_verwässert!A$3:AK$103,15,FALSE)&gt;=2,2,VLOOKUP(A34,Dividende_je_Aktie!A$3:AM$103,15,FALSE)/VLOOKUP(A34,Ergebnis_je_Aktie_verwässert!A$3:AK$103,15,FALSE))),""),"")</f>
        <v>0.37969094922737306</v>
      </c>
      <c r="AD34" s="71">
        <f>IF(VLOOKUP(A34,Dividende_je_Aktie!A$3:AM$103,16,FALSE)&lt;&gt;"",IF(VLOOKUP(A34,Ergebnis_je_Aktie_verwässert!A$3:AK$103,16,FALSE)&lt;&gt;"",IF(VLOOKUP(A34,Ergebnis_je_Aktie_verwässert!A$3:AK$103,16,FALSE)&lt;=0,2,IF(VLOOKUP(A34,Dividende_je_Aktie!A$3:AM$103,16,FALSE)/VLOOKUP(A34,Ergebnis_je_Aktie_verwässert!A$3:AK$103,16,FALSE)&gt;=2,2,VLOOKUP(A34,Dividende_je_Aktie!A$3:AM$103,16,FALSE)/VLOOKUP(A34,Ergebnis_je_Aktie_verwässert!A$3:AK$103,16,FALSE))),""),"")</f>
        <v>0.38709677419354838</v>
      </c>
      <c r="AE34" s="71">
        <f>IF(VLOOKUP(A34,Dividende_je_Aktie!A$3:AM$103,17,FALSE)&lt;&gt;"",IF(VLOOKUP(A34,Ergebnis_je_Aktie_verwässert!A$3:AK$103,17,FALSE)&lt;&gt;"",IF(VLOOKUP(A34,Ergebnis_je_Aktie_verwässert!A$3:AK$103,17,FALSE)&lt;=0,2,IF(VLOOKUP(A34,Dividende_je_Aktie!A$3:AM$103,17,FALSE)/VLOOKUP(A34,Ergebnis_je_Aktie_verwässert!A$3:AK$103,17,FALSE)&gt;=2,2,VLOOKUP(A34,Dividende_je_Aktie!A$3:AM$103,17,FALSE)/VLOOKUP(A34,Ergebnis_je_Aktie_verwässert!A$3:AK$103,17,FALSE))),""),"")</f>
        <v>0.39548022598870053</v>
      </c>
      <c r="AF34" s="71">
        <f>IF(VLOOKUP(A34,Dividende_je_Aktie!A$3:AM$103,18,FALSE)&lt;&gt;"",IF(VLOOKUP(A34,Ergebnis_je_Aktie_verwässert!A$3:AK$103,18,FALSE)&lt;&gt;"",IF(VLOOKUP(A34,Ergebnis_je_Aktie_verwässert!A$3:AK$103,18,FALSE)&lt;=0,2,IF(VLOOKUP(A34,Dividende_je_Aktie!A$3:AM$103,18,FALSE)/VLOOKUP(A34,Ergebnis_je_Aktie_verwässert!A$3:AK$103,18,FALSE)&gt;=2,2,VLOOKUP(A34,Dividende_je_Aktie!A$3:AM$103,18,FALSE)/VLOOKUP(A34,Ergebnis_je_Aktie_verwässert!A$3:AK$103,18,FALSE))),""),"")</f>
        <v>0.41176470588235292</v>
      </c>
      <c r="AG34" s="105">
        <f t="shared" si="1"/>
        <v>0.46734612094672523</v>
      </c>
      <c r="AH34" s="4">
        <f t="shared" ca="1" si="2"/>
        <v>0</v>
      </c>
      <c r="AI34" s="4">
        <f t="shared" ca="1" si="3"/>
        <v>108</v>
      </c>
      <c r="AJ34" s="4">
        <f t="shared" ca="1" si="4"/>
        <v>252</v>
      </c>
      <c r="AK34" s="10">
        <f t="shared" ca="1" si="5"/>
        <v>0.56920158102766805</v>
      </c>
      <c r="AL34" s="5">
        <f t="shared" ca="1" si="6"/>
        <v>0.2179443789425477</v>
      </c>
    </row>
    <row r="35" spans="1:38">
      <c r="A35" t="s">
        <v>44</v>
      </c>
      <c r="B35" t="s">
        <v>45</v>
      </c>
      <c r="C35" s="60">
        <v>31</v>
      </c>
      <c r="D35" s="60">
        <v>12</v>
      </c>
      <c r="E35" s="60">
        <v>2016</v>
      </c>
      <c r="F35" s="71">
        <f>IF(VLOOKUP(A35,Dividende_je_Aktie!A$3:AM$103,6,FALSE)&lt;&gt;"",IF(VLOOKUP(A35,Ergebnis_je_Aktie_verwässert!A$3:AK$103,6,FALSE)&lt;&gt;"",IF(VLOOKUP(A35,Ergebnis_je_Aktie_verwässert!A$3:AK$103,6,FALSE)&lt;=0,2,IF(VLOOKUP(A35,Dividende_je_Aktie!A$3:AM$103,6,FALSE)/VLOOKUP(A35,Ergebnis_je_Aktie_verwässert!A$3:AK$103,6,FALSE)&gt;=2,2,VLOOKUP(A35,Dividende_je_Aktie!A$3:AM$103,6,FALSE)/VLOOKUP(A35,Ergebnis_je_Aktie_verwässert!A$3:AK$103,6,FALSE))),""),"")</f>
        <v>0.55440414507772029</v>
      </c>
      <c r="G35" s="71">
        <f>IF(VLOOKUP(A35,Dividende_je_Aktie!A$3:AM$103,7,FALSE)&lt;&gt;"",IF(VLOOKUP(A35,Ergebnis_je_Aktie_verwässert!A$3:AK$103,7,FALSE)&lt;&gt;"",IF(VLOOKUP(A35,Ergebnis_je_Aktie_verwässert!A$3:AK$103,7,FALSE)&lt;=0,2,IF(VLOOKUP(A35,Dividende_je_Aktie!A$3:AM$103,7,FALSE)/VLOOKUP(A35,Ergebnis_je_Aktie_verwässert!A$3:AK$103,7,FALSE)&gt;=2,2,VLOOKUP(A35,Dividende_je_Aktie!A$3:AM$103,7,FALSE)/VLOOKUP(A35,Ergebnis_je_Aktie_verwässert!A$3:AK$103,7,FALSE))),""),"")</f>
        <v>0.61585365853658536</v>
      </c>
      <c r="H35" s="71">
        <f>IF(VLOOKUP(A35,Fiktive_Dividende!A$3:AM$103,14,FALSE)&lt;&gt;"",IF(VLOOKUP(A35,Ergebnis_je_Aktie_verwässert!A$3:AK$103,8,FALSE)&lt;&gt;"",IF(VLOOKUP(A35,Ergebnis_je_Aktie_verwässert!A$3:AK$103,8,FALSE)&lt;=0,2,IF(VLOOKUP(A35,Fiktive_Dividende!A$3:AM$103,14,FALSE)/VLOOKUP(A35,Ergebnis_je_Aktie_verwässert!A$3:AK$103,8,FALSE)&gt;=2,2,VLOOKUP(A35,Fiktive_Dividende!A$3:AM$103,14,FALSE)/VLOOKUP(A35,Ergebnis_je_Aktie_verwässert!A$3:AK$103,8,FALSE))),""),"")</f>
        <v>0.65492957746478875</v>
      </c>
      <c r="I35" s="71">
        <f>IF(VLOOKUP(A35,Fiktive_Dividende!A$3:AM$103,15,FALSE)&lt;&gt;"",IF(VLOOKUP(A35,Ergebnis_je_Aktie_verwässert!A$3:AK$103,9,FALSE)&lt;&gt;"",IF(VLOOKUP(A35,Ergebnis_je_Aktie_verwässert!A$3:AK$103,9,FALSE)&lt;=0,2,IF(VLOOKUP(A35,Fiktive_Dividende!A$3:AM$103,15,FALSE)/VLOOKUP(A35,Ergebnis_je_Aktie_verwässert!A$3:AK$103,9,FALSE)&gt;=2,2,VLOOKUP(A35,Fiktive_Dividende!A$3:AM$103,15,FALSE)/VLOOKUP(A35,Ergebnis_je_Aktie_verwässert!A$3:AK$103,9,FALSE))),""),"")</f>
        <v>2</v>
      </c>
      <c r="J35" s="71">
        <f>IF(VLOOKUP(A35,Fiktive_Dividende!A$3:AM$103,16,FALSE)&lt;&gt;"",IF(VLOOKUP(A35,Ergebnis_je_Aktie_verwässert!A$3:AK$103,10,FALSE)&lt;&gt;"",IF(VLOOKUP(A35,Ergebnis_je_Aktie_verwässert!A$3:AK$103,10,FALSE)&lt;=0,2,IF(VLOOKUP(A35,Fiktive_Dividende!A$3:AM$103,16,FALSE)/VLOOKUP(A35,Ergebnis_je_Aktie_verwässert!A$3:AK$103,10,FALSE)&gt;=2,2,VLOOKUP(A35,Fiktive_Dividende!A$3:AM$103,16,FALSE)/VLOOKUP(A35,Ergebnis_je_Aktie_verwässert!A$3:AK$103,10,FALSE))),""),"")</f>
        <v>0.60003380729839917</v>
      </c>
      <c r="K35" s="71">
        <f>IF(VLOOKUP(A35,Fiktive_Dividende!A$3:AM$103,17,FALSE)&lt;&gt;"",IF(VLOOKUP(A35,Ergebnis_je_Aktie_verwässert!A$3:AK$103,11,FALSE)&lt;&gt;"",IF(VLOOKUP(A35,Ergebnis_je_Aktie_verwässert!A$3:AK$103,11,FALSE)&lt;=0,2,IF(VLOOKUP(A35,Fiktive_Dividende!A$3:AM$103,17,FALSE)/VLOOKUP(A35,Ergebnis_je_Aktie_verwässert!A$3:AK$103,11,FALSE)&gt;=2,2,VLOOKUP(A35,Fiktive_Dividende!A$3:AM$103,17,FALSE)/VLOOKUP(A35,Ergebnis_je_Aktie_verwässert!A$3:AK$103,11,FALSE))),""),"")</f>
        <v>1.3788754737831512</v>
      </c>
      <c r="L35" s="71">
        <f>IF(VLOOKUP(A35,Fiktive_Dividende!A$3:AM$103,18,FALSE)&lt;&gt;"",IF(VLOOKUP(A35,Ergebnis_je_Aktie_verwässert!A$3:AK$103,12,FALSE)&lt;&gt;"",IF(VLOOKUP(A35,Ergebnis_je_Aktie_verwässert!A$3:AK$103,12,FALSE)&lt;=0,2,IF(VLOOKUP(A35,Fiktive_Dividende!A$3:AM$103,18,FALSE)/VLOOKUP(A35,Ergebnis_je_Aktie_verwässert!A$3:AK$103,12,FALSE)&gt;=2,2,VLOOKUP(A35,Fiktive_Dividende!A$3:AM$103,18,FALSE)/VLOOKUP(A35,Ergebnis_je_Aktie_verwässert!A$3:AK$103,12,FALSE))),""),"")</f>
        <v>0.80376482262022364</v>
      </c>
      <c r="M35" s="71">
        <f>IF(VLOOKUP(A35,Fiktive_Dividende!A$3:AM$103,19,FALSE)&lt;&gt;"",IF(VLOOKUP(A35,Ergebnis_je_Aktie_verwässert!A$3:AK$103,13,FALSE)&lt;&gt;"",IF(VLOOKUP(A35,Ergebnis_je_Aktie_verwässert!A$3:AK$103,13,FALSE)&lt;=0,2,IF(VLOOKUP(A35,Fiktive_Dividende!A$3:AM$103,19,FALSE)/VLOOKUP(A35,Ergebnis_je_Aktie_verwässert!A$3:AK$103,13,FALSE)&gt;=2,2,VLOOKUP(A35,Fiktive_Dividende!A$3:AM$103,19,FALSE)/VLOOKUP(A35,Ergebnis_je_Aktie_verwässert!A$3:AK$103,13,FALSE))),""),"")</f>
        <v>0.55377672380715104</v>
      </c>
      <c r="N35" s="71">
        <f>IF(VLOOKUP(A35,Fiktive_Dividende!A$3:AM$103,20,FALSE)&lt;&gt;"",IF(VLOOKUP(A35,Ergebnis_je_Aktie_verwässert!A$3:AK$103,14,FALSE)&lt;&gt;"",IF(VLOOKUP(A35,Ergebnis_je_Aktie_verwässert!A$3:AK$103,14,FALSE)&lt;=0,2,IF(VLOOKUP(A35,Fiktive_Dividende!A$3:AM$103,20,FALSE)/VLOOKUP(A35,Ergebnis_je_Aktie_verwässert!A$3:AK$103,14,FALSE)&gt;=2,2,VLOOKUP(A35,Fiktive_Dividende!A$3:AM$103,20,FALSE)/VLOOKUP(A35,Ergebnis_je_Aktie_verwässert!A$3:AK$103,14,FALSE))),""),"")</f>
        <v>0.51198642007127682</v>
      </c>
      <c r="O35" s="71">
        <f>IF(VLOOKUP(A35,Fiktive_Dividende!A$3:AM$103,21,FALSE)&lt;&gt;"",IF(VLOOKUP(A35,Ergebnis_je_Aktie_verwässert!A$3:AK$103,15,FALSE)&lt;&gt;"",IF(VLOOKUP(A35,Ergebnis_je_Aktie_verwässert!A$3:AK$103,15,FALSE)&lt;=0,2,IF(VLOOKUP(A35,Fiktive_Dividende!A$3:AM$103,21,FALSE)/VLOOKUP(A35,Ergebnis_je_Aktie_verwässert!A$3:AK$103,15,FALSE)&gt;=2,2,VLOOKUP(A35,Fiktive_Dividende!A$3:AM$103,21,FALSE)/VLOOKUP(A35,Ergebnis_je_Aktie_verwässert!A$3:AK$103,15,FALSE))),""),"")</f>
        <v>0.60396039603960394</v>
      </c>
      <c r="P35" s="71">
        <f>IF(VLOOKUP(A35,Fiktive_Dividende!A$3:AM$103,22,FALSE)&lt;&gt;"",IF(VLOOKUP(A35,Ergebnis_je_Aktie_verwässert!A$3:AK$103,16,FALSE)&lt;&gt;"",IF(VLOOKUP(A35,Ergebnis_je_Aktie_verwässert!A$3:AK$103,16,FALSE)&lt;=0,2,IF(VLOOKUP(A35,Fiktive_Dividende!A$3:AM$103,22,FALSE)/VLOOKUP(A35,Ergebnis_je_Aktie_verwässert!A$3:AK$103,16,FALSE)&gt;=2,2,VLOOKUP(A35,Fiktive_Dividende!A$3:AM$103,22,FALSE)/VLOOKUP(A35,Ergebnis_je_Aktie_verwässert!A$3:AK$103,16,FALSE))),""),"")</f>
        <v>0.72093023255813959</v>
      </c>
      <c r="Q35" s="71">
        <f>IF(VLOOKUP(A35,Fiktive_Dividende!A$3:AM$103,23,FALSE)&lt;&gt;"",IF(VLOOKUP(A35,Ergebnis_je_Aktie_verwässert!A$3:AK$103,17,FALSE)&lt;&gt;"",IF(VLOOKUP(A35,Ergebnis_je_Aktie_verwässert!A$3:AK$103,17,FALSE)&lt;=0,2,IF(VLOOKUP(A35,Fiktive_Dividende!A$3:AM$103,23,FALSE)/VLOOKUP(A35,Ergebnis_je_Aktie_verwässert!A$3:AK$103,17,FALSE)&gt;=2,2,VLOOKUP(A35,Fiktive_Dividende!A$3:AM$103,23,FALSE)/VLOOKUP(A35,Ergebnis_je_Aktie_verwässert!A$3:AK$103,17,FALSE))),""),"")</f>
        <v>1.0242443005339126</v>
      </c>
      <c r="R35" s="71">
        <f>IF(VLOOKUP(A35,Fiktive_Dividende!A$3:AM$103,24,FALSE)&lt;&gt;"",IF(VLOOKUP(A35,Ergebnis_je_Aktie_verwässert!A$3:AK$103,18,FALSE)&lt;&gt;"",IF(VLOOKUP(A35,Ergebnis_je_Aktie_verwässert!A$3:AK$103,18,FALSE)&lt;=0,2,IF(VLOOKUP(A35,Fiktive_Dividende!A$3:AM$103,24,FALSE)/VLOOKUP(A35,Ergebnis_je_Aktie_verwässert!A$3:AK$103,18,FALSE)&gt;=2,2,VLOOKUP(A35,Fiktive_Dividende!A$3:AM$103,24,FALSE)/VLOOKUP(A35,Ergebnis_je_Aktie_verwässert!A$3:AK$103,18,FALSE))),""),"")</f>
        <v>0.89107249197236549</v>
      </c>
      <c r="S35" s="105">
        <f t="shared" si="0"/>
        <v>0.83952554228948606</v>
      </c>
      <c r="T35" s="71">
        <f>IF(VLOOKUP(A35,Dividende_je_Aktie!A$3:AM$103,6,FALSE)&lt;&gt;"",IF(VLOOKUP(A35,Ergebnis_je_Aktie_verwässert!A$3:AK$103,6,FALSE)&lt;&gt;"",IF(VLOOKUP(A35,Ergebnis_je_Aktie_verwässert!A$3:AK$103,6,FALSE)&lt;=0,2,IF(VLOOKUP(A35,Dividende_je_Aktie!A$3:AM$103,6,FALSE)/VLOOKUP(A35,Ergebnis_je_Aktie_verwässert!A$3:AK$103,6,FALSE)&gt;=2,2,VLOOKUP(A35,Dividende_je_Aktie!A$3:AM$103,6,FALSE)/VLOOKUP(A35,Ergebnis_je_Aktie_verwässert!A$3:AK$103,6,FALSE))),""),"")</f>
        <v>0.55440414507772029</v>
      </c>
      <c r="U35" s="71">
        <f>IF(VLOOKUP(A35,Dividende_je_Aktie!A$3:AM$103,7,FALSE)&lt;&gt;"",IF(VLOOKUP(A35,Ergebnis_je_Aktie_verwässert!A$3:AK$103,7,FALSE)&lt;&gt;"",IF(VLOOKUP(A35,Ergebnis_je_Aktie_verwässert!A$3:AK$103,7,FALSE)&lt;=0,2,IF(VLOOKUP(A35,Dividende_je_Aktie!A$3:AM$103,7,FALSE)/VLOOKUP(A35,Ergebnis_je_Aktie_verwässert!A$3:AK$103,7,FALSE)&gt;=2,2,VLOOKUP(A35,Dividende_je_Aktie!A$3:AM$103,7,FALSE)/VLOOKUP(A35,Ergebnis_je_Aktie_verwässert!A$3:AK$103,7,FALSE))),""),"")</f>
        <v>0.61585365853658536</v>
      </c>
      <c r="V35" s="71">
        <f>IF(VLOOKUP(A35,Dividende_je_Aktie!A$3:AM$103,8,FALSE)&lt;&gt;"",IF(VLOOKUP(A35,Ergebnis_je_Aktie_verwässert!A$3:AK$103,8,FALSE)&lt;&gt;"",IF(VLOOKUP(A35,Ergebnis_je_Aktie_verwässert!A$3:AK$103,8,FALSE)&lt;=0,2,IF(VLOOKUP(A35,Dividende_je_Aktie!A$3:AM$103,8,FALSE)/VLOOKUP(A35,Ergebnis_je_Aktie_verwässert!A$3:AK$103,8,FALSE)&gt;=2,2,VLOOKUP(A35,Dividende_je_Aktie!A$3:AM$103,8,FALSE)/VLOOKUP(A35,Ergebnis_je_Aktie_verwässert!A$3:AK$103,8,FALSE))),""),"")</f>
        <v>0.65492957746478875</v>
      </c>
      <c r="W35" s="71">
        <f>IF(VLOOKUP(A35,Dividende_je_Aktie!A$3:AM$103,9,FALSE)&lt;&gt;"",IF(VLOOKUP(A35,Ergebnis_je_Aktie_verwässert!A$3:AK$103,9,FALSE)&lt;&gt;"",IF(VLOOKUP(A35,Ergebnis_je_Aktie_verwässert!A$3:AK$103,9,FALSE)&lt;=0,2,IF(VLOOKUP(A35,Dividende_je_Aktie!A$3:AM$103,9,FALSE)/VLOOKUP(A35,Ergebnis_je_Aktie_verwässert!A$3:AK$103,9,FALSE)&gt;=2,2,VLOOKUP(A35,Dividende_je_Aktie!A$3:AM$103,9,FALSE)/VLOOKUP(A35,Ergebnis_je_Aktie_verwässert!A$3:AK$103,9,FALSE))),""),"")</f>
        <v>0.70229007633587781</v>
      </c>
      <c r="X35" s="71">
        <f>IF(VLOOKUP(A35,Dividende_je_Aktie!A$3:AM$103,10,FALSE)&lt;&gt;"",IF(VLOOKUP(A35,Ergebnis_je_Aktie_verwässert!A$3:AK$103,10,FALSE)&lt;&gt;"",IF(VLOOKUP(A35,Ergebnis_je_Aktie_verwässert!A$3:AK$103,10,FALSE)&lt;=0,2,IF(VLOOKUP(A35,Dividende_je_Aktie!A$3:AM$103,10,FALSE)/VLOOKUP(A35,Ergebnis_je_Aktie_verwässert!A$3:AK$103,10,FALSE)&gt;=2,2,VLOOKUP(A35,Dividende_je_Aktie!A$3:AM$103,10,FALSE)/VLOOKUP(A35,Ergebnis_je_Aktie_verwässert!A$3:AK$103,10,FALSE))),""),"")</f>
        <v>0.59333333333333338</v>
      </c>
      <c r="Y35" s="71">
        <f>IF(VLOOKUP(A35,Dividende_je_Aktie!A$3:AM$103,11,FALSE)&lt;&gt;"",IF(VLOOKUP(A35,Ergebnis_je_Aktie_verwässert!A$3:AK$103,11,FALSE)&lt;&gt;"",IF(VLOOKUP(A35,Ergebnis_je_Aktie_verwässert!A$3:AK$103,11,FALSE)&lt;=0,2,IF(VLOOKUP(A35,Dividende_je_Aktie!A$3:AM$103,11,FALSE)/VLOOKUP(A35,Ergebnis_je_Aktie_verwässert!A$3:AK$103,11,FALSE)&gt;=2,2,VLOOKUP(A35,Dividende_je_Aktie!A$3:AM$103,11,FALSE)/VLOOKUP(A35,Ergebnis_je_Aktie_verwässert!A$3:AK$103,11,FALSE))),""),"")</f>
        <v>0.62204724409448819</v>
      </c>
      <c r="Z35" s="71">
        <f>IF(VLOOKUP(A35,Dividende_je_Aktie!A$3:AM$103,12,FALSE)&lt;&gt;"",IF(VLOOKUP(A35,Ergebnis_je_Aktie_verwässert!A$3:AK$103,12,FALSE)&lt;&gt;"",IF(VLOOKUP(A35,Ergebnis_je_Aktie_verwässert!A$3:AK$103,12,FALSE)&lt;=0,2,IF(VLOOKUP(A35,Dividende_je_Aktie!A$3:AM$103,12,FALSE)/VLOOKUP(A35,Ergebnis_je_Aktie_verwässert!A$3:AK$103,12,FALSE)&gt;=2,2,VLOOKUP(A35,Dividende_je_Aktie!A$3:AM$103,12,FALSE)/VLOOKUP(A35,Ergebnis_je_Aktie_verwässert!A$3:AK$103,12,FALSE))),""),"")</f>
        <v>0.54263565891472865</v>
      </c>
      <c r="AA35" s="71">
        <f>IF(VLOOKUP(A35,Dividende_je_Aktie!A$3:AM$103,13,FALSE)&lt;&gt;"",IF(VLOOKUP(A35,Ergebnis_je_Aktie_verwässert!A$3:AK$103,13,FALSE)&lt;&gt;"",IF(VLOOKUP(A35,Ergebnis_je_Aktie_verwässert!A$3:AK$103,13,FALSE)&lt;=0,2,IF(VLOOKUP(A35,Dividende_je_Aktie!A$3:AM$103,13,FALSE)/VLOOKUP(A35,Ergebnis_je_Aktie_verwässert!A$3:AK$103,13,FALSE)&gt;=2,2,VLOOKUP(A35,Dividende_je_Aktie!A$3:AM$103,13,FALSE)/VLOOKUP(A35,Ergebnis_je_Aktie_verwässert!A$3:AK$103,13,FALSE))),""),"")</f>
        <v>0.49593495934959347</v>
      </c>
      <c r="AB35" s="71">
        <f>IF(VLOOKUP(A35,Dividende_je_Aktie!A$3:AM$103,14,FALSE)&lt;&gt;"",IF(VLOOKUP(A35,Ergebnis_je_Aktie_verwässert!A$3:AK$103,14,FALSE)&lt;&gt;"",IF(VLOOKUP(A35,Ergebnis_je_Aktie_verwässert!A$3:AK$103,14,FALSE)&lt;=0,2,IF(VLOOKUP(A35,Dividende_je_Aktie!A$3:AM$103,14,FALSE)/VLOOKUP(A35,Ergebnis_je_Aktie_verwässert!A$3:AK$103,14,FALSE)&gt;=2,2,VLOOKUP(A35,Dividende_je_Aktie!A$3:AM$103,14,FALSE)/VLOOKUP(A35,Ergebnis_je_Aktie_verwässert!A$3:AK$103,14,FALSE))),""),"")</f>
        <v>0.43396226415094341</v>
      </c>
      <c r="AC35" s="71">
        <f>IF(VLOOKUP(A35,Dividende_je_Aktie!A$3:AM$103,15,FALSE)&lt;&gt;"",IF(VLOOKUP(A35,Ergebnis_je_Aktie_verwässert!A$3:AK$103,15,FALSE)&lt;&gt;"",IF(VLOOKUP(A35,Ergebnis_je_Aktie_verwässert!A$3:AK$103,15,FALSE)&lt;=0,2,IF(VLOOKUP(A35,Dividende_je_Aktie!A$3:AM$103,15,FALSE)/VLOOKUP(A35,Ergebnis_je_Aktie_verwässert!A$3:AK$103,15,FALSE)&gt;=2,2,VLOOKUP(A35,Dividende_je_Aktie!A$3:AM$103,15,FALSE)/VLOOKUP(A35,Ergebnis_je_Aktie_verwässert!A$3:AK$103,15,FALSE))),""),"")</f>
        <v>0.60396039603960394</v>
      </c>
      <c r="AD35" s="71">
        <f>IF(VLOOKUP(A35,Dividende_je_Aktie!A$3:AM$103,16,FALSE)&lt;&gt;"",IF(VLOOKUP(A35,Ergebnis_je_Aktie_verwässert!A$3:AK$103,16,FALSE)&lt;&gt;"",IF(VLOOKUP(A35,Ergebnis_je_Aktie_verwässert!A$3:AK$103,16,FALSE)&lt;=0,2,IF(VLOOKUP(A35,Dividende_je_Aktie!A$3:AM$103,16,FALSE)/VLOOKUP(A35,Ergebnis_je_Aktie_verwässert!A$3:AK$103,16,FALSE)&gt;=2,2,VLOOKUP(A35,Dividende_je_Aktie!A$3:AM$103,16,FALSE)/VLOOKUP(A35,Ergebnis_je_Aktie_verwässert!A$3:AK$103,16,FALSE))),""),"")</f>
        <v>0.72093023255813959</v>
      </c>
      <c r="AE35" s="71">
        <f>IF(VLOOKUP(A35,Dividende_je_Aktie!A$3:AM$103,17,FALSE)&lt;&gt;"",IF(VLOOKUP(A35,Ergebnis_je_Aktie_verwässert!A$3:AK$103,17,FALSE)&lt;&gt;"",IF(VLOOKUP(A35,Ergebnis_je_Aktie_verwässert!A$3:AK$103,17,FALSE)&lt;=0,2,IF(VLOOKUP(A35,Dividende_je_Aktie!A$3:AM$103,17,FALSE)/VLOOKUP(A35,Ergebnis_je_Aktie_verwässert!A$3:AK$103,17,FALSE)&gt;=2,2,VLOOKUP(A35,Dividende_je_Aktie!A$3:AM$103,17,FALSE)/VLOOKUP(A35,Ergebnis_je_Aktie_verwässert!A$3:AK$103,17,FALSE))),""),"")</f>
        <v>0.52995391705069117</v>
      </c>
      <c r="AF35" s="71">
        <f>IF(VLOOKUP(A35,Dividende_je_Aktie!A$3:AM$103,18,FALSE)&lt;&gt;"",IF(VLOOKUP(A35,Ergebnis_je_Aktie_verwässert!A$3:AK$103,18,FALSE)&lt;&gt;"",IF(VLOOKUP(A35,Ergebnis_je_Aktie_verwässert!A$3:AK$103,18,FALSE)&lt;=0,2,IF(VLOOKUP(A35,Dividende_je_Aktie!A$3:AM$103,18,FALSE)/VLOOKUP(A35,Ergebnis_je_Aktie_verwässert!A$3:AK$103,18,FALSE)&gt;=2,2,VLOOKUP(A35,Dividende_je_Aktie!A$3:AM$103,18,FALSE)/VLOOKUP(A35,Ergebnis_je_Aktie_verwässert!A$3:AK$103,18,FALSE))),""),"")</f>
        <v>0.51500000000000001</v>
      </c>
      <c r="AG35" s="105">
        <f t="shared" si="1"/>
        <v>0.58347965099280719</v>
      </c>
      <c r="AH35" s="4">
        <f t="shared" ca="1" si="2"/>
        <v>0</v>
      </c>
      <c r="AI35" s="4">
        <f t="shared" ca="1" si="3"/>
        <v>108</v>
      </c>
      <c r="AJ35" s="4">
        <f t="shared" ca="1" si="4"/>
        <v>252</v>
      </c>
      <c r="AK35" s="10">
        <f t="shared" ca="1" si="5"/>
        <v>0.64320680178632772</v>
      </c>
      <c r="AL35" s="5">
        <f t="shared" ca="1" si="6"/>
        <v>0.10236372543908434</v>
      </c>
    </row>
    <row r="36" spans="1:38">
      <c r="A36" t="s">
        <v>46</v>
      </c>
      <c r="B36" t="s">
        <v>47</v>
      </c>
      <c r="C36" s="60">
        <v>31</v>
      </c>
      <c r="D36" s="60">
        <v>12</v>
      </c>
      <c r="E36" s="60">
        <v>2016</v>
      </c>
      <c r="F36" s="71">
        <f>IF(VLOOKUP(A36,Dividende_je_Aktie!A$3:AM$103,6,FALSE)&lt;&gt;"",IF(VLOOKUP(A36,Ergebnis_je_Aktie_verwässert!A$3:AK$103,6,FALSE)&lt;&gt;"",IF(VLOOKUP(A36,Ergebnis_je_Aktie_verwässert!A$3:AK$103,6,FALSE)&lt;=0,2,IF(VLOOKUP(A36,Dividende_je_Aktie!A$3:AM$103,6,FALSE)/VLOOKUP(A36,Ergebnis_je_Aktie_verwässert!A$3:AK$103,6,FALSE)&gt;=2,2,VLOOKUP(A36,Dividende_je_Aktie!A$3:AM$103,6,FALSE)/VLOOKUP(A36,Ergebnis_je_Aktie_verwässert!A$3:AK$103,6,FALSE))),""),"")</f>
        <v>0.38758169934640518</v>
      </c>
      <c r="G36" s="71">
        <f>IF(VLOOKUP(A36,Dividende_je_Aktie!A$3:AM$103,7,FALSE)&lt;&gt;"",IF(VLOOKUP(A36,Ergebnis_je_Aktie_verwässert!A$3:AK$103,7,FALSE)&lt;&gt;"",IF(VLOOKUP(A36,Ergebnis_je_Aktie_verwässert!A$3:AK$103,7,FALSE)&lt;=0,2,IF(VLOOKUP(A36,Dividende_je_Aktie!A$3:AM$103,7,FALSE)/VLOOKUP(A36,Ergebnis_je_Aktie_verwässert!A$3:AK$103,7,FALSE)&gt;=2,2,VLOOKUP(A36,Dividende_je_Aktie!A$3:AM$103,7,FALSE)/VLOOKUP(A36,Ergebnis_je_Aktie_verwässert!A$3:AK$103,7,FALSE))),""),"")</f>
        <v>0.41782945736434107</v>
      </c>
      <c r="H36" s="71">
        <f>IF(VLOOKUP(A36,Fiktive_Dividende!A$3:AM$103,14,FALSE)&lt;&gt;"",IF(VLOOKUP(A36,Ergebnis_je_Aktie_verwässert!A$3:AK$103,8,FALSE)&lt;&gt;"",IF(VLOOKUP(A36,Ergebnis_je_Aktie_verwässert!A$3:AK$103,8,FALSE)&lt;=0,2,IF(VLOOKUP(A36,Fiktive_Dividende!A$3:AM$103,14,FALSE)/VLOOKUP(A36,Ergebnis_je_Aktie_verwässert!A$3:AK$103,8,FALSE)&gt;=2,2,VLOOKUP(A36,Fiktive_Dividende!A$3:AM$103,14,FALSE)/VLOOKUP(A36,Ergebnis_je_Aktie_verwässert!A$3:AK$103,8,FALSE))),""),"")</f>
        <v>0.41626016260162602</v>
      </c>
      <c r="I36" s="71">
        <f>IF(VLOOKUP(A36,Fiktive_Dividende!A$3:AM$103,15,FALSE)&lt;&gt;"",IF(VLOOKUP(A36,Ergebnis_je_Aktie_verwässert!A$3:AK$103,9,FALSE)&lt;&gt;"",IF(VLOOKUP(A36,Ergebnis_je_Aktie_verwässert!A$3:AK$103,9,FALSE)&lt;=0,2,IF(VLOOKUP(A36,Fiktive_Dividende!A$3:AM$103,15,FALSE)/VLOOKUP(A36,Ergebnis_je_Aktie_verwässert!A$3:AK$103,9,FALSE)&gt;=2,2,VLOOKUP(A36,Fiktive_Dividende!A$3:AM$103,15,FALSE)/VLOOKUP(A36,Ergebnis_je_Aktie_verwässert!A$3:AK$103,9,FALSE))),""),"")</f>
        <v>0.55019977080080373</v>
      </c>
      <c r="J36" s="71">
        <f>IF(VLOOKUP(A36,Fiktive_Dividende!A$3:AM$103,16,FALSE)&lt;&gt;"",IF(VLOOKUP(A36,Ergebnis_je_Aktie_verwässert!A$3:AK$103,10,FALSE)&lt;&gt;"",IF(VLOOKUP(A36,Ergebnis_je_Aktie_verwässert!A$3:AK$103,10,FALSE)&lt;=0,2,IF(VLOOKUP(A36,Fiktive_Dividende!A$3:AM$103,16,FALSE)/VLOOKUP(A36,Ergebnis_je_Aktie_verwässert!A$3:AK$103,10,FALSE)&gt;=2,2,VLOOKUP(A36,Fiktive_Dividende!A$3:AM$103,16,FALSE)/VLOOKUP(A36,Ergebnis_je_Aktie_verwässert!A$3:AK$103,10,FALSE))),""),"")</f>
        <v>0.91570299418958034</v>
      </c>
      <c r="K36" s="71">
        <f>IF(VLOOKUP(A36,Fiktive_Dividende!A$3:AM$103,17,FALSE)&lt;&gt;"",IF(VLOOKUP(A36,Ergebnis_je_Aktie_verwässert!A$3:AK$103,11,FALSE)&lt;&gt;"",IF(VLOOKUP(A36,Ergebnis_je_Aktie_verwässert!A$3:AK$103,11,FALSE)&lt;=0,2,IF(VLOOKUP(A36,Fiktive_Dividende!A$3:AM$103,17,FALSE)/VLOOKUP(A36,Ergebnis_je_Aktie_verwässert!A$3:AK$103,11,FALSE)&gt;=2,2,VLOOKUP(A36,Fiktive_Dividende!A$3:AM$103,17,FALSE)/VLOOKUP(A36,Ergebnis_je_Aktie_verwässert!A$3:AK$103,11,FALSE))),""),"")</f>
        <v>0.95586471561329245</v>
      </c>
      <c r="L36" s="71">
        <f>IF(VLOOKUP(A36,Fiktive_Dividende!A$3:AM$103,18,FALSE)&lt;&gt;"",IF(VLOOKUP(A36,Ergebnis_je_Aktie_verwässert!A$3:AK$103,12,FALSE)&lt;&gt;"",IF(VLOOKUP(A36,Ergebnis_je_Aktie_verwässert!A$3:AK$103,12,FALSE)&lt;=0,2,IF(VLOOKUP(A36,Fiktive_Dividende!A$3:AM$103,18,FALSE)/VLOOKUP(A36,Ergebnis_je_Aktie_verwässert!A$3:AK$103,12,FALSE)&gt;=2,2,VLOOKUP(A36,Fiktive_Dividende!A$3:AM$103,18,FALSE)/VLOOKUP(A36,Ergebnis_je_Aktie_verwässert!A$3:AK$103,12,FALSE))),""),"")</f>
        <v>0.76111303966528432</v>
      </c>
      <c r="M36" s="71">
        <f>IF(VLOOKUP(A36,Fiktive_Dividende!A$3:AM$103,19,FALSE)&lt;&gt;"",IF(VLOOKUP(A36,Ergebnis_je_Aktie_verwässert!A$3:AK$103,13,FALSE)&lt;&gt;"",IF(VLOOKUP(A36,Ergebnis_je_Aktie_verwässert!A$3:AK$103,13,FALSE)&lt;=0,2,IF(VLOOKUP(A36,Fiktive_Dividende!A$3:AM$103,19,FALSE)/VLOOKUP(A36,Ergebnis_je_Aktie_verwässert!A$3:AK$103,13,FALSE)&gt;=2,2,VLOOKUP(A36,Fiktive_Dividende!A$3:AM$103,19,FALSE)/VLOOKUP(A36,Ergebnis_je_Aktie_verwässert!A$3:AK$103,13,FALSE))),""),"")</f>
        <v>0.91421146649474161</v>
      </c>
      <c r="N36" s="71">
        <f>IF(VLOOKUP(A36,Fiktive_Dividende!A$3:AM$103,20,FALSE)&lt;&gt;"",IF(VLOOKUP(A36,Ergebnis_je_Aktie_verwässert!A$3:AK$103,14,FALSE)&lt;&gt;"",IF(VLOOKUP(A36,Ergebnis_je_Aktie_verwässert!A$3:AK$103,14,FALSE)&lt;=0,2,IF(VLOOKUP(A36,Fiktive_Dividende!A$3:AM$103,20,FALSE)/VLOOKUP(A36,Ergebnis_je_Aktie_verwässert!A$3:AK$103,14,FALSE)&gt;=2,2,VLOOKUP(A36,Fiktive_Dividende!A$3:AM$103,20,FALSE)/VLOOKUP(A36,Ergebnis_je_Aktie_verwässert!A$3:AK$103,14,FALSE))),""),"")</f>
        <v>1.1241238486937379</v>
      </c>
      <c r="O36" s="71">
        <f>IF(VLOOKUP(A36,Fiktive_Dividende!A$3:AM$103,21,FALSE)&lt;&gt;"",IF(VLOOKUP(A36,Ergebnis_je_Aktie_verwässert!A$3:AK$103,15,FALSE)&lt;&gt;"",IF(VLOOKUP(A36,Ergebnis_je_Aktie_verwässert!A$3:AK$103,15,FALSE)&lt;=0,2,IF(VLOOKUP(A36,Fiktive_Dividende!A$3:AM$103,21,FALSE)/VLOOKUP(A36,Ergebnis_je_Aktie_verwässert!A$3:AK$103,15,FALSE)&gt;=2,2,VLOOKUP(A36,Fiktive_Dividende!A$3:AM$103,21,FALSE)/VLOOKUP(A36,Ergebnis_je_Aktie_verwässert!A$3:AK$103,15,FALSE))),""),"")</f>
        <v>0.55548665893493476</v>
      </c>
      <c r="P36" s="71">
        <f>IF(VLOOKUP(A36,Fiktive_Dividende!A$3:AM$103,22,FALSE)&lt;&gt;"",IF(VLOOKUP(A36,Ergebnis_je_Aktie_verwässert!A$3:AK$103,16,FALSE)&lt;&gt;"",IF(VLOOKUP(A36,Ergebnis_je_Aktie_verwässert!A$3:AK$103,16,FALSE)&lt;=0,2,IF(VLOOKUP(A36,Fiktive_Dividende!A$3:AM$103,22,FALSE)/VLOOKUP(A36,Ergebnis_je_Aktie_verwässert!A$3:AK$103,16,FALSE)&gt;=2,2,VLOOKUP(A36,Fiktive_Dividende!A$3:AM$103,22,FALSE)/VLOOKUP(A36,Ergebnis_je_Aktie_verwässert!A$3:AK$103,16,FALSE))),""),"")</f>
        <v>0.53653216829594041</v>
      </c>
      <c r="Q36" s="71">
        <f>IF(VLOOKUP(A36,Fiktive_Dividende!A$3:AM$103,23,FALSE)&lt;&gt;"",IF(VLOOKUP(A36,Ergebnis_je_Aktie_verwässert!A$3:AK$103,17,FALSE)&lt;&gt;"",IF(VLOOKUP(A36,Ergebnis_je_Aktie_verwässert!A$3:AK$103,17,FALSE)&lt;=0,2,IF(VLOOKUP(A36,Fiktive_Dividende!A$3:AM$103,23,FALSE)/VLOOKUP(A36,Ergebnis_je_Aktie_verwässert!A$3:AK$103,17,FALSE)&gt;=2,2,VLOOKUP(A36,Fiktive_Dividende!A$3:AM$103,23,FALSE)/VLOOKUP(A36,Ergebnis_je_Aktie_verwässert!A$3:AK$103,17,FALSE))),""),"")</f>
        <v>1.5351206218637812</v>
      </c>
      <c r="R36" s="71">
        <f>IF(VLOOKUP(A36,Fiktive_Dividende!A$3:AM$103,24,FALSE)&lt;&gt;"",IF(VLOOKUP(A36,Ergebnis_je_Aktie_verwässert!A$3:AK$103,18,FALSE)&lt;&gt;"",IF(VLOOKUP(A36,Ergebnis_je_Aktie_verwässert!A$3:AK$103,18,FALSE)&lt;=0,2,IF(VLOOKUP(A36,Fiktive_Dividende!A$3:AM$103,24,FALSE)/VLOOKUP(A36,Ergebnis_je_Aktie_verwässert!A$3:AK$103,18,FALSE)&gt;=2,2,VLOOKUP(A36,Fiktive_Dividende!A$3:AM$103,24,FALSE)/VLOOKUP(A36,Ergebnis_je_Aktie_verwässert!A$3:AK$103,18,FALSE))),""),"")</f>
        <v>0.88825090114110139</v>
      </c>
      <c r="S36" s="105">
        <f t="shared" ref="S36:S67" si="7">AVERAGE(F36:R36)</f>
        <v>0.76602134653888987</v>
      </c>
      <c r="T36" s="71">
        <f>IF(VLOOKUP(A36,Dividende_je_Aktie!A$3:AM$103,6,FALSE)&lt;&gt;"",IF(VLOOKUP(A36,Ergebnis_je_Aktie_verwässert!A$3:AK$103,6,FALSE)&lt;&gt;"",IF(VLOOKUP(A36,Ergebnis_je_Aktie_verwässert!A$3:AK$103,6,FALSE)&lt;=0,2,IF(VLOOKUP(A36,Dividende_je_Aktie!A$3:AM$103,6,FALSE)/VLOOKUP(A36,Ergebnis_je_Aktie_verwässert!A$3:AK$103,6,FALSE)&gt;=2,2,VLOOKUP(A36,Dividende_je_Aktie!A$3:AM$103,6,FALSE)/VLOOKUP(A36,Ergebnis_je_Aktie_verwässert!A$3:AK$103,6,FALSE))),""),"")</f>
        <v>0.38758169934640518</v>
      </c>
      <c r="U36" s="71">
        <f>IF(VLOOKUP(A36,Dividende_je_Aktie!A$3:AM$103,7,FALSE)&lt;&gt;"",IF(VLOOKUP(A36,Ergebnis_je_Aktie_verwässert!A$3:AK$103,7,FALSE)&lt;&gt;"",IF(VLOOKUP(A36,Ergebnis_je_Aktie_verwässert!A$3:AK$103,7,FALSE)&lt;=0,2,IF(VLOOKUP(A36,Dividende_je_Aktie!A$3:AM$103,7,FALSE)/VLOOKUP(A36,Ergebnis_je_Aktie_verwässert!A$3:AK$103,7,FALSE)&gt;=2,2,VLOOKUP(A36,Dividende_je_Aktie!A$3:AM$103,7,FALSE)/VLOOKUP(A36,Ergebnis_je_Aktie_verwässert!A$3:AK$103,7,FALSE))),""),"")</f>
        <v>0.41782945736434107</v>
      </c>
      <c r="V36" s="71">
        <f>IF(VLOOKUP(A36,Dividende_je_Aktie!A$3:AM$103,8,FALSE)&lt;&gt;"",IF(VLOOKUP(A36,Ergebnis_je_Aktie_verwässert!A$3:AK$103,8,FALSE)&lt;&gt;"",IF(VLOOKUP(A36,Ergebnis_je_Aktie_verwässert!A$3:AK$103,8,FALSE)&lt;=0,2,IF(VLOOKUP(A36,Dividende_je_Aktie!A$3:AM$103,8,FALSE)/VLOOKUP(A36,Ergebnis_je_Aktie_verwässert!A$3:AK$103,8,FALSE)&gt;=2,2,VLOOKUP(A36,Dividende_je_Aktie!A$3:AM$103,8,FALSE)/VLOOKUP(A36,Ergebnis_je_Aktie_verwässert!A$3:AK$103,8,FALSE))),""),"")</f>
        <v>0.41626016260162602</v>
      </c>
      <c r="W36" s="71">
        <f>IF(VLOOKUP(A36,Dividende_je_Aktie!A$3:AM$103,9,FALSE)&lt;&gt;"",IF(VLOOKUP(A36,Ergebnis_je_Aktie_verwässert!A$3:AK$103,9,FALSE)&lt;&gt;"",IF(VLOOKUP(A36,Ergebnis_je_Aktie_verwässert!A$3:AK$103,9,FALSE)&lt;=0,2,IF(VLOOKUP(A36,Dividende_je_Aktie!A$3:AM$103,9,FALSE)/VLOOKUP(A36,Ergebnis_je_Aktie_verwässert!A$3:AK$103,9,FALSE)&gt;=2,2,VLOOKUP(A36,Dividende_je_Aktie!A$3:AM$103,9,FALSE)/VLOOKUP(A36,Ergebnis_je_Aktie_verwässert!A$3:AK$103,9,FALSE))),""),"")</f>
        <v>0.34843205574912894</v>
      </c>
      <c r="X36" s="71">
        <f>IF(VLOOKUP(A36,Dividende_je_Aktie!A$3:AM$103,10,FALSE)&lt;&gt;"",IF(VLOOKUP(A36,Ergebnis_je_Aktie_verwässert!A$3:AK$103,10,FALSE)&lt;&gt;"",IF(VLOOKUP(A36,Ergebnis_je_Aktie_verwässert!A$3:AK$103,10,FALSE)&lt;=0,2,IF(VLOOKUP(A36,Dividende_je_Aktie!A$3:AM$103,10,FALSE)/VLOOKUP(A36,Ergebnis_je_Aktie_verwässert!A$3:AK$103,10,FALSE)&gt;=2,2,VLOOKUP(A36,Dividende_je_Aktie!A$3:AM$103,10,FALSE)/VLOOKUP(A36,Ergebnis_je_Aktie_verwässert!A$3:AK$103,10,FALSE))),""),"")</f>
        <v>0.26780088216761189</v>
      </c>
      <c r="Y36" s="71">
        <f>IF(VLOOKUP(A36,Dividende_je_Aktie!A$3:AM$103,11,FALSE)&lt;&gt;"",IF(VLOOKUP(A36,Ergebnis_je_Aktie_verwässert!A$3:AK$103,11,FALSE)&lt;&gt;"",IF(VLOOKUP(A36,Ergebnis_je_Aktie_verwässert!A$3:AK$103,11,FALSE)&lt;=0,2,IF(VLOOKUP(A36,Dividende_je_Aktie!A$3:AM$103,11,FALSE)/VLOOKUP(A36,Ergebnis_je_Aktie_verwässert!A$3:AK$103,11,FALSE)&gt;=2,2,VLOOKUP(A36,Dividende_je_Aktie!A$3:AM$103,11,FALSE)/VLOOKUP(A36,Ergebnis_je_Aktie_verwässert!A$3:AK$103,11,FALSE))),""),"")</f>
        <v>0.2371794871794872</v>
      </c>
      <c r="Z36" s="71">
        <f>IF(VLOOKUP(A36,Dividende_je_Aktie!A$3:AM$103,12,FALSE)&lt;&gt;"",IF(VLOOKUP(A36,Ergebnis_je_Aktie_verwässert!A$3:AK$103,12,FALSE)&lt;&gt;"",IF(VLOOKUP(A36,Ergebnis_je_Aktie_verwässert!A$3:AK$103,12,FALSE)&lt;=0,2,IF(VLOOKUP(A36,Dividende_je_Aktie!A$3:AM$103,12,FALSE)/VLOOKUP(A36,Ergebnis_je_Aktie_verwässert!A$3:AK$103,12,FALSE)&gt;=2,2,VLOOKUP(A36,Dividende_je_Aktie!A$3:AM$103,12,FALSE)/VLOOKUP(A36,Ergebnis_je_Aktie_verwässert!A$3:AK$103,12,FALSE))),""),"")</f>
        <v>0.22448979591836735</v>
      </c>
      <c r="AA36" s="71">
        <f>IF(VLOOKUP(A36,Dividende_je_Aktie!A$3:AM$103,13,FALSE)&lt;&gt;"",IF(VLOOKUP(A36,Ergebnis_je_Aktie_verwässert!A$3:AK$103,13,FALSE)&lt;&gt;"",IF(VLOOKUP(A36,Ergebnis_je_Aktie_verwässert!A$3:AK$103,13,FALSE)&lt;=0,2,IF(VLOOKUP(A36,Dividende_je_Aktie!A$3:AM$103,13,FALSE)/VLOOKUP(A36,Ergebnis_je_Aktie_verwässert!A$3:AK$103,13,FALSE)&gt;=2,2,VLOOKUP(A36,Dividende_je_Aktie!A$3:AM$103,13,FALSE)/VLOOKUP(A36,Ergebnis_je_Aktie_verwässert!A$3:AK$103,13,FALSE))),""),"")</f>
        <v>0.22256331542594016</v>
      </c>
      <c r="AB36" s="71">
        <f>IF(VLOOKUP(A36,Dividende_je_Aktie!A$3:AM$103,14,FALSE)&lt;&gt;"",IF(VLOOKUP(A36,Ergebnis_je_Aktie_verwässert!A$3:AK$103,14,FALSE)&lt;&gt;"",IF(VLOOKUP(A36,Ergebnis_je_Aktie_verwässert!A$3:AK$103,14,FALSE)&lt;=0,2,IF(VLOOKUP(A36,Dividende_je_Aktie!A$3:AM$103,14,FALSE)/VLOOKUP(A36,Ergebnis_je_Aktie_verwässert!A$3:AK$103,14,FALSE)&gt;=2,2,VLOOKUP(A36,Dividende_je_Aktie!A$3:AM$103,14,FALSE)/VLOOKUP(A36,Ergebnis_je_Aktie_verwässert!A$3:AK$103,14,FALSE))),""),"")</f>
        <v>0.22084805653710246</v>
      </c>
      <c r="AC36" s="71">
        <f>IF(VLOOKUP(A36,Dividende_je_Aktie!A$3:AM$103,15,FALSE)&lt;&gt;"",IF(VLOOKUP(A36,Ergebnis_je_Aktie_verwässert!A$3:AK$103,15,FALSE)&lt;&gt;"",IF(VLOOKUP(A36,Ergebnis_je_Aktie_verwässert!A$3:AK$103,15,FALSE)&lt;=0,2,IF(VLOOKUP(A36,Dividende_je_Aktie!A$3:AM$103,15,FALSE)/VLOOKUP(A36,Ergebnis_je_Aktie_verwässert!A$3:AK$103,15,FALSE)&gt;=2,2,VLOOKUP(A36,Dividende_je_Aktie!A$3:AM$103,15,FALSE)/VLOOKUP(A36,Ergebnis_je_Aktie_verwässert!A$3:AK$103,15,FALSE))),""),"")</f>
        <v>0.21478521478521478</v>
      </c>
      <c r="AD36" s="71">
        <f>IF(VLOOKUP(A36,Dividende_je_Aktie!A$3:AM$103,16,FALSE)&lt;&gt;"",IF(VLOOKUP(A36,Ergebnis_je_Aktie_verwässert!A$3:AK$103,16,FALSE)&lt;&gt;"",IF(VLOOKUP(A36,Ergebnis_je_Aktie_verwässert!A$3:AK$103,16,FALSE)&lt;=0,2,IF(VLOOKUP(A36,Dividende_je_Aktie!A$3:AM$103,16,FALSE)/VLOOKUP(A36,Ergebnis_je_Aktie_verwässert!A$3:AK$103,16,FALSE)&gt;=2,2,VLOOKUP(A36,Dividende_je_Aktie!A$3:AM$103,16,FALSE)/VLOOKUP(A36,Ergebnis_je_Aktie_verwässert!A$3:AK$103,16,FALSE))),""),"")</f>
        <v>0.21276595744680851</v>
      </c>
      <c r="AE36" s="71">
        <f>IF(VLOOKUP(A36,Dividende_je_Aktie!A$3:AM$103,17,FALSE)&lt;&gt;"",IF(VLOOKUP(A36,Ergebnis_je_Aktie_verwässert!A$3:AK$103,17,FALSE)&lt;&gt;"",IF(VLOOKUP(A36,Ergebnis_je_Aktie_verwässert!A$3:AK$103,17,FALSE)&lt;=0,2,IF(VLOOKUP(A36,Dividende_je_Aktie!A$3:AM$103,17,FALSE)/VLOOKUP(A36,Ergebnis_je_Aktie_verwässert!A$3:AK$103,17,FALSE)&gt;=2,2,VLOOKUP(A36,Dividende_je_Aktie!A$3:AM$103,17,FALSE)/VLOOKUP(A36,Ergebnis_je_Aktie_verwässert!A$3:AK$103,17,FALSE))),""),"")</f>
        <v>0.20891364902506965</v>
      </c>
      <c r="AF36" s="71">
        <f>IF(VLOOKUP(A36,Dividende_je_Aktie!A$3:AM$103,18,FALSE)&lt;&gt;"",IF(VLOOKUP(A36,Ergebnis_je_Aktie_verwässert!A$3:AK$103,18,FALSE)&lt;&gt;"",IF(VLOOKUP(A36,Ergebnis_je_Aktie_verwässert!A$3:AK$103,18,FALSE)&lt;=0,2,IF(VLOOKUP(A36,Dividende_je_Aktie!A$3:AM$103,18,FALSE)/VLOOKUP(A36,Ergebnis_je_Aktie_verwässert!A$3:AK$103,18,FALSE)&gt;=2,2,VLOOKUP(A36,Dividende_je_Aktie!A$3:AM$103,18,FALSE)/VLOOKUP(A36,Ergebnis_je_Aktie_verwässert!A$3:AK$103,18,FALSE))),""),"")</f>
        <v>0.18003273322422259</v>
      </c>
      <c r="AG36" s="105">
        <f t="shared" ref="AG36:AG67" si="8">AVERAGE(T36:AF36)</f>
        <v>0.27380634359779427</v>
      </c>
      <c r="AH36" s="4">
        <f t="shared" ref="AH36:AH67" ca="1" si="9">IF(DAYS360(TODAY(),DATE(E36+2,D36,C36))&gt;=720,0,360-AI36)</f>
        <v>0</v>
      </c>
      <c r="AI36" s="4">
        <f t="shared" ref="AI36:AI67" ca="1" si="10">IF(DAYS360(TODAY(),DATE(E36+1,D36,C36))&lt;=360,DAYS360(TODAY(),DATE(E36+1,D36,C36)),360-AJ36)</f>
        <v>108</v>
      </c>
      <c r="AJ36" s="4">
        <f t="shared" ref="AJ36:AJ67" ca="1" si="11">IF(DATE(E36,D36,C36)&lt;=TODAY(),0,DAYS360(TODAY(),DATE(E36,D36,C36)))</f>
        <v>252</v>
      </c>
      <c r="AK36" s="10">
        <f t="shared" ref="AK36:AK67" ca="1" si="12">IF(AH36&gt;0,(T36/360*AH36)+(U36/360*AI36)+(V36/360*AJ36),(U36/360*AI36)+(V36/360*AJ36))</f>
        <v>0.41673095103044056</v>
      </c>
      <c r="AL36" s="5">
        <f t="shared" ref="AL36:AL67" ca="1" si="13">IF(AG36=0,0,(AK36/AG36)-1)</f>
        <v>0.5219915855660171</v>
      </c>
    </row>
    <row r="37" spans="1:38">
      <c r="A37" t="s">
        <v>48</v>
      </c>
      <c r="B37" t="s">
        <v>49</v>
      </c>
      <c r="C37" s="60">
        <v>31</v>
      </c>
      <c r="D37" s="60">
        <v>12</v>
      </c>
      <c r="E37" s="60">
        <v>2016</v>
      </c>
      <c r="F37" s="71">
        <f>IF(VLOOKUP(A37,Dividende_je_Aktie!A$3:AM$103,6,FALSE)&lt;&gt;"",IF(VLOOKUP(A37,Ergebnis_je_Aktie_verwässert!A$3:AK$103,6,FALSE)&lt;&gt;"",IF(VLOOKUP(A37,Ergebnis_je_Aktie_verwässert!A$3:AK$103,6,FALSE)&lt;=0,2,IF(VLOOKUP(A37,Dividende_je_Aktie!A$3:AM$103,6,FALSE)/VLOOKUP(A37,Ergebnis_je_Aktie_verwässert!A$3:AK$103,6,FALSE)&gt;=2,2,VLOOKUP(A37,Dividende_je_Aktie!A$3:AM$103,6,FALSE)/VLOOKUP(A37,Ergebnis_je_Aktie_verwässert!A$3:AK$103,6,FALSE))),""),"")</f>
        <v>0.49855491329479773</v>
      </c>
      <c r="G37" s="71">
        <f>IF(VLOOKUP(A37,Dividende_je_Aktie!A$3:AM$103,7,FALSE)&lt;&gt;"",IF(VLOOKUP(A37,Ergebnis_je_Aktie_verwässert!A$3:AK$103,7,FALSE)&lt;&gt;"",IF(VLOOKUP(A37,Ergebnis_je_Aktie_verwässert!A$3:AK$103,7,FALSE)&lt;=0,2,IF(VLOOKUP(A37,Dividende_je_Aktie!A$3:AM$103,7,FALSE)/VLOOKUP(A37,Ergebnis_je_Aktie_verwässert!A$3:AK$103,7,FALSE)&gt;=2,2,VLOOKUP(A37,Dividende_je_Aktie!A$3:AM$103,7,FALSE)/VLOOKUP(A37,Ergebnis_je_Aktie_verwässert!A$3:AK$103,7,FALSE))),""),"")</f>
        <v>0.50154798761609909</v>
      </c>
      <c r="H37" s="71">
        <f>IF(VLOOKUP(A37,Fiktive_Dividende!A$3:AM$103,14,FALSE)&lt;&gt;"",IF(VLOOKUP(A37,Ergebnis_je_Aktie_verwässert!A$3:AK$103,8,FALSE)&lt;&gt;"",IF(VLOOKUP(A37,Ergebnis_je_Aktie_verwässert!A$3:AK$103,8,FALSE)&lt;=0,2,IF(VLOOKUP(A37,Fiktive_Dividende!A$3:AM$103,14,FALSE)/VLOOKUP(A37,Ergebnis_je_Aktie_verwässert!A$3:AK$103,8,FALSE)&gt;=2,2,VLOOKUP(A37,Fiktive_Dividende!A$3:AM$103,14,FALSE)/VLOOKUP(A37,Ergebnis_je_Aktie_verwässert!A$3:AK$103,8,FALSE))),""),"")</f>
        <v>0.51252086811352249</v>
      </c>
      <c r="I37" s="71">
        <f>IF(VLOOKUP(A37,Fiktive_Dividende!A$3:AM$103,15,FALSE)&lt;&gt;"",IF(VLOOKUP(A37,Ergebnis_je_Aktie_verwässert!A$3:AK$103,9,FALSE)&lt;&gt;"",IF(VLOOKUP(A37,Ergebnis_je_Aktie_verwässert!A$3:AK$103,9,FALSE)&lt;=0,2,IF(VLOOKUP(A37,Fiktive_Dividende!A$3:AM$103,15,FALSE)/VLOOKUP(A37,Ergebnis_je_Aktie_verwässert!A$3:AK$103,9,FALSE)&gt;=2,2,VLOOKUP(A37,Fiktive_Dividende!A$3:AM$103,15,FALSE)/VLOOKUP(A37,Ergebnis_je_Aktie_verwässert!A$3:AK$103,9,FALSE))),""),"")</f>
        <v>0.68743170764468298</v>
      </c>
      <c r="J37" s="71">
        <f>IF(VLOOKUP(A37,Fiktive_Dividende!A$3:AM$103,16,FALSE)&lt;&gt;"",IF(VLOOKUP(A37,Ergebnis_je_Aktie_verwässert!A$3:AK$103,10,FALSE)&lt;&gt;"",IF(VLOOKUP(A37,Ergebnis_je_Aktie_verwässert!A$3:AK$103,10,FALSE)&lt;=0,2,IF(VLOOKUP(A37,Fiktive_Dividende!A$3:AM$103,16,FALSE)/VLOOKUP(A37,Ergebnis_je_Aktie_verwässert!A$3:AK$103,10,FALSE)&gt;=2,2,VLOOKUP(A37,Fiktive_Dividende!A$3:AM$103,16,FALSE)/VLOOKUP(A37,Ergebnis_je_Aktie_verwässert!A$3:AK$103,10,FALSE))),""),"")</f>
        <v>0.70147961029244921</v>
      </c>
      <c r="K37" s="71">
        <f>IF(VLOOKUP(A37,Fiktive_Dividende!A$3:AM$103,17,FALSE)&lt;&gt;"",IF(VLOOKUP(A37,Ergebnis_je_Aktie_verwässert!A$3:AK$103,11,FALSE)&lt;&gt;"",IF(VLOOKUP(A37,Ergebnis_je_Aktie_verwässert!A$3:AK$103,11,FALSE)&lt;=0,2,IF(VLOOKUP(A37,Fiktive_Dividende!A$3:AM$103,17,FALSE)/VLOOKUP(A37,Ergebnis_je_Aktie_verwässert!A$3:AK$103,11,FALSE)&gt;=2,2,VLOOKUP(A37,Fiktive_Dividende!A$3:AM$103,17,FALSE)/VLOOKUP(A37,Ergebnis_je_Aktie_verwässert!A$3:AK$103,11,FALSE))),""),"")</f>
        <v>0.45598591549295775</v>
      </c>
      <c r="L37" s="71">
        <f>IF(VLOOKUP(A37,Fiktive_Dividende!A$3:AM$103,18,FALSE)&lt;&gt;"",IF(VLOOKUP(A37,Ergebnis_je_Aktie_verwässert!A$3:AK$103,12,FALSE)&lt;&gt;"",IF(VLOOKUP(A37,Ergebnis_je_Aktie_verwässert!A$3:AK$103,12,FALSE)&lt;=0,2,IF(VLOOKUP(A37,Fiktive_Dividende!A$3:AM$103,18,FALSE)/VLOOKUP(A37,Ergebnis_je_Aktie_verwässert!A$3:AK$103,12,FALSE)&gt;=2,2,VLOOKUP(A37,Fiktive_Dividende!A$3:AM$103,18,FALSE)/VLOOKUP(A37,Ergebnis_je_Aktie_verwässert!A$3:AK$103,12,FALSE))),""),"")</f>
        <v>0.47058823529411764</v>
      </c>
      <c r="M37" s="71">
        <f>IF(VLOOKUP(A37,Fiktive_Dividende!A$3:AM$103,19,FALSE)&lt;&gt;"",IF(VLOOKUP(A37,Ergebnis_je_Aktie_verwässert!A$3:AK$103,13,FALSE)&lt;&gt;"",IF(VLOOKUP(A37,Ergebnis_je_Aktie_verwässert!A$3:AK$103,13,FALSE)&lt;=0,2,IF(VLOOKUP(A37,Fiktive_Dividende!A$3:AM$103,19,FALSE)/VLOOKUP(A37,Ergebnis_je_Aktie_verwässert!A$3:AK$103,13,FALSE)&gt;=2,2,VLOOKUP(A37,Fiktive_Dividende!A$3:AM$103,19,FALSE)/VLOOKUP(A37,Ergebnis_je_Aktie_verwässert!A$3:AK$103,13,FALSE))),""),"")</f>
        <v>0.51740969162995598</v>
      </c>
      <c r="N37" s="71">
        <f>IF(VLOOKUP(A37,Fiktive_Dividende!A$3:AM$103,20,FALSE)&lt;&gt;"",IF(VLOOKUP(A37,Ergebnis_je_Aktie_verwässert!A$3:AK$103,14,FALSE)&lt;&gt;"",IF(VLOOKUP(A37,Ergebnis_je_Aktie_verwässert!A$3:AK$103,14,FALSE)&lt;=0,2,IF(VLOOKUP(A37,Fiktive_Dividende!A$3:AM$103,20,FALSE)/VLOOKUP(A37,Ergebnis_je_Aktie_verwässert!A$3:AK$103,14,FALSE)&gt;=2,2,VLOOKUP(A37,Fiktive_Dividende!A$3:AM$103,20,FALSE)/VLOOKUP(A37,Ergebnis_je_Aktie_verwässert!A$3:AK$103,14,FALSE))),""),"")</f>
        <v>0.51920834075047118</v>
      </c>
      <c r="O37" s="71">
        <f>IF(VLOOKUP(A37,Fiktive_Dividende!A$3:AM$103,21,FALSE)&lt;&gt;"",IF(VLOOKUP(A37,Ergebnis_je_Aktie_verwässert!A$3:AK$103,15,FALSE)&lt;&gt;"",IF(VLOOKUP(A37,Ergebnis_je_Aktie_verwässert!A$3:AK$103,15,FALSE)&lt;=0,2,IF(VLOOKUP(A37,Fiktive_Dividende!A$3:AM$103,21,FALSE)/VLOOKUP(A37,Ergebnis_je_Aktie_verwässert!A$3:AK$103,15,FALSE)&gt;=2,2,VLOOKUP(A37,Fiktive_Dividende!A$3:AM$103,21,FALSE)/VLOOKUP(A37,Ergebnis_je_Aktie_verwässert!A$3:AK$103,15,FALSE))),""),"")</f>
        <v>0.49261706122333737</v>
      </c>
      <c r="P37" s="71">
        <f>IF(VLOOKUP(A37,Fiktive_Dividende!A$3:AM$103,22,FALSE)&lt;&gt;"",IF(VLOOKUP(A37,Ergebnis_je_Aktie_verwässert!A$3:AK$103,16,FALSE)&lt;&gt;"",IF(VLOOKUP(A37,Ergebnis_je_Aktie_verwässert!A$3:AK$103,16,FALSE)&lt;=0,2,IF(VLOOKUP(A37,Fiktive_Dividende!A$3:AM$103,22,FALSE)/VLOOKUP(A37,Ergebnis_je_Aktie_verwässert!A$3:AK$103,16,FALSE)&gt;=2,2,VLOOKUP(A37,Fiktive_Dividende!A$3:AM$103,22,FALSE)/VLOOKUP(A37,Ergebnis_je_Aktie_verwässert!A$3:AK$103,16,FALSE))),""),"")</f>
        <v>0.73167089320935486</v>
      </c>
      <c r="Q37" s="71">
        <f>IF(VLOOKUP(A37,Fiktive_Dividende!A$3:AM$103,23,FALSE)&lt;&gt;"",IF(VLOOKUP(A37,Ergebnis_je_Aktie_verwässert!A$3:AK$103,17,FALSE)&lt;&gt;"",IF(VLOOKUP(A37,Ergebnis_je_Aktie_verwässert!A$3:AK$103,17,FALSE)&lt;=0,2,IF(VLOOKUP(A37,Fiktive_Dividende!A$3:AM$103,23,FALSE)/VLOOKUP(A37,Ergebnis_je_Aktie_verwässert!A$3:AK$103,17,FALSE)&gt;=2,2,VLOOKUP(A37,Fiktive_Dividende!A$3:AM$103,23,FALSE)/VLOOKUP(A37,Ergebnis_je_Aktie_verwässert!A$3:AK$103,17,FALSE))),""),"")</f>
        <v>0.69030205328355676</v>
      </c>
      <c r="R37" s="71">
        <f>IF(VLOOKUP(A37,Fiktive_Dividende!A$3:AM$103,24,FALSE)&lt;&gt;"",IF(VLOOKUP(A37,Ergebnis_je_Aktie_verwässert!A$3:AK$103,18,FALSE)&lt;&gt;"",IF(VLOOKUP(A37,Ergebnis_je_Aktie_verwässert!A$3:AK$103,18,FALSE)&lt;=0,2,IF(VLOOKUP(A37,Fiktive_Dividende!A$3:AM$103,24,FALSE)/VLOOKUP(A37,Ergebnis_je_Aktie_verwässert!A$3:AK$103,18,FALSE)&gt;=2,2,VLOOKUP(A37,Fiktive_Dividende!A$3:AM$103,24,FALSE)/VLOOKUP(A37,Ergebnis_je_Aktie_verwässert!A$3:AK$103,18,FALSE))),""),"")</f>
        <v>0.88510371696905965</v>
      </c>
      <c r="S37" s="105">
        <f t="shared" si="7"/>
        <v>0.58957084575495111</v>
      </c>
      <c r="T37" s="71">
        <f>IF(VLOOKUP(A37,Dividende_je_Aktie!A$3:AM$103,6,FALSE)&lt;&gt;"",IF(VLOOKUP(A37,Ergebnis_je_Aktie_verwässert!A$3:AK$103,6,FALSE)&lt;&gt;"",IF(VLOOKUP(A37,Ergebnis_je_Aktie_verwässert!A$3:AK$103,6,FALSE)&lt;=0,2,IF(VLOOKUP(A37,Dividende_je_Aktie!A$3:AM$103,6,FALSE)/VLOOKUP(A37,Ergebnis_je_Aktie_verwässert!A$3:AK$103,6,FALSE)&gt;=2,2,VLOOKUP(A37,Dividende_je_Aktie!A$3:AM$103,6,FALSE)/VLOOKUP(A37,Ergebnis_je_Aktie_verwässert!A$3:AK$103,6,FALSE))),""),"")</f>
        <v>0.49855491329479773</v>
      </c>
      <c r="U37" s="71">
        <f>IF(VLOOKUP(A37,Dividende_je_Aktie!A$3:AM$103,7,FALSE)&lt;&gt;"",IF(VLOOKUP(A37,Ergebnis_je_Aktie_verwässert!A$3:AK$103,7,FALSE)&lt;&gt;"",IF(VLOOKUP(A37,Ergebnis_je_Aktie_verwässert!A$3:AK$103,7,FALSE)&lt;=0,2,IF(VLOOKUP(A37,Dividende_je_Aktie!A$3:AM$103,7,FALSE)/VLOOKUP(A37,Ergebnis_je_Aktie_verwässert!A$3:AK$103,7,FALSE)&gt;=2,2,VLOOKUP(A37,Dividende_je_Aktie!A$3:AM$103,7,FALSE)/VLOOKUP(A37,Ergebnis_je_Aktie_verwässert!A$3:AK$103,7,FALSE))),""),"")</f>
        <v>0.50154798761609909</v>
      </c>
      <c r="V37" s="71">
        <f>IF(VLOOKUP(A37,Dividende_je_Aktie!A$3:AM$103,8,FALSE)&lt;&gt;"",IF(VLOOKUP(A37,Ergebnis_je_Aktie_verwässert!A$3:AK$103,8,FALSE)&lt;&gt;"",IF(VLOOKUP(A37,Ergebnis_je_Aktie_verwässert!A$3:AK$103,8,FALSE)&lt;=0,2,IF(VLOOKUP(A37,Dividende_je_Aktie!A$3:AM$103,8,FALSE)/VLOOKUP(A37,Ergebnis_je_Aktie_verwässert!A$3:AK$103,8,FALSE)&gt;=2,2,VLOOKUP(A37,Dividende_je_Aktie!A$3:AM$103,8,FALSE)/VLOOKUP(A37,Ergebnis_je_Aktie_verwässert!A$3:AK$103,8,FALSE))),""),"")</f>
        <v>0.51252086811352249</v>
      </c>
      <c r="W37" s="71">
        <f>IF(VLOOKUP(A37,Dividende_je_Aktie!A$3:AM$103,9,FALSE)&lt;&gt;"",IF(VLOOKUP(A37,Ergebnis_je_Aktie_verwässert!A$3:AK$103,9,FALSE)&lt;&gt;"",IF(VLOOKUP(A37,Ergebnis_je_Aktie_verwässert!A$3:AK$103,9,FALSE)&lt;=0,2,IF(VLOOKUP(A37,Dividende_je_Aktie!A$3:AM$103,9,FALSE)/VLOOKUP(A37,Ergebnis_je_Aktie_verwässert!A$3:AK$103,9,FALSE)&gt;=2,2,VLOOKUP(A37,Dividende_je_Aktie!A$3:AM$103,9,FALSE)/VLOOKUP(A37,Ergebnis_je_Aktie_verwässert!A$3:AK$103,9,FALSE))),""),"")</f>
        <v>0.50774526678141141</v>
      </c>
      <c r="X37" s="71">
        <f>IF(VLOOKUP(A37,Dividende_je_Aktie!A$3:AM$103,10,FALSE)&lt;&gt;"",IF(VLOOKUP(A37,Ergebnis_je_Aktie_verwässert!A$3:AK$103,10,FALSE)&lt;&gt;"",IF(VLOOKUP(A37,Ergebnis_je_Aktie_verwässert!A$3:AK$103,10,FALSE)&lt;=0,2,IF(VLOOKUP(A37,Dividende_je_Aktie!A$3:AM$103,10,FALSE)/VLOOKUP(A37,Ergebnis_je_Aktie_verwässert!A$3:AK$103,10,FALSE)&gt;=2,2,VLOOKUP(A37,Dividende_je_Aktie!A$3:AM$103,10,FALSE)/VLOOKUP(A37,Ergebnis_je_Aktie_verwässert!A$3:AK$103,10,FALSE))),""),"")</f>
        <v>0.46231155778894473</v>
      </c>
      <c r="Y37" s="71">
        <f>IF(VLOOKUP(A37,Dividende_je_Aktie!A$3:AM$103,11,FALSE)&lt;&gt;"",IF(VLOOKUP(A37,Ergebnis_je_Aktie_verwässert!A$3:AK$103,11,FALSE)&lt;&gt;"",IF(VLOOKUP(A37,Ergebnis_je_Aktie_verwässert!A$3:AK$103,11,FALSE)&lt;=0,2,IF(VLOOKUP(A37,Dividende_je_Aktie!A$3:AM$103,11,FALSE)/VLOOKUP(A37,Ergebnis_je_Aktie_verwässert!A$3:AK$103,11,FALSE)&gt;=2,2,VLOOKUP(A37,Dividende_je_Aktie!A$3:AM$103,11,FALSE)/VLOOKUP(A37,Ergebnis_je_Aktie_verwässert!A$3:AK$103,11,FALSE))),""),"")</f>
        <v>0.45598591549295775</v>
      </c>
      <c r="Z37" s="71">
        <f>IF(VLOOKUP(A37,Dividende_je_Aktie!A$3:AM$103,12,FALSE)&lt;&gt;"",IF(VLOOKUP(A37,Ergebnis_je_Aktie_verwässert!A$3:AK$103,12,FALSE)&lt;&gt;"",IF(VLOOKUP(A37,Ergebnis_je_Aktie_verwässert!A$3:AK$103,12,FALSE)&lt;=0,2,IF(VLOOKUP(A37,Dividende_je_Aktie!A$3:AM$103,12,FALSE)/VLOOKUP(A37,Ergebnis_je_Aktie_verwässert!A$3:AK$103,12,FALSE)&gt;=2,2,VLOOKUP(A37,Dividende_je_Aktie!A$3:AM$103,12,FALSE)/VLOOKUP(A37,Ergebnis_je_Aktie_verwässert!A$3:AK$103,12,FALSE))),""),"")</f>
        <v>0.47058823529411764</v>
      </c>
      <c r="AA37" s="71">
        <f>IF(VLOOKUP(A37,Dividende_je_Aktie!A$3:AM$103,13,FALSE)&lt;&gt;"",IF(VLOOKUP(A37,Ergebnis_je_Aktie_verwässert!A$3:AK$103,13,FALSE)&lt;&gt;"",IF(VLOOKUP(A37,Ergebnis_je_Aktie_verwässert!A$3:AK$103,13,FALSE)&lt;=0,2,IF(VLOOKUP(A37,Dividende_je_Aktie!A$3:AM$103,13,FALSE)/VLOOKUP(A37,Ergebnis_je_Aktie_verwässert!A$3:AK$103,13,FALSE)&gt;=2,2,VLOOKUP(A37,Dividende_je_Aktie!A$3:AM$103,13,FALSE)/VLOOKUP(A37,Ergebnis_je_Aktie_verwässert!A$3:AK$103,13,FALSE))),""),"")</f>
        <v>0.45</v>
      </c>
      <c r="AB37" s="71">
        <f>IF(VLOOKUP(A37,Dividende_je_Aktie!A$3:AM$103,14,FALSE)&lt;&gt;"",IF(VLOOKUP(A37,Ergebnis_je_Aktie_verwässert!A$3:AK$103,14,FALSE)&lt;&gt;"",IF(VLOOKUP(A37,Ergebnis_je_Aktie_verwässert!A$3:AK$103,14,FALSE)&lt;=0,2,IF(VLOOKUP(A37,Dividende_je_Aktie!A$3:AM$103,14,FALSE)/VLOOKUP(A37,Ergebnis_je_Aktie_verwässert!A$3:AK$103,14,FALSE)&gt;=2,2,VLOOKUP(A37,Dividende_je_Aktie!A$3:AM$103,14,FALSE)/VLOOKUP(A37,Ergebnis_je_Aktie_verwässert!A$3:AK$103,14,FALSE))),""),"")</f>
        <v>0.44327731092436973</v>
      </c>
      <c r="AC37" s="71">
        <f>IF(VLOOKUP(A37,Dividende_je_Aktie!A$3:AM$103,15,FALSE)&lt;&gt;"",IF(VLOOKUP(A37,Ergebnis_je_Aktie_verwässert!A$3:AK$103,15,FALSE)&lt;&gt;"",IF(VLOOKUP(A37,Ergebnis_je_Aktie_verwässert!A$3:AK$103,15,FALSE)&lt;=0,2,IF(VLOOKUP(A37,Dividende_je_Aktie!A$3:AM$103,15,FALSE)/VLOOKUP(A37,Ergebnis_je_Aktie_verwässert!A$3:AK$103,15,FALSE)&gt;=2,2,VLOOKUP(A37,Dividende_je_Aktie!A$3:AM$103,15,FALSE)/VLOOKUP(A37,Ergebnis_je_Aktie_verwässert!A$3:AK$103,15,FALSE))),""),"")</f>
        <v>0.41684665226781858</v>
      </c>
      <c r="AD37" s="71">
        <f>IF(VLOOKUP(A37,Dividende_je_Aktie!A$3:AM$103,16,FALSE)&lt;&gt;"",IF(VLOOKUP(A37,Ergebnis_je_Aktie_verwässert!A$3:AK$103,16,FALSE)&lt;&gt;"",IF(VLOOKUP(A37,Ergebnis_je_Aktie_verwässert!A$3:AK$103,16,FALSE)&lt;=0,2,IF(VLOOKUP(A37,Dividende_je_Aktie!A$3:AM$103,16,FALSE)/VLOOKUP(A37,Ergebnis_je_Aktie_verwässert!A$3:AK$103,16,FALSE)&gt;=2,2,VLOOKUP(A37,Dividende_je_Aktie!A$3:AM$103,16,FALSE)/VLOOKUP(A37,Ergebnis_je_Aktie_verwässert!A$3:AK$103,16,FALSE))),""),"")</f>
        <v>0.39450549450549449</v>
      </c>
      <c r="AE37" s="71">
        <f>IF(VLOOKUP(A37,Dividende_je_Aktie!A$3:AM$103,17,FALSE)&lt;&gt;"",IF(VLOOKUP(A37,Ergebnis_je_Aktie_verwässert!A$3:AK$103,17,FALSE)&lt;&gt;"",IF(VLOOKUP(A37,Ergebnis_je_Aktie_verwässert!A$3:AK$103,17,FALSE)&lt;=0,2,IF(VLOOKUP(A37,Dividende_je_Aktie!A$3:AM$103,17,FALSE)/VLOOKUP(A37,Ergebnis_je_Aktie_verwässert!A$3:AK$103,17,FALSE)&gt;=2,2,VLOOKUP(A37,Dividende_je_Aktie!A$3:AM$103,17,FALSE)/VLOOKUP(A37,Ergebnis_je_Aktie_verwässert!A$3:AK$103,17,FALSE))),""),"")</f>
        <v>0.39036144578313253</v>
      </c>
      <c r="AF37" s="71">
        <f>IF(VLOOKUP(A37,Dividende_je_Aktie!A$3:AM$103,18,FALSE)&lt;&gt;"",IF(VLOOKUP(A37,Ergebnis_je_Aktie_verwässert!A$3:AK$103,18,FALSE)&lt;&gt;"",IF(VLOOKUP(A37,Ergebnis_je_Aktie_verwässert!A$3:AK$103,18,FALSE)&lt;=0,2,IF(VLOOKUP(A37,Dividende_je_Aktie!A$3:AM$103,18,FALSE)/VLOOKUP(A37,Ergebnis_je_Aktie_verwässert!A$3:AK$103,18,FALSE)&gt;=2,2,VLOOKUP(A37,Dividende_je_Aktie!A$3:AM$103,18,FALSE)/VLOOKUP(A37,Ergebnis_je_Aktie_verwässert!A$3:AK$103,18,FALSE))),""),"")</f>
        <v>0.38696808510638303</v>
      </c>
      <c r="AG37" s="105">
        <f t="shared" si="8"/>
        <v>0.4531702871514654</v>
      </c>
      <c r="AH37" s="4">
        <f t="shared" ca="1" si="9"/>
        <v>0</v>
      </c>
      <c r="AI37" s="4">
        <f t="shared" ca="1" si="10"/>
        <v>108</v>
      </c>
      <c r="AJ37" s="4">
        <f t="shared" ca="1" si="11"/>
        <v>252</v>
      </c>
      <c r="AK37" s="10">
        <f t="shared" ca="1" si="12"/>
        <v>0.50922900396429549</v>
      </c>
      <c r="AL37" s="5">
        <f t="shared" ca="1" si="13"/>
        <v>0.12370342540594081</v>
      </c>
    </row>
    <row r="38" spans="1:38">
      <c r="A38" t="s">
        <v>314</v>
      </c>
      <c r="B38" t="s">
        <v>315</v>
      </c>
      <c r="C38" s="104">
        <v>31</v>
      </c>
      <c r="D38" s="104">
        <v>12</v>
      </c>
      <c r="E38" s="60">
        <v>2016</v>
      </c>
      <c r="F38" s="71">
        <f>IF(VLOOKUP(A38,Dividende_je_Aktie!A$3:AM$103,6,FALSE)&lt;&gt;"",IF(VLOOKUP(A38,Ergebnis_je_Aktie_verwässert!A$3:AK$103,6,FALSE)&lt;&gt;"",IF(VLOOKUP(A38,Ergebnis_je_Aktie_verwässert!A$3:AK$103,6,FALSE)&lt;=0,2,IF(VLOOKUP(A38,Dividende_je_Aktie!A$3:AM$103,6,FALSE)/VLOOKUP(A38,Ergebnis_je_Aktie_verwässert!A$3:AK$103,6,FALSE)&gt;=2,2,VLOOKUP(A38,Dividende_je_Aktie!A$3:AM$103,6,FALSE)/VLOOKUP(A38,Ergebnis_je_Aktie_verwässert!A$3:AK$103,6,FALSE))),""),"")</f>
        <v>0.61951219512195133</v>
      </c>
      <c r="G38" s="71">
        <f>IF(VLOOKUP(A38,Dividende_je_Aktie!A$3:AM$103,7,FALSE)&lt;&gt;"",IF(VLOOKUP(A38,Ergebnis_je_Aktie_verwässert!A$3:AK$103,7,FALSE)&lt;&gt;"",IF(VLOOKUP(A38,Ergebnis_je_Aktie_verwässert!A$3:AK$103,7,FALSE)&lt;=0,2,IF(VLOOKUP(A38,Dividende_je_Aktie!A$3:AM$103,7,FALSE)/VLOOKUP(A38,Ergebnis_je_Aktie_verwässert!A$3:AK$103,7,FALSE)&gt;=2,2,VLOOKUP(A38,Dividende_je_Aktie!A$3:AM$103,7,FALSE)/VLOOKUP(A38,Ergebnis_je_Aktie_verwässert!A$3:AK$103,7,FALSE))),""),"")</f>
        <v>0.65498652291105131</v>
      </c>
      <c r="H38" s="71">
        <f>IF(VLOOKUP(A38,Fiktive_Dividende!A$3:AM$103,14,FALSE)&lt;&gt;"",IF(VLOOKUP(A38,Ergebnis_je_Aktie_verwässert!A$3:AK$103,8,FALSE)&lt;&gt;"",IF(VLOOKUP(A38,Ergebnis_je_Aktie_verwässert!A$3:AK$103,8,FALSE)&lt;=0,2,IF(VLOOKUP(A38,Fiktive_Dividende!A$3:AM$103,14,FALSE)/VLOOKUP(A38,Ergebnis_je_Aktie_verwässert!A$3:AK$103,8,FALSE)&gt;=2,2,VLOOKUP(A38,Fiktive_Dividende!A$3:AM$103,14,FALSE)/VLOOKUP(A38,Ergebnis_je_Aktie_verwässert!A$3:AK$103,8,FALSE))),""),"")</f>
        <v>0.81690140845070425</v>
      </c>
      <c r="I38" s="71">
        <f>IF(VLOOKUP(A38,Fiktive_Dividende!A$3:AM$103,15,FALSE)&lt;&gt;"",IF(VLOOKUP(A38,Ergebnis_je_Aktie_verwässert!A$3:AK$103,9,FALSE)&lt;&gt;"",IF(VLOOKUP(A38,Ergebnis_je_Aktie_verwässert!A$3:AK$103,9,FALSE)&lt;=0,2,IF(VLOOKUP(A38,Fiktive_Dividende!A$3:AM$103,15,FALSE)/VLOOKUP(A38,Ergebnis_je_Aktie_verwässert!A$3:AK$103,9,FALSE)&gt;=2,2,VLOOKUP(A38,Fiktive_Dividende!A$3:AM$103,15,FALSE)/VLOOKUP(A38,Ergebnis_je_Aktie_verwässert!A$3:AK$103,9,FALSE))),""),"")</f>
        <v>0.83333333333333326</v>
      </c>
      <c r="J38" s="71" t="str">
        <f>IF(VLOOKUP(A38,Fiktive_Dividende!A$3:AM$103,16,FALSE)&lt;&gt;"",IF(VLOOKUP(A38,Ergebnis_je_Aktie_verwässert!A$3:AK$103,10,FALSE)&lt;&gt;"",IF(VLOOKUP(A38,Ergebnis_je_Aktie_verwässert!A$3:AK$103,10,FALSE)&lt;=0,2,IF(VLOOKUP(A38,Fiktive_Dividende!A$3:AM$103,16,FALSE)/VLOOKUP(A38,Ergebnis_je_Aktie_verwässert!A$3:AK$103,10,FALSE)&gt;=2,2,VLOOKUP(A38,Fiktive_Dividende!A$3:AM$103,16,FALSE)/VLOOKUP(A38,Ergebnis_je_Aktie_verwässert!A$3:AK$103,10,FALSE))),""),"")</f>
        <v/>
      </c>
      <c r="K38" s="71" t="str">
        <f>IF(VLOOKUP(A38,Fiktive_Dividende!A$3:AM$103,17,FALSE)&lt;&gt;"",IF(VLOOKUP(A38,Ergebnis_je_Aktie_verwässert!A$3:AK$103,11,FALSE)&lt;&gt;"",IF(VLOOKUP(A38,Ergebnis_je_Aktie_verwässert!A$3:AK$103,11,FALSE)&lt;=0,2,IF(VLOOKUP(A38,Fiktive_Dividende!A$3:AM$103,17,FALSE)/VLOOKUP(A38,Ergebnis_je_Aktie_verwässert!A$3:AK$103,11,FALSE)&gt;=2,2,VLOOKUP(A38,Fiktive_Dividende!A$3:AM$103,17,FALSE)/VLOOKUP(A38,Ergebnis_je_Aktie_verwässert!A$3:AK$103,11,FALSE))),""),"")</f>
        <v/>
      </c>
      <c r="L38" s="71" t="str">
        <f>IF(VLOOKUP(A38,Fiktive_Dividende!A$3:AM$103,18,FALSE)&lt;&gt;"",IF(VLOOKUP(A38,Ergebnis_je_Aktie_verwässert!A$3:AK$103,12,FALSE)&lt;&gt;"",IF(VLOOKUP(A38,Ergebnis_je_Aktie_verwässert!A$3:AK$103,12,FALSE)&lt;=0,2,IF(VLOOKUP(A38,Fiktive_Dividende!A$3:AM$103,18,FALSE)/VLOOKUP(A38,Ergebnis_je_Aktie_verwässert!A$3:AK$103,12,FALSE)&gt;=2,2,VLOOKUP(A38,Fiktive_Dividende!A$3:AM$103,18,FALSE)/VLOOKUP(A38,Ergebnis_je_Aktie_verwässert!A$3:AK$103,12,FALSE))),""),"")</f>
        <v/>
      </c>
      <c r="M38" s="71" t="str">
        <f>IF(VLOOKUP(A38,Fiktive_Dividende!A$3:AM$103,19,FALSE)&lt;&gt;"",IF(VLOOKUP(A38,Ergebnis_je_Aktie_verwässert!A$3:AK$103,13,FALSE)&lt;&gt;"",IF(VLOOKUP(A38,Ergebnis_je_Aktie_verwässert!A$3:AK$103,13,FALSE)&lt;=0,2,IF(VLOOKUP(A38,Fiktive_Dividende!A$3:AM$103,19,FALSE)/VLOOKUP(A38,Ergebnis_je_Aktie_verwässert!A$3:AK$103,13,FALSE)&gt;=2,2,VLOOKUP(A38,Fiktive_Dividende!A$3:AM$103,19,FALSE)/VLOOKUP(A38,Ergebnis_je_Aktie_verwässert!A$3:AK$103,13,FALSE))),""),"")</f>
        <v/>
      </c>
      <c r="N38" s="71" t="str">
        <f>IF(VLOOKUP(A38,Fiktive_Dividende!A$3:AM$103,20,FALSE)&lt;&gt;"",IF(VLOOKUP(A38,Ergebnis_je_Aktie_verwässert!A$3:AK$103,14,FALSE)&lt;&gt;"",IF(VLOOKUP(A38,Ergebnis_je_Aktie_verwässert!A$3:AK$103,14,FALSE)&lt;=0,2,IF(VLOOKUP(A38,Fiktive_Dividende!A$3:AM$103,20,FALSE)/VLOOKUP(A38,Ergebnis_je_Aktie_verwässert!A$3:AK$103,14,FALSE)&gt;=2,2,VLOOKUP(A38,Fiktive_Dividende!A$3:AM$103,20,FALSE)/VLOOKUP(A38,Ergebnis_je_Aktie_verwässert!A$3:AK$103,14,FALSE))),""),"")</f>
        <v/>
      </c>
      <c r="O38" s="71" t="str">
        <f>IF(VLOOKUP(A38,Fiktive_Dividende!A$3:AM$103,21,FALSE)&lt;&gt;"",IF(VLOOKUP(A38,Ergebnis_je_Aktie_verwässert!A$3:AK$103,15,FALSE)&lt;&gt;"",IF(VLOOKUP(A38,Ergebnis_je_Aktie_verwässert!A$3:AK$103,15,FALSE)&lt;=0,2,IF(VLOOKUP(A38,Fiktive_Dividende!A$3:AM$103,21,FALSE)/VLOOKUP(A38,Ergebnis_je_Aktie_verwässert!A$3:AK$103,15,FALSE)&gt;=2,2,VLOOKUP(A38,Fiktive_Dividende!A$3:AM$103,21,FALSE)/VLOOKUP(A38,Ergebnis_je_Aktie_verwässert!A$3:AK$103,15,FALSE))),""),"")</f>
        <v/>
      </c>
      <c r="P38" s="71" t="str">
        <f>IF(VLOOKUP(A38,Fiktive_Dividende!A$3:AM$103,22,FALSE)&lt;&gt;"",IF(VLOOKUP(A38,Ergebnis_je_Aktie_verwässert!A$3:AK$103,16,FALSE)&lt;&gt;"",IF(VLOOKUP(A38,Ergebnis_je_Aktie_verwässert!A$3:AK$103,16,FALSE)&lt;=0,2,IF(VLOOKUP(A38,Fiktive_Dividende!A$3:AM$103,22,FALSE)/VLOOKUP(A38,Ergebnis_je_Aktie_verwässert!A$3:AK$103,16,FALSE)&gt;=2,2,VLOOKUP(A38,Fiktive_Dividende!A$3:AM$103,22,FALSE)/VLOOKUP(A38,Ergebnis_je_Aktie_verwässert!A$3:AK$103,16,FALSE))),""),"")</f>
        <v/>
      </c>
      <c r="Q38" s="71" t="str">
        <f>IF(VLOOKUP(A38,Fiktive_Dividende!A$3:AM$103,23,FALSE)&lt;&gt;"",IF(VLOOKUP(A38,Ergebnis_je_Aktie_verwässert!A$3:AK$103,17,FALSE)&lt;&gt;"",IF(VLOOKUP(A38,Ergebnis_je_Aktie_verwässert!A$3:AK$103,17,FALSE)&lt;=0,2,IF(VLOOKUP(A38,Fiktive_Dividende!A$3:AM$103,23,FALSE)/VLOOKUP(A38,Ergebnis_je_Aktie_verwässert!A$3:AK$103,17,FALSE)&gt;=2,2,VLOOKUP(A38,Fiktive_Dividende!A$3:AM$103,23,FALSE)/VLOOKUP(A38,Ergebnis_je_Aktie_verwässert!A$3:AK$103,17,FALSE))),""),"")</f>
        <v/>
      </c>
      <c r="R38" s="71" t="str">
        <f>IF(VLOOKUP(A38,Fiktive_Dividende!A$3:AM$103,24,FALSE)&lt;&gt;"",IF(VLOOKUP(A38,Ergebnis_je_Aktie_verwässert!A$3:AK$103,18,FALSE)&lt;&gt;"",IF(VLOOKUP(A38,Ergebnis_je_Aktie_verwässert!A$3:AK$103,18,FALSE)&lt;=0,2,IF(VLOOKUP(A38,Fiktive_Dividende!A$3:AM$103,24,FALSE)/VLOOKUP(A38,Ergebnis_je_Aktie_verwässert!A$3:AK$103,18,FALSE)&gt;=2,2,VLOOKUP(A38,Fiktive_Dividende!A$3:AM$103,24,FALSE)/VLOOKUP(A38,Ergebnis_je_Aktie_verwässert!A$3:AK$103,18,FALSE))),""),"")</f>
        <v/>
      </c>
      <c r="S38" s="105">
        <f t="shared" si="7"/>
        <v>0.73118336495426006</v>
      </c>
      <c r="T38" s="71">
        <f>IF(VLOOKUP(A38,Dividende_je_Aktie!A$3:AM$103,6,FALSE)&lt;&gt;"",IF(VLOOKUP(A38,Ergebnis_je_Aktie_verwässert!A$3:AK$103,6,FALSE)&lt;&gt;"",IF(VLOOKUP(A38,Ergebnis_je_Aktie_verwässert!A$3:AK$103,6,FALSE)&lt;=0,2,IF(VLOOKUP(A38,Dividende_je_Aktie!A$3:AM$103,6,FALSE)/VLOOKUP(A38,Ergebnis_je_Aktie_verwässert!A$3:AK$103,6,FALSE)&gt;=2,2,VLOOKUP(A38,Dividende_je_Aktie!A$3:AM$103,6,FALSE)/VLOOKUP(A38,Ergebnis_je_Aktie_verwässert!A$3:AK$103,6,FALSE))),""),"")</f>
        <v>0.61951219512195133</v>
      </c>
      <c r="U38" s="71">
        <f>IF(VLOOKUP(A38,Dividende_je_Aktie!A$3:AM$103,7,FALSE)&lt;&gt;"",IF(VLOOKUP(A38,Ergebnis_je_Aktie_verwässert!A$3:AK$103,7,FALSE)&lt;&gt;"",IF(VLOOKUP(A38,Ergebnis_je_Aktie_verwässert!A$3:AK$103,7,FALSE)&lt;=0,2,IF(VLOOKUP(A38,Dividende_je_Aktie!A$3:AM$103,7,FALSE)/VLOOKUP(A38,Ergebnis_je_Aktie_verwässert!A$3:AK$103,7,FALSE)&gt;=2,2,VLOOKUP(A38,Dividende_je_Aktie!A$3:AM$103,7,FALSE)/VLOOKUP(A38,Ergebnis_je_Aktie_verwässert!A$3:AK$103,7,FALSE))),""),"")</f>
        <v>0.65498652291105131</v>
      </c>
      <c r="V38" s="71">
        <f>IF(VLOOKUP(A38,Dividende_je_Aktie!A$3:AM$103,8,FALSE)&lt;&gt;"",IF(VLOOKUP(A38,Ergebnis_je_Aktie_verwässert!A$3:AK$103,8,FALSE)&lt;&gt;"",IF(VLOOKUP(A38,Ergebnis_je_Aktie_verwässert!A$3:AK$103,8,FALSE)&lt;=0,2,IF(VLOOKUP(A38,Dividende_je_Aktie!A$3:AM$103,8,FALSE)/VLOOKUP(A38,Ergebnis_je_Aktie_verwässert!A$3:AK$103,8,FALSE)&gt;=2,2,VLOOKUP(A38,Dividende_je_Aktie!A$3:AM$103,8,FALSE)/VLOOKUP(A38,Ergebnis_je_Aktie_verwässert!A$3:AK$103,8,FALSE))),""),"")</f>
        <v>0.81690140845070425</v>
      </c>
      <c r="W38" s="71">
        <f>IF(VLOOKUP(A38,Dividende_je_Aktie!A$3:AM$103,9,FALSE)&lt;&gt;"",IF(VLOOKUP(A38,Ergebnis_je_Aktie_verwässert!A$3:AK$103,9,FALSE)&lt;&gt;"",IF(VLOOKUP(A38,Ergebnis_je_Aktie_verwässert!A$3:AK$103,9,FALSE)&lt;=0,2,IF(VLOOKUP(A38,Dividende_je_Aktie!A$3:AM$103,9,FALSE)/VLOOKUP(A38,Ergebnis_je_Aktie_verwässert!A$3:AK$103,9,FALSE)&gt;=2,2,VLOOKUP(A38,Dividende_je_Aktie!A$3:AM$103,9,FALSE)/VLOOKUP(A38,Ergebnis_je_Aktie_verwässert!A$3:AK$103,9,FALSE))),""),"")</f>
        <v>0.83333333333333326</v>
      </c>
      <c r="X38" s="71" t="str">
        <f>IF(VLOOKUP(A38,Dividende_je_Aktie!A$3:AM$103,10,FALSE)&lt;&gt;"",IF(VLOOKUP(A38,Ergebnis_je_Aktie_verwässert!A$3:AK$103,10,FALSE)&lt;&gt;"",IF(VLOOKUP(A38,Ergebnis_je_Aktie_verwässert!A$3:AK$103,10,FALSE)&lt;=0,2,IF(VLOOKUP(A38,Dividende_je_Aktie!A$3:AM$103,10,FALSE)/VLOOKUP(A38,Ergebnis_je_Aktie_verwässert!A$3:AK$103,10,FALSE)&gt;=2,2,VLOOKUP(A38,Dividende_je_Aktie!A$3:AM$103,10,FALSE)/VLOOKUP(A38,Ergebnis_je_Aktie_verwässert!A$3:AK$103,10,FALSE))),""),"")</f>
        <v/>
      </c>
      <c r="Y38" s="71" t="str">
        <f>IF(VLOOKUP(A38,Dividende_je_Aktie!A$3:AM$103,11,FALSE)&lt;&gt;"",IF(VLOOKUP(A38,Ergebnis_je_Aktie_verwässert!A$3:AK$103,11,FALSE)&lt;&gt;"",IF(VLOOKUP(A38,Ergebnis_je_Aktie_verwässert!A$3:AK$103,11,FALSE)&lt;=0,2,IF(VLOOKUP(A38,Dividende_je_Aktie!A$3:AM$103,11,FALSE)/VLOOKUP(A38,Ergebnis_je_Aktie_verwässert!A$3:AK$103,11,FALSE)&gt;=2,2,VLOOKUP(A38,Dividende_je_Aktie!A$3:AM$103,11,FALSE)/VLOOKUP(A38,Ergebnis_je_Aktie_verwässert!A$3:AK$103,11,FALSE))),""),"")</f>
        <v/>
      </c>
      <c r="Z38" s="71" t="str">
        <f>IF(VLOOKUP(A38,Dividende_je_Aktie!A$3:AM$103,12,FALSE)&lt;&gt;"",IF(VLOOKUP(A38,Ergebnis_je_Aktie_verwässert!A$3:AK$103,12,FALSE)&lt;&gt;"",IF(VLOOKUP(A38,Ergebnis_je_Aktie_verwässert!A$3:AK$103,12,FALSE)&lt;=0,2,IF(VLOOKUP(A38,Dividende_je_Aktie!A$3:AM$103,12,FALSE)/VLOOKUP(A38,Ergebnis_je_Aktie_verwässert!A$3:AK$103,12,FALSE)&gt;=2,2,VLOOKUP(A38,Dividende_je_Aktie!A$3:AM$103,12,FALSE)/VLOOKUP(A38,Ergebnis_je_Aktie_verwässert!A$3:AK$103,12,FALSE))),""),"")</f>
        <v/>
      </c>
      <c r="AA38" s="71" t="str">
        <f>IF(VLOOKUP(A38,Dividende_je_Aktie!A$3:AM$103,13,FALSE)&lt;&gt;"",IF(VLOOKUP(A38,Ergebnis_je_Aktie_verwässert!A$3:AK$103,13,FALSE)&lt;&gt;"",IF(VLOOKUP(A38,Ergebnis_je_Aktie_verwässert!A$3:AK$103,13,FALSE)&lt;=0,2,IF(VLOOKUP(A38,Dividende_je_Aktie!A$3:AM$103,13,FALSE)/VLOOKUP(A38,Ergebnis_je_Aktie_verwässert!A$3:AK$103,13,FALSE)&gt;=2,2,VLOOKUP(A38,Dividende_je_Aktie!A$3:AM$103,13,FALSE)/VLOOKUP(A38,Ergebnis_je_Aktie_verwässert!A$3:AK$103,13,FALSE))),""),"")</f>
        <v/>
      </c>
      <c r="AB38" s="71" t="str">
        <f>IF(VLOOKUP(A38,Dividende_je_Aktie!A$3:AM$103,14,FALSE)&lt;&gt;"",IF(VLOOKUP(A38,Ergebnis_je_Aktie_verwässert!A$3:AK$103,14,FALSE)&lt;&gt;"",IF(VLOOKUP(A38,Ergebnis_je_Aktie_verwässert!A$3:AK$103,14,FALSE)&lt;=0,2,IF(VLOOKUP(A38,Dividende_je_Aktie!A$3:AM$103,14,FALSE)/VLOOKUP(A38,Ergebnis_je_Aktie_verwässert!A$3:AK$103,14,FALSE)&gt;=2,2,VLOOKUP(A38,Dividende_je_Aktie!A$3:AM$103,14,FALSE)/VLOOKUP(A38,Ergebnis_je_Aktie_verwässert!A$3:AK$103,14,FALSE))),""),"")</f>
        <v/>
      </c>
      <c r="AC38" s="71" t="str">
        <f>IF(VLOOKUP(A38,Dividende_je_Aktie!A$3:AM$103,15,FALSE)&lt;&gt;"",IF(VLOOKUP(A38,Ergebnis_je_Aktie_verwässert!A$3:AK$103,15,FALSE)&lt;&gt;"",IF(VLOOKUP(A38,Ergebnis_je_Aktie_verwässert!A$3:AK$103,15,FALSE)&lt;=0,2,IF(VLOOKUP(A38,Dividende_je_Aktie!A$3:AM$103,15,FALSE)/VLOOKUP(A38,Ergebnis_je_Aktie_verwässert!A$3:AK$103,15,FALSE)&gt;=2,2,VLOOKUP(A38,Dividende_je_Aktie!A$3:AM$103,15,FALSE)/VLOOKUP(A38,Ergebnis_je_Aktie_verwässert!A$3:AK$103,15,FALSE))),""),"")</f>
        <v/>
      </c>
      <c r="AD38" s="71" t="str">
        <f>IF(VLOOKUP(A38,Dividende_je_Aktie!A$3:AM$103,16,FALSE)&lt;&gt;"",IF(VLOOKUP(A38,Ergebnis_je_Aktie_verwässert!A$3:AK$103,16,FALSE)&lt;&gt;"",IF(VLOOKUP(A38,Ergebnis_je_Aktie_verwässert!A$3:AK$103,16,FALSE)&lt;=0,2,IF(VLOOKUP(A38,Dividende_je_Aktie!A$3:AM$103,16,FALSE)/VLOOKUP(A38,Ergebnis_je_Aktie_verwässert!A$3:AK$103,16,FALSE)&gt;=2,2,VLOOKUP(A38,Dividende_je_Aktie!A$3:AM$103,16,FALSE)/VLOOKUP(A38,Ergebnis_je_Aktie_verwässert!A$3:AK$103,16,FALSE))),""),"")</f>
        <v/>
      </c>
      <c r="AE38" s="71" t="str">
        <f>IF(VLOOKUP(A38,Dividende_je_Aktie!A$3:AM$103,17,FALSE)&lt;&gt;"",IF(VLOOKUP(A38,Ergebnis_je_Aktie_verwässert!A$3:AK$103,17,FALSE)&lt;&gt;"",IF(VLOOKUP(A38,Ergebnis_je_Aktie_verwässert!A$3:AK$103,17,FALSE)&lt;=0,2,IF(VLOOKUP(A38,Dividende_je_Aktie!A$3:AM$103,17,FALSE)/VLOOKUP(A38,Ergebnis_je_Aktie_verwässert!A$3:AK$103,17,FALSE)&gt;=2,2,VLOOKUP(A38,Dividende_je_Aktie!A$3:AM$103,17,FALSE)/VLOOKUP(A38,Ergebnis_je_Aktie_verwässert!A$3:AK$103,17,FALSE))),""),"")</f>
        <v/>
      </c>
      <c r="AF38" s="71" t="str">
        <f>IF(VLOOKUP(A38,Dividende_je_Aktie!A$3:AM$103,18,FALSE)&lt;&gt;"",IF(VLOOKUP(A38,Ergebnis_je_Aktie_verwässert!A$3:AK$103,18,FALSE)&lt;&gt;"",IF(VLOOKUP(A38,Ergebnis_je_Aktie_verwässert!A$3:AK$103,18,FALSE)&lt;=0,2,IF(VLOOKUP(A38,Dividende_je_Aktie!A$3:AM$103,18,FALSE)/VLOOKUP(A38,Ergebnis_je_Aktie_verwässert!A$3:AK$103,18,FALSE)&gt;=2,2,VLOOKUP(A38,Dividende_je_Aktie!A$3:AM$103,18,FALSE)/VLOOKUP(A38,Ergebnis_je_Aktie_verwässert!A$3:AK$103,18,FALSE))),""),"")</f>
        <v/>
      </c>
      <c r="AG38" s="105">
        <f t="shared" si="8"/>
        <v>0.73118336495426006</v>
      </c>
      <c r="AH38" s="4">
        <f t="shared" ca="1" si="9"/>
        <v>0</v>
      </c>
      <c r="AI38" s="4">
        <f t="shared" ca="1" si="10"/>
        <v>108</v>
      </c>
      <c r="AJ38" s="4">
        <f t="shared" ca="1" si="11"/>
        <v>252</v>
      </c>
      <c r="AK38" s="10">
        <f t="shared" ca="1" si="12"/>
        <v>0.76832694278880842</v>
      </c>
      <c r="AL38" s="5">
        <f t="shared" ca="1" si="13"/>
        <v>5.0799265430323315E-2</v>
      </c>
    </row>
    <row r="39" spans="1:38">
      <c r="A39" t="s">
        <v>50</v>
      </c>
      <c r="B39" t="s">
        <v>51</v>
      </c>
      <c r="C39" s="60">
        <v>31</v>
      </c>
      <c r="D39" s="60">
        <v>12</v>
      </c>
      <c r="E39" s="60">
        <v>2016</v>
      </c>
      <c r="F39" s="71">
        <f>IF(VLOOKUP(A39,Dividende_je_Aktie!A$3:AM$103,6,FALSE)&lt;&gt;"",IF(VLOOKUP(A39,Ergebnis_je_Aktie_verwässert!A$3:AK$103,6,FALSE)&lt;&gt;"",IF(VLOOKUP(A39,Ergebnis_je_Aktie_verwässert!A$3:AK$103,6,FALSE)&lt;=0,2,IF(VLOOKUP(A39,Dividende_je_Aktie!A$3:AM$103,6,FALSE)/VLOOKUP(A39,Ergebnis_je_Aktie_verwässert!A$3:AK$103,6,FALSE)&gt;=2,2,VLOOKUP(A39,Dividende_je_Aktie!A$3:AM$103,6,FALSE)/VLOOKUP(A39,Ergebnis_je_Aktie_verwässert!A$3:AK$103,6,FALSE))),""),"")</f>
        <v>0.60698027314112291</v>
      </c>
      <c r="G39" s="71">
        <f>IF(VLOOKUP(A39,Dividende_je_Aktie!A$3:AM$103,7,FALSE)&lt;&gt;"",IF(VLOOKUP(A39,Ergebnis_je_Aktie_verwässert!A$3:AK$103,7,FALSE)&lt;&gt;"",IF(VLOOKUP(A39,Ergebnis_je_Aktie_verwässert!A$3:AK$103,7,FALSE)&lt;=0,2,IF(VLOOKUP(A39,Dividende_je_Aktie!A$3:AM$103,7,FALSE)/VLOOKUP(A39,Ergebnis_je_Aktie_verwässert!A$3:AK$103,7,FALSE)&gt;=2,2,VLOOKUP(A39,Dividende_je_Aktie!A$3:AM$103,7,FALSE)/VLOOKUP(A39,Ergebnis_je_Aktie_verwässert!A$3:AK$103,7,FALSE))),""),"")</f>
        <v>0.63097199341021415</v>
      </c>
      <c r="H39" s="71">
        <f>IF(VLOOKUP(A39,Fiktive_Dividende!A$3:AM$103,14,FALSE)&lt;&gt;"",IF(VLOOKUP(A39,Ergebnis_je_Aktie_verwässert!A$3:AK$103,8,FALSE)&lt;&gt;"",IF(VLOOKUP(A39,Ergebnis_je_Aktie_verwässert!A$3:AK$103,8,FALSE)&lt;=0,2,IF(VLOOKUP(A39,Fiktive_Dividende!A$3:AM$103,14,FALSE)/VLOOKUP(A39,Ergebnis_je_Aktie_verwässert!A$3:AK$103,8,FALSE)&gt;=2,2,VLOOKUP(A39,Fiktive_Dividende!A$3:AM$103,14,FALSE)/VLOOKUP(A39,Ergebnis_je_Aktie_verwässert!A$3:AK$103,8,FALSE))),""),"")</f>
        <v>0.66913123844731981</v>
      </c>
      <c r="I39" s="71">
        <f>IF(VLOOKUP(A39,Fiktive_Dividende!A$3:AM$103,15,FALSE)&lt;&gt;"",IF(VLOOKUP(A39,Ergebnis_je_Aktie_verwässert!A$3:AK$103,9,FALSE)&lt;&gt;"",IF(VLOOKUP(A39,Ergebnis_je_Aktie_verwässert!A$3:AK$103,9,FALSE)&lt;=0,2,IF(VLOOKUP(A39,Fiktive_Dividende!A$3:AM$103,15,FALSE)/VLOOKUP(A39,Ergebnis_je_Aktie_verwässert!A$3:AK$103,9,FALSE)&gt;=2,2,VLOOKUP(A39,Fiktive_Dividende!A$3:AM$103,15,FALSE)/VLOOKUP(A39,Ergebnis_je_Aktie_verwässert!A$3:AK$103,9,FALSE))),""),"")</f>
        <v>2</v>
      </c>
      <c r="J39" s="71">
        <f>IF(VLOOKUP(A39,Fiktive_Dividende!A$3:AM$103,16,FALSE)&lt;&gt;"",IF(VLOOKUP(A39,Ergebnis_je_Aktie_verwässert!A$3:AK$103,10,FALSE)&lt;&gt;"",IF(VLOOKUP(A39,Ergebnis_je_Aktie_verwässert!A$3:AK$103,10,FALSE)&lt;=0,2,IF(VLOOKUP(A39,Fiktive_Dividende!A$3:AM$103,16,FALSE)/VLOOKUP(A39,Ergebnis_je_Aktie_verwässert!A$3:AK$103,10,FALSE)&gt;=2,2,VLOOKUP(A39,Fiktive_Dividende!A$3:AM$103,16,FALSE)/VLOOKUP(A39,Ergebnis_je_Aktie_verwässert!A$3:AK$103,10,FALSE))),""),"")</f>
        <v>1.1111997650133381</v>
      </c>
      <c r="K39" s="71">
        <f>IF(VLOOKUP(A39,Fiktive_Dividende!A$3:AM$103,17,FALSE)&lt;&gt;"",IF(VLOOKUP(A39,Ergebnis_je_Aktie_verwässert!A$3:AK$103,11,FALSE)&lt;&gt;"",IF(VLOOKUP(A39,Ergebnis_je_Aktie_verwässert!A$3:AK$103,11,FALSE)&lt;=0,2,IF(VLOOKUP(A39,Fiktive_Dividende!A$3:AM$103,17,FALSE)/VLOOKUP(A39,Ergebnis_je_Aktie_verwässert!A$3:AK$103,11,FALSE)&gt;=2,2,VLOOKUP(A39,Fiktive_Dividende!A$3:AM$103,17,FALSE)/VLOOKUP(A39,Ergebnis_je_Aktie_verwässert!A$3:AK$103,11,FALSE))),""),"")</f>
        <v>0.78458171418591505</v>
      </c>
      <c r="L39" s="71">
        <f>IF(VLOOKUP(A39,Fiktive_Dividende!A$3:AM$103,18,FALSE)&lt;&gt;"",IF(VLOOKUP(A39,Ergebnis_je_Aktie_verwässert!A$3:AK$103,12,FALSE)&lt;&gt;"",IF(VLOOKUP(A39,Ergebnis_je_Aktie_verwässert!A$3:AK$103,12,FALSE)&lt;=0,2,IF(VLOOKUP(A39,Fiktive_Dividende!A$3:AM$103,18,FALSE)/VLOOKUP(A39,Ergebnis_je_Aktie_verwässert!A$3:AK$103,12,FALSE)&gt;=2,2,VLOOKUP(A39,Fiktive_Dividende!A$3:AM$103,18,FALSE)/VLOOKUP(A39,Ergebnis_je_Aktie_verwässert!A$3:AK$103,12,FALSE))),""),"")</f>
        <v>0.83078934837279206</v>
      </c>
      <c r="M39" s="71">
        <f>IF(VLOOKUP(A39,Fiktive_Dividende!A$3:AM$103,19,FALSE)&lt;&gt;"",IF(VLOOKUP(A39,Ergebnis_je_Aktie_verwässert!A$3:AK$103,13,FALSE)&lt;&gt;"",IF(VLOOKUP(A39,Ergebnis_je_Aktie_verwässert!A$3:AK$103,13,FALSE)&lt;=0,2,IF(VLOOKUP(A39,Fiktive_Dividende!A$3:AM$103,19,FALSE)/VLOOKUP(A39,Ergebnis_je_Aktie_verwässert!A$3:AK$103,13,FALSE)&gt;=2,2,VLOOKUP(A39,Fiktive_Dividende!A$3:AM$103,19,FALSE)/VLOOKUP(A39,Ergebnis_je_Aktie_verwässert!A$3:AK$103,13,FALSE))),""),"")</f>
        <v>1.0954063341554119</v>
      </c>
      <c r="N39" s="71">
        <f>IF(VLOOKUP(A39,Fiktive_Dividende!A$3:AM$103,20,FALSE)&lt;&gt;"",IF(VLOOKUP(A39,Ergebnis_je_Aktie_verwässert!A$3:AK$103,14,FALSE)&lt;&gt;"",IF(VLOOKUP(A39,Ergebnis_je_Aktie_verwässert!A$3:AK$103,14,FALSE)&lt;=0,2,IF(VLOOKUP(A39,Fiktive_Dividende!A$3:AM$103,20,FALSE)/VLOOKUP(A39,Ergebnis_je_Aktie_verwässert!A$3:AK$103,14,FALSE)&gt;=2,2,VLOOKUP(A39,Fiktive_Dividende!A$3:AM$103,20,FALSE)/VLOOKUP(A39,Ergebnis_je_Aktie_verwässert!A$3:AK$103,14,FALSE))),""),"")</f>
        <v>1.3304017820311855</v>
      </c>
      <c r="O39" s="71">
        <f>IF(VLOOKUP(A39,Fiktive_Dividende!A$3:AM$103,21,FALSE)&lt;&gt;"",IF(VLOOKUP(A39,Ergebnis_je_Aktie_verwässert!A$3:AK$103,15,FALSE)&lt;&gt;"",IF(VLOOKUP(A39,Ergebnis_je_Aktie_verwässert!A$3:AK$103,15,FALSE)&lt;=0,2,IF(VLOOKUP(A39,Fiktive_Dividende!A$3:AM$103,21,FALSE)/VLOOKUP(A39,Ergebnis_je_Aktie_verwässert!A$3:AK$103,15,FALSE)&gt;=2,2,VLOOKUP(A39,Fiktive_Dividende!A$3:AM$103,21,FALSE)/VLOOKUP(A39,Ergebnis_je_Aktie_verwässert!A$3:AK$103,15,FALSE))),""),"")</f>
        <v>0.62845165302574291</v>
      </c>
      <c r="P39" s="71">
        <f>IF(VLOOKUP(A39,Fiktive_Dividende!A$3:AM$103,22,FALSE)&lt;&gt;"",IF(VLOOKUP(A39,Ergebnis_je_Aktie_verwässert!A$3:AK$103,16,FALSE)&lt;&gt;"",IF(VLOOKUP(A39,Ergebnis_je_Aktie_verwässert!A$3:AK$103,16,FALSE)&lt;=0,2,IF(VLOOKUP(A39,Fiktive_Dividende!A$3:AM$103,22,FALSE)/VLOOKUP(A39,Ergebnis_je_Aktie_verwässert!A$3:AK$103,16,FALSE)&gt;=2,2,VLOOKUP(A39,Fiktive_Dividende!A$3:AM$103,22,FALSE)/VLOOKUP(A39,Ergebnis_je_Aktie_verwässert!A$3:AK$103,16,FALSE))),""),"")</f>
        <v>1.2040297650321965</v>
      </c>
      <c r="Q39" s="71">
        <f>IF(VLOOKUP(A39,Fiktive_Dividende!A$3:AM$103,23,FALSE)&lt;&gt;"",IF(VLOOKUP(A39,Ergebnis_je_Aktie_verwässert!A$3:AK$103,17,FALSE)&lt;&gt;"",IF(VLOOKUP(A39,Ergebnis_je_Aktie_verwässert!A$3:AK$103,17,FALSE)&lt;=0,2,IF(VLOOKUP(A39,Fiktive_Dividende!A$3:AM$103,23,FALSE)/VLOOKUP(A39,Ergebnis_je_Aktie_verwässert!A$3:AK$103,17,FALSE)&gt;=2,2,VLOOKUP(A39,Fiktive_Dividende!A$3:AM$103,23,FALSE)/VLOOKUP(A39,Ergebnis_je_Aktie_verwässert!A$3:AK$103,17,FALSE))),""),"")</f>
        <v>1.1421363225660719</v>
      </c>
      <c r="R39" s="71">
        <f>IF(VLOOKUP(A39,Fiktive_Dividende!A$3:AM$103,24,FALSE)&lt;&gt;"",IF(VLOOKUP(A39,Ergebnis_je_Aktie_verwässert!A$3:AK$103,18,FALSE)&lt;&gt;"",IF(VLOOKUP(A39,Ergebnis_je_Aktie_verwässert!A$3:AK$103,18,FALSE)&lt;=0,2,IF(VLOOKUP(A39,Fiktive_Dividende!A$3:AM$103,24,FALSE)/VLOOKUP(A39,Ergebnis_je_Aktie_verwässert!A$3:AK$103,18,FALSE)&gt;=2,2,VLOOKUP(A39,Fiktive_Dividende!A$3:AM$103,24,FALSE)/VLOOKUP(A39,Ergebnis_je_Aktie_verwässert!A$3:AK$103,18,FALSE))),""),"")</f>
        <v>1.0950853476916027</v>
      </c>
      <c r="S39" s="105">
        <f t="shared" si="7"/>
        <v>1.0099358105440703</v>
      </c>
      <c r="T39" s="71">
        <f>IF(VLOOKUP(A39,Dividende_je_Aktie!A$3:AM$103,6,FALSE)&lt;&gt;"",IF(VLOOKUP(A39,Ergebnis_je_Aktie_verwässert!A$3:AK$103,6,FALSE)&lt;&gt;"",IF(VLOOKUP(A39,Ergebnis_je_Aktie_verwässert!A$3:AK$103,6,FALSE)&lt;=0,2,IF(VLOOKUP(A39,Dividende_je_Aktie!A$3:AM$103,6,FALSE)/VLOOKUP(A39,Ergebnis_je_Aktie_verwässert!A$3:AK$103,6,FALSE)&gt;=2,2,VLOOKUP(A39,Dividende_je_Aktie!A$3:AM$103,6,FALSE)/VLOOKUP(A39,Ergebnis_je_Aktie_verwässert!A$3:AK$103,6,FALSE))),""),"")</f>
        <v>0.60698027314112291</v>
      </c>
      <c r="U39" s="71">
        <f>IF(VLOOKUP(A39,Dividende_je_Aktie!A$3:AM$103,7,FALSE)&lt;&gt;"",IF(VLOOKUP(A39,Ergebnis_je_Aktie_verwässert!A$3:AK$103,7,FALSE)&lt;&gt;"",IF(VLOOKUP(A39,Ergebnis_je_Aktie_verwässert!A$3:AK$103,7,FALSE)&lt;=0,2,IF(VLOOKUP(A39,Dividende_je_Aktie!A$3:AM$103,7,FALSE)/VLOOKUP(A39,Ergebnis_je_Aktie_verwässert!A$3:AK$103,7,FALSE)&gt;=2,2,VLOOKUP(A39,Dividende_je_Aktie!A$3:AM$103,7,FALSE)/VLOOKUP(A39,Ergebnis_je_Aktie_verwässert!A$3:AK$103,7,FALSE))),""),"")</f>
        <v>0.63097199341021415</v>
      </c>
      <c r="V39" s="71">
        <f>IF(VLOOKUP(A39,Dividende_je_Aktie!A$3:AM$103,8,FALSE)&lt;&gt;"",IF(VLOOKUP(A39,Ergebnis_je_Aktie_verwässert!A$3:AK$103,8,FALSE)&lt;&gt;"",IF(VLOOKUP(A39,Ergebnis_je_Aktie_verwässert!A$3:AK$103,8,FALSE)&lt;=0,2,IF(VLOOKUP(A39,Dividende_je_Aktie!A$3:AM$103,8,FALSE)/VLOOKUP(A39,Ergebnis_je_Aktie_verwässert!A$3:AK$103,8,FALSE)&gt;=2,2,VLOOKUP(A39,Dividende_je_Aktie!A$3:AM$103,8,FALSE)/VLOOKUP(A39,Ergebnis_je_Aktie_verwässert!A$3:AK$103,8,FALSE))),""),"")</f>
        <v>0.66913123844731981</v>
      </c>
      <c r="W39" s="71">
        <f>IF(VLOOKUP(A39,Dividende_je_Aktie!A$3:AM$103,9,FALSE)&lt;&gt;"",IF(VLOOKUP(A39,Ergebnis_je_Aktie_verwässert!A$3:AK$103,9,FALSE)&lt;&gt;"",IF(VLOOKUP(A39,Ergebnis_je_Aktie_verwässert!A$3:AK$103,9,FALSE)&lt;=0,2,IF(VLOOKUP(A39,Dividende_je_Aktie!A$3:AM$103,9,FALSE)/VLOOKUP(A39,Ergebnis_je_Aktie_verwässert!A$3:AK$103,9,FALSE)&gt;=2,2,VLOOKUP(A39,Dividende_je_Aktie!A$3:AM$103,9,FALSE)/VLOOKUP(A39,Ergebnis_je_Aktie_verwässert!A$3:AK$103,9,FALSE))),""),"")</f>
        <v>0.69076305220883527</v>
      </c>
      <c r="X39" s="71">
        <f>IF(VLOOKUP(A39,Dividende_je_Aktie!A$3:AM$103,10,FALSE)&lt;&gt;"",IF(VLOOKUP(A39,Ergebnis_je_Aktie_verwässert!A$3:AK$103,10,FALSE)&lt;&gt;"",IF(VLOOKUP(A39,Ergebnis_je_Aktie_verwässert!A$3:AK$103,10,FALSE)&lt;=0,2,IF(VLOOKUP(A39,Dividende_je_Aktie!A$3:AM$103,10,FALSE)/VLOOKUP(A39,Ergebnis_je_Aktie_verwässert!A$3:AK$103,10,FALSE)&gt;=2,2,VLOOKUP(A39,Dividende_je_Aktie!A$3:AM$103,10,FALSE)/VLOOKUP(A39,Ergebnis_je_Aktie_verwässert!A$3:AK$103,10,FALSE))),""),"")</f>
        <v>0.61194029850746257</v>
      </c>
      <c r="Y39" s="71">
        <f>IF(VLOOKUP(A39,Dividende_je_Aktie!A$3:AM$103,11,FALSE)&lt;&gt;"",IF(VLOOKUP(A39,Ergebnis_je_Aktie_verwässert!A$3:AK$103,11,FALSE)&lt;&gt;"",IF(VLOOKUP(A39,Ergebnis_je_Aktie_verwässert!A$3:AK$103,11,FALSE)&lt;=0,2,IF(VLOOKUP(A39,Dividende_je_Aktie!A$3:AM$103,11,FALSE)/VLOOKUP(A39,Ergebnis_je_Aktie_verwässert!A$3:AK$103,11,FALSE)&gt;=2,2,VLOOKUP(A39,Dividende_je_Aktie!A$3:AM$103,11,FALSE)/VLOOKUP(A39,Ergebnis_je_Aktie_verwässert!A$3:AK$103,11,FALSE))),""),"")</f>
        <v>0.56216216216216219</v>
      </c>
      <c r="Z39" s="71">
        <f>IF(VLOOKUP(A39,Dividende_je_Aktie!A$3:AM$103,12,FALSE)&lt;&gt;"",IF(VLOOKUP(A39,Ergebnis_je_Aktie_verwässert!A$3:AK$103,12,FALSE)&lt;&gt;"",IF(VLOOKUP(A39,Ergebnis_je_Aktie_verwässert!A$3:AK$103,12,FALSE)&lt;=0,2,IF(VLOOKUP(A39,Dividende_je_Aktie!A$3:AM$103,12,FALSE)/VLOOKUP(A39,Ergebnis_je_Aktie_verwässert!A$3:AK$103,12,FALSE)&gt;=2,2,VLOOKUP(A39,Dividende_je_Aktie!A$3:AM$103,12,FALSE)/VLOOKUP(A39,Ergebnis_je_Aktie_verwässert!A$3:AK$103,12,FALSE))),""),"")</f>
        <v>0.53544776119402981</v>
      </c>
      <c r="AA39" s="71">
        <f>IF(VLOOKUP(A39,Dividende_je_Aktie!A$3:AM$103,13,FALSE)&lt;&gt;"",IF(VLOOKUP(A39,Ergebnis_je_Aktie_verwässert!A$3:AK$103,13,FALSE)&lt;&gt;"",IF(VLOOKUP(A39,Ergebnis_je_Aktie_verwässert!A$3:AK$103,13,FALSE)&lt;=0,2,IF(VLOOKUP(A39,Dividende_je_Aktie!A$3:AM$103,13,FALSE)/VLOOKUP(A39,Ergebnis_je_Aktie_verwässert!A$3:AK$103,13,FALSE)&gt;=2,2,VLOOKUP(A39,Dividende_je_Aktie!A$3:AM$103,13,FALSE)/VLOOKUP(A39,Ergebnis_je_Aktie_verwässert!A$3:AK$103,13,FALSE))),""),"")</f>
        <v>0.48007590132827327</v>
      </c>
      <c r="AB39" s="71">
        <f>IF(VLOOKUP(A39,Dividende_je_Aktie!A$3:AM$103,14,FALSE)&lt;&gt;"",IF(VLOOKUP(A39,Ergebnis_je_Aktie_verwässert!A$3:AK$103,14,FALSE)&lt;&gt;"",IF(VLOOKUP(A39,Ergebnis_je_Aktie_verwässert!A$3:AK$103,14,FALSE)&lt;=0,2,IF(VLOOKUP(A39,Dividende_je_Aktie!A$3:AM$103,14,FALSE)/VLOOKUP(A39,Ergebnis_je_Aktie_verwässert!A$3:AK$103,14,FALSE)&gt;=2,2,VLOOKUP(A39,Dividende_je_Aktie!A$3:AM$103,14,FALSE)/VLOOKUP(A39,Ergebnis_je_Aktie_verwässert!A$3:AK$103,14,FALSE))),""),"")</f>
        <v>0.49130434782608695</v>
      </c>
      <c r="AC39" s="71">
        <f>IF(VLOOKUP(A39,Dividende_je_Aktie!A$3:AM$103,15,FALSE)&lt;&gt;"",IF(VLOOKUP(A39,Ergebnis_je_Aktie_verwässert!A$3:AK$103,15,FALSE)&lt;&gt;"",IF(VLOOKUP(A39,Ergebnis_je_Aktie_verwässert!A$3:AK$103,15,FALSE)&lt;=0,2,IF(VLOOKUP(A39,Dividende_je_Aktie!A$3:AM$103,15,FALSE)/VLOOKUP(A39,Ergebnis_je_Aktie_verwässert!A$3:AK$103,15,FALSE)&gt;=2,2,VLOOKUP(A39,Dividende_je_Aktie!A$3:AM$103,15,FALSE)/VLOOKUP(A39,Ergebnis_je_Aktie_verwässert!A$3:AK$103,15,FALSE))),""),"")</f>
        <v>0.51507537688442206</v>
      </c>
      <c r="AD39" s="71">
        <f>IF(VLOOKUP(A39,Dividende_je_Aktie!A$3:AM$103,16,FALSE)&lt;&gt;"",IF(VLOOKUP(A39,Ergebnis_je_Aktie_verwässert!A$3:AK$103,16,FALSE)&lt;&gt;"",IF(VLOOKUP(A39,Ergebnis_je_Aktie_verwässert!A$3:AK$103,16,FALSE)&lt;=0,2,IF(VLOOKUP(A39,Dividende_je_Aktie!A$3:AM$103,16,FALSE)/VLOOKUP(A39,Ergebnis_je_Aktie_verwässert!A$3:AK$103,16,FALSE)&gt;=2,2,VLOOKUP(A39,Dividende_je_Aktie!A$3:AM$103,16,FALSE)/VLOOKUP(A39,Ergebnis_je_Aktie_verwässert!A$3:AK$103,16,FALSE))),""),"")</f>
        <v>0.44414168937329696</v>
      </c>
      <c r="AE39" s="71">
        <f>IF(VLOOKUP(A39,Dividende_je_Aktie!A$3:AM$103,17,FALSE)&lt;&gt;"",IF(VLOOKUP(A39,Ergebnis_je_Aktie_verwässert!A$3:AK$103,17,FALSE)&lt;&gt;"",IF(VLOOKUP(A39,Ergebnis_je_Aktie_verwässert!A$3:AK$103,17,FALSE)&lt;=0,2,IF(VLOOKUP(A39,Dividende_je_Aktie!A$3:AM$103,17,FALSE)/VLOOKUP(A39,Ergebnis_je_Aktie_verwässert!A$3:AK$103,17,FALSE)&gt;=2,2,VLOOKUP(A39,Dividende_je_Aktie!A$3:AM$103,17,FALSE)/VLOOKUP(A39,Ergebnis_je_Aktie_verwässert!A$3:AK$103,17,FALSE))),""),"")</f>
        <v>0.49342105263157893</v>
      </c>
      <c r="AF39" s="71">
        <f>IF(VLOOKUP(A39,Dividende_je_Aktie!A$3:AM$103,18,FALSE)&lt;&gt;"",IF(VLOOKUP(A39,Ergebnis_je_Aktie_verwässert!A$3:AK$103,18,FALSE)&lt;&gt;"",IF(VLOOKUP(A39,Ergebnis_je_Aktie_verwässert!A$3:AK$103,18,FALSE)&lt;=0,2,IF(VLOOKUP(A39,Dividende_je_Aktie!A$3:AM$103,18,FALSE)/VLOOKUP(A39,Ergebnis_je_Aktie_verwässert!A$3:AK$103,18,FALSE)&gt;=2,2,VLOOKUP(A39,Dividende_je_Aktie!A$3:AM$103,18,FALSE)/VLOOKUP(A39,Ergebnis_je_Aktie_verwässert!A$3:AK$103,18,FALSE))),""),"")</f>
        <v>0.34482758620689657</v>
      </c>
      <c r="AG39" s="105">
        <f t="shared" si="8"/>
        <v>0.54432636410166935</v>
      </c>
      <c r="AH39" s="4">
        <f t="shared" ca="1" si="9"/>
        <v>0</v>
      </c>
      <c r="AI39" s="4">
        <f t="shared" ca="1" si="10"/>
        <v>108</v>
      </c>
      <c r="AJ39" s="4">
        <f t="shared" ca="1" si="11"/>
        <v>252</v>
      </c>
      <c r="AK39" s="10">
        <f t="shared" ca="1" si="12"/>
        <v>0.65768346493618801</v>
      </c>
      <c r="AL39" s="5">
        <f t="shared" ca="1" si="13"/>
        <v>0.20825208608368229</v>
      </c>
    </row>
    <row r="40" spans="1:38">
      <c r="A40" t="s">
        <v>52</v>
      </c>
      <c r="B40" t="s">
        <v>53</v>
      </c>
      <c r="C40" s="60">
        <v>31</v>
      </c>
      <c r="D40" s="60">
        <v>12</v>
      </c>
      <c r="E40" s="60">
        <v>2016</v>
      </c>
      <c r="F40" s="71">
        <f>IF(VLOOKUP(A40,Dividende_je_Aktie!A$3:AM$103,6,FALSE)&lt;&gt;"",IF(VLOOKUP(A40,Ergebnis_je_Aktie_verwässert!A$3:AK$103,6,FALSE)&lt;&gt;"",IF(VLOOKUP(A40,Ergebnis_je_Aktie_verwässert!A$3:AK$103,6,FALSE)&lt;=0,2,IF(VLOOKUP(A40,Dividende_je_Aktie!A$3:AM$103,6,FALSE)/VLOOKUP(A40,Ergebnis_je_Aktie_verwässert!A$3:AK$103,6,FALSE)&gt;=2,2,VLOOKUP(A40,Dividende_je_Aktie!A$3:AM$103,6,FALSE)/VLOOKUP(A40,Ergebnis_je_Aktie_verwässert!A$3:AK$103,6,FALSE))),""),"")</f>
        <v>0.54293628808864269</v>
      </c>
      <c r="G40" s="71">
        <f>IF(VLOOKUP(A40,Dividende_je_Aktie!A$3:AM$103,7,FALSE)&lt;&gt;"",IF(VLOOKUP(A40,Ergebnis_je_Aktie_verwässert!A$3:AK$103,7,FALSE)&lt;&gt;"",IF(VLOOKUP(A40,Ergebnis_je_Aktie_verwässert!A$3:AK$103,7,FALSE)&lt;=0,2,IF(VLOOKUP(A40,Dividende_je_Aktie!A$3:AM$103,7,FALSE)/VLOOKUP(A40,Ergebnis_je_Aktie_verwässert!A$3:AK$103,7,FALSE)&gt;=2,2,VLOOKUP(A40,Dividende_je_Aktie!A$3:AM$103,7,FALSE)/VLOOKUP(A40,Ergebnis_je_Aktie_verwässert!A$3:AK$103,7,FALSE))),""),"")</f>
        <v>0.67375886524822692</v>
      </c>
      <c r="H40" s="71">
        <f>IF(VLOOKUP(A40,Fiktive_Dividende!A$3:AM$103,14,FALSE)&lt;&gt;"",IF(VLOOKUP(A40,Ergebnis_je_Aktie_verwässert!A$3:AK$103,8,FALSE)&lt;&gt;"",IF(VLOOKUP(A40,Ergebnis_je_Aktie_verwässert!A$3:AK$103,8,FALSE)&lt;=0,2,IF(VLOOKUP(A40,Fiktive_Dividende!A$3:AM$103,14,FALSE)/VLOOKUP(A40,Ergebnis_je_Aktie_verwässert!A$3:AK$103,8,FALSE)&gt;=2,2,VLOOKUP(A40,Fiktive_Dividende!A$3:AM$103,14,FALSE)/VLOOKUP(A40,Ergebnis_je_Aktie_verwässert!A$3:AK$103,8,FALSE))),""),"")</f>
        <v>0.74297188755020083</v>
      </c>
      <c r="I40" s="71">
        <f>IF(VLOOKUP(A40,Fiktive_Dividende!A$3:AM$103,15,FALSE)&lt;&gt;"",IF(VLOOKUP(A40,Ergebnis_je_Aktie_verwässert!A$3:AK$103,9,FALSE)&lt;&gt;"",IF(VLOOKUP(A40,Ergebnis_je_Aktie_verwässert!A$3:AK$103,9,FALSE)&lt;=0,2,IF(VLOOKUP(A40,Fiktive_Dividende!A$3:AM$103,15,FALSE)/VLOOKUP(A40,Ergebnis_je_Aktie_verwässert!A$3:AK$103,9,FALSE)&gt;=2,2,VLOOKUP(A40,Fiktive_Dividende!A$3:AM$103,15,FALSE)/VLOOKUP(A40,Ergebnis_je_Aktie_verwässert!A$3:AK$103,9,FALSE))),""),"")</f>
        <v>1.8542375459851188</v>
      </c>
      <c r="J40" s="71">
        <f>IF(VLOOKUP(A40,Fiktive_Dividende!A$3:AM$103,16,FALSE)&lt;&gt;"",IF(VLOOKUP(A40,Ergebnis_je_Aktie_verwässert!A$3:AK$103,10,FALSE)&lt;&gt;"",IF(VLOOKUP(A40,Ergebnis_je_Aktie_verwässert!A$3:AK$103,10,FALSE)&lt;=0,2,IF(VLOOKUP(A40,Fiktive_Dividende!A$3:AM$103,16,FALSE)/VLOOKUP(A40,Ergebnis_je_Aktie_verwässert!A$3:AK$103,10,FALSE)&gt;=2,2,VLOOKUP(A40,Fiktive_Dividende!A$3:AM$103,16,FALSE)/VLOOKUP(A40,Ergebnis_je_Aktie_verwässert!A$3:AK$103,10,FALSE))),""),"")</f>
        <v>2</v>
      </c>
      <c r="K40" s="71">
        <f>IF(VLOOKUP(A40,Fiktive_Dividende!A$3:AM$103,17,FALSE)&lt;&gt;"",IF(VLOOKUP(A40,Ergebnis_je_Aktie_verwässert!A$3:AK$103,11,FALSE)&lt;&gt;"",IF(VLOOKUP(A40,Ergebnis_je_Aktie_verwässert!A$3:AK$103,11,FALSE)&lt;=0,2,IF(VLOOKUP(A40,Fiktive_Dividende!A$3:AM$103,17,FALSE)/VLOOKUP(A40,Ergebnis_je_Aktie_verwässert!A$3:AK$103,11,FALSE)&gt;=2,2,VLOOKUP(A40,Fiktive_Dividende!A$3:AM$103,17,FALSE)/VLOOKUP(A40,Ergebnis_je_Aktie_verwässert!A$3:AK$103,11,FALSE))),""),"")</f>
        <v>2</v>
      </c>
      <c r="L40" s="71">
        <f>IF(VLOOKUP(A40,Fiktive_Dividende!A$3:AM$103,18,FALSE)&lt;&gt;"",IF(VLOOKUP(A40,Ergebnis_je_Aktie_verwässert!A$3:AK$103,12,FALSE)&lt;&gt;"",IF(VLOOKUP(A40,Ergebnis_je_Aktie_verwässert!A$3:AK$103,12,FALSE)&lt;=0,2,IF(VLOOKUP(A40,Fiktive_Dividende!A$3:AM$103,18,FALSE)/VLOOKUP(A40,Ergebnis_je_Aktie_verwässert!A$3:AK$103,12,FALSE)&gt;=2,2,VLOOKUP(A40,Fiktive_Dividende!A$3:AM$103,18,FALSE)/VLOOKUP(A40,Ergebnis_je_Aktie_verwässert!A$3:AK$103,12,FALSE))),""),"")</f>
        <v>0.93467459530888664</v>
      </c>
      <c r="M40" s="71">
        <f>IF(VLOOKUP(A40,Fiktive_Dividende!A$3:AM$103,19,FALSE)&lt;&gt;"",IF(VLOOKUP(A40,Ergebnis_je_Aktie_verwässert!A$3:AK$103,13,FALSE)&lt;&gt;"",IF(VLOOKUP(A40,Ergebnis_je_Aktie_verwässert!A$3:AK$103,13,FALSE)&lt;=0,2,IF(VLOOKUP(A40,Fiktive_Dividende!A$3:AM$103,19,FALSE)/VLOOKUP(A40,Ergebnis_je_Aktie_verwässert!A$3:AK$103,13,FALSE)&gt;=2,2,VLOOKUP(A40,Fiktive_Dividende!A$3:AM$103,19,FALSE)/VLOOKUP(A40,Ergebnis_je_Aktie_verwässert!A$3:AK$103,13,FALSE))),""),"")</f>
        <v>1.0041023503863047</v>
      </c>
      <c r="N40" s="71">
        <f>IF(VLOOKUP(A40,Fiktive_Dividende!A$3:AM$103,20,FALSE)&lt;&gt;"",IF(VLOOKUP(A40,Ergebnis_je_Aktie_verwässert!A$3:AK$103,14,FALSE)&lt;&gt;"",IF(VLOOKUP(A40,Ergebnis_je_Aktie_verwässert!A$3:AK$103,14,FALSE)&lt;=0,2,IF(VLOOKUP(A40,Fiktive_Dividende!A$3:AM$103,20,FALSE)/VLOOKUP(A40,Ergebnis_je_Aktie_verwässert!A$3:AK$103,14,FALSE)&gt;=2,2,VLOOKUP(A40,Fiktive_Dividende!A$3:AM$103,20,FALSE)/VLOOKUP(A40,Ergebnis_je_Aktie_verwässert!A$3:AK$103,14,FALSE))),""),"")</f>
        <v>0.53334395907571219</v>
      </c>
      <c r="O40" s="71">
        <f>IF(VLOOKUP(A40,Fiktive_Dividende!A$3:AM$103,21,FALSE)&lt;&gt;"",IF(VLOOKUP(A40,Ergebnis_je_Aktie_verwässert!A$3:AK$103,15,FALSE)&lt;&gt;"",IF(VLOOKUP(A40,Ergebnis_je_Aktie_verwässert!A$3:AK$103,15,FALSE)&lt;=0,2,IF(VLOOKUP(A40,Fiktive_Dividende!A$3:AM$103,21,FALSE)/VLOOKUP(A40,Ergebnis_je_Aktie_verwässert!A$3:AK$103,15,FALSE)&gt;=2,2,VLOOKUP(A40,Fiktive_Dividende!A$3:AM$103,21,FALSE)/VLOOKUP(A40,Ergebnis_je_Aktie_verwässert!A$3:AK$103,15,FALSE))),""),"")</f>
        <v>0.89940828402366868</v>
      </c>
      <c r="P40" s="71">
        <f>IF(VLOOKUP(A40,Fiktive_Dividende!A$3:AM$103,22,FALSE)&lt;&gt;"",IF(VLOOKUP(A40,Ergebnis_je_Aktie_verwässert!A$3:AK$103,16,FALSE)&lt;&gt;"",IF(VLOOKUP(A40,Ergebnis_je_Aktie_verwässert!A$3:AK$103,16,FALSE)&lt;=0,2,IF(VLOOKUP(A40,Fiktive_Dividende!A$3:AM$103,22,FALSE)/VLOOKUP(A40,Ergebnis_je_Aktie_verwässert!A$3:AK$103,16,FALSE)&gt;=2,2,VLOOKUP(A40,Fiktive_Dividende!A$3:AM$103,22,FALSE)/VLOOKUP(A40,Ergebnis_je_Aktie_verwässert!A$3:AK$103,16,FALSE))),""),"")</f>
        <v>0.53333333333333333</v>
      </c>
      <c r="Q40" s="71">
        <f>IF(VLOOKUP(A40,Fiktive_Dividende!A$3:AM$103,23,FALSE)&lt;&gt;"",IF(VLOOKUP(A40,Ergebnis_je_Aktie_verwässert!A$3:AK$103,17,FALSE)&lt;&gt;"",IF(VLOOKUP(A40,Ergebnis_je_Aktie_verwässert!A$3:AK$103,17,FALSE)&lt;=0,2,IF(VLOOKUP(A40,Fiktive_Dividende!A$3:AM$103,23,FALSE)/VLOOKUP(A40,Ergebnis_je_Aktie_verwässert!A$3:AK$103,17,FALSE)&gt;=2,2,VLOOKUP(A40,Fiktive_Dividende!A$3:AM$103,23,FALSE)/VLOOKUP(A40,Ergebnis_je_Aktie_verwässert!A$3:AK$103,17,FALSE))),""),"")</f>
        <v>0.42708626018544532</v>
      </c>
      <c r="R40" s="71">
        <f>IF(VLOOKUP(A40,Fiktive_Dividende!A$3:AM$103,24,FALSE)&lt;&gt;"",IF(VLOOKUP(A40,Ergebnis_je_Aktie_verwässert!A$3:AK$103,18,FALSE)&lt;&gt;"",IF(VLOOKUP(A40,Ergebnis_je_Aktie_verwässert!A$3:AK$103,18,FALSE)&lt;=0,2,IF(VLOOKUP(A40,Fiktive_Dividende!A$3:AM$103,24,FALSE)/VLOOKUP(A40,Ergebnis_je_Aktie_verwässert!A$3:AK$103,18,FALSE)&gt;=2,2,VLOOKUP(A40,Fiktive_Dividende!A$3:AM$103,24,FALSE)/VLOOKUP(A40,Ergebnis_je_Aktie_verwässert!A$3:AK$103,18,FALSE))),""),"")</f>
        <v>0.74876847290640403</v>
      </c>
      <c r="S40" s="105">
        <f t="shared" si="7"/>
        <v>0.99189398785322624</v>
      </c>
      <c r="T40" s="71">
        <f>IF(VLOOKUP(A40,Dividende_je_Aktie!A$3:AM$103,6,FALSE)&lt;&gt;"",IF(VLOOKUP(A40,Ergebnis_je_Aktie_verwässert!A$3:AK$103,6,FALSE)&lt;&gt;"",IF(VLOOKUP(A40,Ergebnis_je_Aktie_verwässert!A$3:AK$103,6,FALSE)&lt;=0,2,IF(VLOOKUP(A40,Dividende_je_Aktie!A$3:AM$103,6,FALSE)/VLOOKUP(A40,Ergebnis_je_Aktie_verwässert!A$3:AK$103,6,FALSE)&gt;=2,2,VLOOKUP(A40,Dividende_je_Aktie!A$3:AM$103,6,FALSE)/VLOOKUP(A40,Ergebnis_je_Aktie_verwässert!A$3:AK$103,6,FALSE))),""),"")</f>
        <v>0.54293628808864269</v>
      </c>
      <c r="U40" s="71">
        <f>IF(VLOOKUP(A40,Dividende_je_Aktie!A$3:AM$103,7,FALSE)&lt;&gt;"",IF(VLOOKUP(A40,Ergebnis_je_Aktie_verwässert!A$3:AK$103,7,FALSE)&lt;&gt;"",IF(VLOOKUP(A40,Ergebnis_je_Aktie_verwässert!A$3:AK$103,7,FALSE)&lt;=0,2,IF(VLOOKUP(A40,Dividende_je_Aktie!A$3:AM$103,7,FALSE)/VLOOKUP(A40,Ergebnis_je_Aktie_verwässert!A$3:AK$103,7,FALSE)&gt;=2,2,VLOOKUP(A40,Dividende_je_Aktie!A$3:AM$103,7,FALSE)/VLOOKUP(A40,Ergebnis_je_Aktie_verwässert!A$3:AK$103,7,FALSE))),""),"")</f>
        <v>0.67375886524822692</v>
      </c>
      <c r="V40" s="71">
        <f>IF(VLOOKUP(A40,Dividende_je_Aktie!A$3:AM$103,8,FALSE)&lt;&gt;"",IF(VLOOKUP(A40,Ergebnis_je_Aktie_verwässert!A$3:AK$103,8,FALSE)&lt;&gt;"",IF(VLOOKUP(A40,Ergebnis_je_Aktie_verwässert!A$3:AK$103,8,FALSE)&lt;=0,2,IF(VLOOKUP(A40,Dividende_je_Aktie!A$3:AM$103,8,FALSE)/VLOOKUP(A40,Ergebnis_je_Aktie_verwässert!A$3:AK$103,8,FALSE)&gt;=2,2,VLOOKUP(A40,Dividende_je_Aktie!A$3:AM$103,8,FALSE)/VLOOKUP(A40,Ergebnis_je_Aktie_verwässert!A$3:AK$103,8,FALSE))),""),"")</f>
        <v>0.74297188755020083</v>
      </c>
      <c r="W40" s="71">
        <f>IF(VLOOKUP(A40,Dividende_je_Aktie!A$3:AM$103,9,FALSE)&lt;&gt;"",IF(VLOOKUP(A40,Ergebnis_je_Aktie_verwässert!A$3:AK$103,9,FALSE)&lt;&gt;"",IF(VLOOKUP(A40,Ergebnis_je_Aktie_verwässert!A$3:AK$103,9,FALSE)&lt;=0,2,IF(VLOOKUP(A40,Dividende_je_Aktie!A$3:AM$103,9,FALSE)/VLOOKUP(A40,Ergebnis_je_Aktie_verwässert!A$3:AK$103,9,FALSE)&gt;=2,2,VLOOKUP(A40,Dividende_je_Aktie!A$3:AM$103,9,FALSE)/VLOOKUP(A40,Ergebnis_je_Aktie_verwässert!A$3:AK$103,9,FALSE))),""),"")</f>
        <v>1.1602564102564104</v>
      </c>
      <c r="X40" s="71">
        <f>IF(VLOOKUP(A40,Dividende_je_Aktie!A$3:AM$103,10,FALSE)&lt;&gt;"",IF(VLOOKUP(A40,Ergebnis_je_Aktie_verwässert!A$3:AK$103,10,FALSE)&lt;&gt;"",IF(VLOOKUP(A40,Ergebnis_je_Aktie_verwässert!A$3:AK$103,10,FALSE)&lt;=0,2,IF(VLOOKUP(A40,Dividende_je_Aktie!A$3:AM$103,10,FALSE)/VLOOKUP(A40,Ergebnis_je_Aktie_verwässert!A$3:AK$103,10,FALSE)&gt;=2,2,VLOOKUP(A40,Dividende_je_Aktie!A$3:AM$103,10,FALSE)/VLOOKUP(A40,Ergebnis_je_Aktie_verwässert!A$3:AK$103,10,FALSE))),""),"")</f>
        <v>1.2679083094555874</v>
      </c>
      <c r="Y40" s="71">
        <f>IF(VLOOKUP(A40,Dividende_je_Aktie!A$3:AM$103,11,FALSE)&lt;&gt;"",IF(VLOOKUP(A40,Ergebnis_je_Aktie_verwässert!A$3:AK$103,11,FALSE)&lt;&gt;"",IF(VLOOKUP(A40,Ergebnis_je_Aktie_verwässert!A$3:AK$103,11,FALSE)&lt;=0,2,IF(VLOOKUP(A40,Dividende_je_Aktie!A$3:AM$103,11,FALSE)/VLOOKUP(A40,Ergebnis_je_Aktie_verwässert!A$3:AK$103,11,FALSE)&gt;=2,2,VLOOKUP(A40,Dividende_je_Aktie!A$3:AM$103,11,FALSE)/VLOOKUP(A40,Ergebnis_je_Aktie_verwässert!A$3:AK$103,11,FALSE))),""),"")</f>
        <v>1.1768707482993197</v>
      </c>
      <c r="Z40" s="71">
        <f>IF(VLOOKUP(A40,Dividende_je_Aktie!A$3:AM$103,12,FALSE)&lt;&gt;"",IF(VLOOKUP(A40,Ergebnis_je_Aktie_verwässert!A$3:AK$103,12,FALSE)&lt;&gt;"",IF(VLOOKUP(A40,Ergebnis_je_Aktie_verwässert!A$3:AK$103,12,FALSE)&lt;=0,2,IF(VLOOKUP(A40,Dividende_je_Aktie!A$3:AM$103,12,FALSE)/VLOOKUP(A40,Ergebnis_je_Aktie_verwässert!A$3:AK$103,12,FALSE)&gt;=2,2,VLOOKUP(A40,Dividende_je_Aktie!A$3:AM$103,12,FALSE)/VLOOKUP(A40,Ergebnis_je_Aktie_verwässert!A$3:AK$103,12,FALSE))),""),"")</f>
        <v>0.84</v>
      </c>
      <c r="AA40" s="71">
        <f>IF(VLOOKUP(A40,Dividende_je_Aktie!A$3:AM$103,13,FALSE)&lt;&gt;"",IF(VLOOKUP(A40,Ergebnis_je_Aktie_verwässert!A$3:AK$103,13,FALSE)&lt;&gt;"",IF(VLOOKUP(A40,Ergebnis_je_Aktie_verwässert!A$3:AK$103,13,FALSE)&lt;=0,2,IF(VLOOKUP(A40,Dividende_je_Aktie!A$3:AM$103,13,FALSE)/VLOOKUP(A40,Ergebnis_je_Aktie_verwässert!A$3:AK$103,13,FALSE)&gt;=2,2,VLOOKUP(A40,Dividende_je_Aktie!A$3:AM$103,13,FALSE)/VLOOKUP(A40,Ergebnis_je_Aktie_verwässert!A$3:AK$103,13,FALSE))),""),"")</f>
        <v>0.75247524752475248</v>
      </c>
      <c r="AB40" s="71">
        <f>IF(VLOOKUP(A40,Dividende_je_Aktie!A$3:AM$103,14,FALSE)&lt;&gt;"",IF(VLOOKUP(A40,Ergebnis_je_Aktie_verwässert!A$3:AK$103,14,FALSE)&lt;&gt;"",IF(VLOOKUP(A40,Ergebnis_je_Aktie_verwässert!A$3:AK$103,14,FALSE)&lt;=0,2,IF(VLOOKUP(A40,Dividende_je_Aktie!A$3:AM$103,14,FALSE)/VLOOKUP(A40,Ergebnis_je_Aktie_verwässert!A$3:AK$103,14,FALSE)&gt;=2,2,VLOOKUP(A40,Dividende_je_Aktie!A$3:AM$103,14,FALSE)/VLOOKUP(A40,Ergebnis_je_Aktie_verwässert!A$3:AK$103,14,FALSE))),""),"")</f>
        <v>0.44444444444444448</v>
      </c>
      <c r="AC40" s="71">
        <f>IF(VLOOKUP(A40,Dividende_je_Aktie!A$3:AM$103,15,FALSE)&lt;&gt;"",IF(VLOOKUP(A40,Ergebnis_je_Aktie_verwässert!A$3:AK$103,15,FALSE)&lt;&gt;"",IF(VLOOKUP(A40,Ergebnis_je_Aktie_verwässert!A$3:AK$103,15,FALSE)&lt;=0,2,IF(VLOOKUP(A40,Dividende_je_Aktie!A$3:AM$103,15,FALSE)/VLOOKUP(A40,Ergebnis_je_Aktie_verwässert!A$3:AK$103,15,FALSE)&gt;=2,2,VLOOKUP(A40,Dividende_je_Aktie!A$3:AM$103,15,FALSE)/VLOOKUP(A40,Ergebnis_je_Aktie_verwässert!A$3:AK$103,15,FALSE))),""),"")</f>
        <v>0.89940828402366868</v>
      </c>
      <c r="AD40" s="71">
        <f>IF(VLOOKUP(A40,Dividende_je_Aktie!A$3:AM$103,16,FALSE)&lt;&gt;"",IF(VLOOKUP(A40,Ergebnis_je_Aktie_verwässert!A$3:AK$103,16,FALSE)&lt;&gt;"",IF(VLOOKUP(A40,Ergebnis_je_Aktie_verwässert!A$3:AK$103,16,FALSE)&lt;=0,2,IF(VLOOKUP(A40,Dividende_je_Aktie!A$3:AM$103,16,FALSE)/VLOOKUP(A40,Ergebnis_je_Aktie_verwässert!A$3:AK$103,16,FALSE)&gt;=2,2,VLOOKUP(A40,Dividende_je_Aktie!A$3:AM$103,16,FALSE)/VLOOKUP(A40,Ergebnis_je_Aktie_verwässert!A$3:AK$103,16,FALSE))),""),"")</f>
        <v>0.53333333333333333</v>
      </c>
      <c r="AE40" s="71">
        <f>IF(VLOOKUP(A40,Dividende_je_Aktie!A$3:AM$103,17,FALSE)&lt;&gt;"",IF(VLOOKUP(A40,Ergebnis_je_Aktie_verwässert!A$3:AK$103,17,FALSE)&lt;&gt;"",IF(VLOOKUP(A40,Ergebnis_je_Aktie_verwässert!A$3:AK$103,17,FALSE)&lt;=0,2,IF(VLOOKUP(A40,Dividende_je_Aktie!A$3:AM$103,17,FALSE)/VLOOKUP(A40,Ergebnis_je_Aktie_verwässert!A$3:AK$103,17,FALSE)&gt;=2,2,VLOOKUP(A40,Dividende_je_Aktie!A$3:AM$103,17,FALSE)/VLOOKUP(A40,Ergebnis_je_Aktie_verwässert!A$3:AK$103,17,FALSE))),""),"")</f>
        <v>0.42708626018544532</v>
      </c>
      <c r="AF40" s="71">
        <f>IF(VLOOKUP(A40,Dividende_je_Aktie!A$3:AM$103,18,FALSE)&lt;&gt;"",IF(VLOOKUP(A40,Ergebnis_je_Aktie_verwässert!A$3:AK$103,18,FALSE)&lt;&gt;"",IF(VLOOKUP(A40,Ergebnis_je_Aktie_verwässert!A$3:AK$103,18,FALSE)&lt;=0,2,IF(VLOOKUP(A40,Dividende_je_Aktie!A$3:AM$103,18,FALSE)/VLOOKUP(A40,Ergebnis_je_Aktie_verwässert!A$3:AK$103,18,FALSE)&gt;=2,2,VLOOKUP(A40,Dividende_je_Aktie!A$3:AM$103,18,FALSE)/VLOOKUP(A40,Ergebnis_je_Aktie_verwässert!A$3:AK$103,18,FALSE))),""),"")</f>
        <v>0.74876847290640403</v>
      </c>
      <c r="AG40" s="105">
        <f t="shared" si="8"/>
        <v>0.78540142702434124</v>
      </c>
      <c r="AH40" s="4">
        <f t="shared" ca="1" si="9"/>
        <v>0</v>
      </c>
      <c r="AI40" s="4">
        <f t="shared" ca="1" si="10"/>
        <v>108</v>
      </c>
      <c r="AJ40" s="4">
        <f t="shared" ca="1" si="11"/>
        <v>252</v>
      </c>
      <c r="AK40" s="10">
        <f t="shared" ca="1" si="12"/>
        <v>0.72220798085960869</v>
      </c>
      <c r="AL40" s="5">
        <f t="shared" ca="1" si="13"/>
        <v>-8.046006028299979E-2</v>
      </c>
    </row>
    <row r="41" spans="1:38">
      <c r="A41" t="s">
        <v>54</v>
      </c>
      <c r="B41" t="s">
        <v>55</v>
      </c>
      <c r="C41" s="60">
        <v>30</v>
      </c>
      <c r="D41" s="60">
        <v>6</v>
      </c>
      <c r="E41" s="60">
        <v>2016</v>
      </c>
      <c r="F41" s="71">
        <f>IF(VLOOKUP(A41,Dividende_je_Aktie!A$3:AM$103,6,FALSE)&lt;&gt;"",IF(VLOOKUP(A41,Ergebnis_je_Aktie_verwässert!A$3:AK$103,6,FALSE)&lt;&gt;"",IF(VLOOKUP(A41,Ergebnis_je_Aktie_verwässert!A$3:AK$103,6,FALSE)&lt;=0,2,IF(VLOOKUP(A41,Dividende_je_Aktie!A$3:AM$103,6,FALSE)/VLOOKUP(A41,Ergebnis_je_Aktie_verwässert!A$3:AK$103,6,FALSE)&gt;=2,2,VLOOKUP(A41,Dividende_je_Aktie!A$3:AM$103,6,FALSE)/VLOOKUP(A41,Ergebnis_je_Aktie_verwässert!A$3:AK$103,6,FALSE))),""),"")</f>
        <v>0.44931506849315067</v>
      </c>
      <c r="G41" s="71">
        <f>IF(VLOOKUP(A41,Dividende_je_Aktie!A$3:AM$103,7,FALSE)&lt;&gt;"",IF(VLOOKUP(A41,Ergebnis_je_Aktie_verwässert!A$3:AK$103,7,FALSE)&lt;&gt;"",IF(VLOOKUP(A41,Ergebnis_je_Aktie_verwässert!A$3:AK$103,7,FALSE)&lt;=0,2,IF(VLOOKUP(A41,Dividende_je_Aktie!A$3:AM$103,7,FALSE)/VLOOKUP(A41,Ergebnis_je_Aktie_verwässert!A$3:AK$103,7,FALSE)&gt;=2,2,VLOOKUP(A41,Dividende_je_Aktie!A$3:AM$103,7,FALSE)/VLOOKUP(A41,Ergebnis_je_Aktie_verwässert!A$3:AK$103,7,FALSE))),""),"")</f>
        <v>0.51505016722408026</v>
      </c>
      <c r="H41" s="71">
        <f>IF(VLOOKUP(A41,Fiktive_Dividende!A$3:AM$103,14,FALSE)&lt;&gt;"",IF(VLOOKUP(A41,Ergebnis_je_Aktie_verwässert!A$3:AK$103,8,FALSE)&lt;&gt;"",IF(VLOOKUP(A41,Ergebnis_je_Aktie_verwässert!A$3:AK$103,8,FALSE)&lt;=0,2,IF(VLOOKUP(A41,Fiktive_Dividende!A$3:AM$103,14,FALSE)/VLOOKUP(A41,Ergebnis_je_Aktie_verwässert!A$3:AK$103,8,FALSE)&gt;=2,2,VLOOKUP(A41,Fiktive_Dividende!A$3:AM$103,14,FALSE)/VLOOKUP(A41,Ergebnis_je_Aktie_verwässert!A$3:AK$103,8,FALSE))),""),"")</f>
        <v>0.56854838709677413</v>
      </c>
      <c r="I41" s="71">
        <f>IF(VLOOKUP(A41,Fiktive_Dividende!A$3:AM$103,15,FALSE)&lt;&gt;"",IF(VLOOKUP(A41,Ergebnis_je_Aktie_verwässert!A$3:AK$103,9,FALSE)&lt;&gt;"",IF(VLOOKUP(A41,Ergebnis_je_Aktie_verwässert!A$3:AK$103,9,FALSE)&lt;=0,2,IF(VLOOKUP(A41,Fiktive_Dividende!A$3:AM$103,15,FALSE)/VLOOKUP(A41,Ergebnis_je_Aktie_verwässert!A$3:AK$103,9,FALSE)&gt;=2,2,VLOOKUP(A41,Fiktive_Dividende!A$3:AM$103,15,FALSE)/VLOOKUP(A41,Ergebnis_je_Aktie_verwässert!A$3:AK$103,9,FALSE))),""),"")</f>
        <v>0.91484396056844264</v>
      </c>
      <c r="J41" s="71">
        <f>IF(VLOOKUP(A41,Fiktive_Dividende!A$3:AM$103,16,FALSE)&lt;&gt;"",IF(VLOOKUP(A41,Ergebnis_je_Aktie_verwässert!A$3:AK$103,10,FALSE)&lt;&gt;"",IF(VLOOKUP(A41,Ergebnis_je_Aktie_verwässert!A$3:AK$103,10,FALSE)&lt;=0,2,IF(VLOOKUP(A41,Fiktive_Dividende!A$3:AM$103,16,FALSE)/VLOOKUP(A41,Ergebnis_je_Aktie_verwässert!A$3:AK$103,10,FALSE)&gt;=2,2,VLOOKUP(A41,Fiktive_Dividende!A$3:AM$103,16,FALSE)/VLOOKUP(A41,Ergebnis_je_Aktie_verwässert!A$3:AK$103,10,FALSE))),""),"")</f>
        <v>0.5971312366252135</v>
      </c>
      <c r="K41" s="71">
        <f>IF(VLOOKUP(A41,Fiktive_Dividende!A$3:AM$103,17,FALSE)&lt;&gt;"",IF(VLOOKUP(A41,Ergebnis_je_Aktie_verwässert!A$3:AK$103,11,FALSE)&lt;&gt;"",IF(VLOOKUP(A41,Ergebnis_je_Aktie_verwässert!A$3:AK$103,11,FALSE)&lt;=0,2,IF(VLOOKUP(A41,Fiktive_Dividende!A$3:AM$103,17,FALSE)/VLOOKUP(A41,Ergebnis_je_Aktie_verwässert!A$3:AK$103,11,FALSE)&gt;=2,2,VLOOKUP(A41,Fiktive_Dividende!A$3:AM$103,17,FALSE)/VLOOKUP(A41,Ergebnis_je_Aktie_verwässert!A$3:AK$103,11,FALSE))),""),"")</f>
        <v>0.42690895206640112</v>
      </c>
      <c r="L41" s="71">
        <f>IF(VLOOKUP(A41,Fiktive_Dividende!A$3:AM$103,18,FALSE)&lt;&gt;"",IF(VLOOKUP(A41,Ergebnis_je_Aktie_verwässert!A$3:AK$103,12,FALSE)&lt;&gt;"",IF(VLOOKUP(A41,Ergebnis_je_Aktie_verwässert!A$3:AK$103,12,FALSE)&lt;=0,2,IF(VLOOKUP(A41,Fiktive_Dividende!A$3:AM$103,18,FALSE)/VLOOKUP(A41,Ergebnis_je_Aktie_verwässert!A$3:AK$103,12,FALSE)&gt;=2,2,VLOOKUP(A41,Fiktive_Dividende!A$3:AM$103,18,FALSE)/VLOOKUP(A41,Ergebnis_je_Aktie_verwässert!A$3:AK$103,12,FALSE))),""),"")</f>
        <v>0.29304029304029305</v>
      </c>
      <c r="M41" s="71">
        <f>IF(VLOOKUP(A41,Fiktive_Dividende!A$3:AM$103,19,FALSE)&lt;&gt;"",IF(VLOOKUP(A41,Ergebnis_je_Aktie_verwässert!A$3:AK$103,13,FALSE)&lt;&gt;"",IF(VLOOKUP(A41,Ergebnis_je_Aktie_verwässert!A$3:AK$103,13,FALSE)&lt;=0,2,IF(VLOOKUP(A41,Fiktive_Dividende!A$3:AM$103,19,FALSE)/VLOOKUP(A41,Ergebnis_je_Aktie_verwässert!A$3:AK$103,13,FALSE)&gt;=2,2,VLOOKUP(A41,Fiktive_Dividende!A$3:AM$103,19,FALSE)/VLOOKUP(A41,Ergebnis_je_Aktie_verwässert!A$3:AK$103,13,FALSE))),""),"")</f>
        <v>0.57486960442830104</v>
      </c>
      <c r="N41" s="71">
        <f>IF(VLOOKUP(A41,Fiktive_Dividende!A$3:AM$103,20,FALSE)&lt;&gt;"",IF(VLOOKUP(A41,Ergebnis_je_Aktie_verwässert!A$3:AK$103,14,FALSE)&lt;&gt;"",IF(VLOOKUP(A41,Ergebnis_je_Aktie_verwässert!A$3:AK$103,14,FALSE)&lt;=0,2,IF(VLOOKUP(A41,Fiktive_Dividende!A$3:AM$103,20,FALSE)/VLOOKUP(A41,Ergebnis_je_Aktie_verwässert!A$3:AK$103,14,FALSE)&gt;=2,2,VLOOKUP(A41,Fiktive_Dividende!A$3:AM$103,20,FALSE)/VLOOKUP(A41,Ergebnis_je_Aktie_verwässert!A$3:AK$103,14,FALSE))),""),"")</f>
        <v>0.55100094490957441</v>
      </c>
      <c r="O41" s="71">
        <f>IF(VLOOKUP(A41,Fiktive_Dividende!A$3:AM$103,21,FALSE)&lt;&gt;"",IF(VLOOKUP(A41,Ergebnis_je_Aktie_verwässert!A$3:AK$103,15,FALSE)&lt;&gt;"",IF(VLOOKUP(A41,Ergebnis_je_Aktie_verwässert!A$3:AK$103,15,FALSE)&lt;=0,2,IF(VLOOKUP(A41,Fiktive_Dividende!A$3:AM$103,21,FALSE)/VLOOKUP(A41,Ergebnis_je_Aktie_verwässert!A$3:AK$103,15,FALSE)&gt;=2,2,VLOOKUP(A41,Fiktive_Dividende!A$3:AM$103,21,FALSE)/VLOOKUP(A41,Ergebnis_je_Aktie_verwässert!A$3:AK$103,15,FALSE))),""),"")</f>
        <v>0.72124584920199342</v>
      </c>
      <c r="P41" s="71">
        <f>IF(VLOOKUP(A41,Fiktive_Dividende!A$3:AM$103,22,FALSE)&lt;&gt;"",IF(VLOOKUP(A41,Ergebnis_je_Aktie_verwässert!A$3:AK$103,16,FALSE)&lt;&gt;"",IF(VLOOKUP(A41,Ergebnis_je_Aktie_verwässert!A$3:AK$103,16,FALSE)&lt;=0,2,IF(VLOOKUP(A41,Fiktive_Dividende!A$3:AM$103,22,FALSE)/VLOOKUP(A41,Ergebnis_je_Aktie_verwässert!A$3:AK$103,16,FALSE)&gt;=2,2,VLOOKUP(A41,Fiktive_Dividende!A$3:AM$103,22,FALSE)/VLOOKUP(A41,Ergebnis_je_Aktie_verwässert!A$3:AK$103,16,FALSE))),""),"")</f>
        <v>0.60343657833485365</v>
      </c>
      <c r="Q41" s="71">
        <f>IF(VLOOKUP(A41,Fiktive_Dividende!A$3:AM$103,23,FALSE)&lt;&gt;"",IF(VLOOKUP(A41,Ergebnis_je_Aktie_verwässert!A$3:AK$103,17,FALSE)&lt;&gt;"",IF(VLOOKUP(A41,Ergebnis_je_Aktie_verwässert!A$3:AK$103,17,FALSE)&lt;=0,2,IF(VLOOKUP(A41,Fiktive_Dividende!A$3:AM$103,23,FALSE)/VLOOKUP(A41,Ergebnis_je_Aktie_verwässert!A$3:AK$103,17,FALSE)&gt;=2,2,VLOOKUP(A41,Fiktive_Dividende!A$3:AM$103,23,FALSE)/VLOOKUP(A41,Ergebnis_je_Aktie_verwässert!A$3:AK$103,17,FALSE))),""),"")</f>
        <v>1.7906348538995165</v>
      </c>
      <c r="R41" s="71">
        <f>IF(VLOOKUP(A41,Fiktive_Dividende!A$3:AM$103,24,FALSE)&lt;&gt;"",IF(VLOOKUP(A41,Ergebnis_je_Aktie_verwässert!A$3:AK$103,18,FALSE)&lt;&gt;"",IF(VLOOKUP(A41,Ergebnis_je_Aktie_verwässert!A$3:AK$103,18,FALSE)&lt;=0,2,IF(VLOOKUP(A41,Fiktive_Dividende!A$3:AM$103,24,FALSE)/VLOOKUP(A41,Ergebnis_je_Aktie_verwässert!A$3:AK$103,18,FALSE)&gt;=2,2,VLOOKUP(A41,Fiktive_Dividende!A$3:AM$103,24,FALSE)/VLOOKUP(A41,Ergebnis_je_Aktie_verwässert!A$3:AK$103,18,FALSE))),""),"")</f>
        <v>1.5421138938580801</v>
      </c>
      <c r="S41" s="105">
        <f t="shared" si="7"/>
        <v>0.73447229151897497</v>
      </c>
      <c r="T41" s="71">
        <f>IF(VLOOKUP(A41,Dividende_je_Aktie!A$3:AM$103,6,FALSE)&lt;&gt;"",IF(VLOOKUP(A41,Ergebnis_je_Aktie_verwässert!A$3:AK$103,6,FALSE)&lt;&gt;"",IF(VLOOKUP(A41,Ergebnis_je_Aktie_verwässert!A$3:AK$103,6,FALSE)&lt;=0,2,IF(VLOOKUP(A41,Dividende_je_Aktie!A$3:AM$103,6,FALSE)/VLOOKUP(A41,Ergebnis_je_Aktie_verwässert!A$3:AK$103,6,FALSE)&gt;=2,2,VLOOKUP(A41,Dividende_je_Aktie!A$3:AM$103,6,FALSE)/VLOOKUP(A41,Ergebnis_je_Aktie_verwässert!A$3:AK$103,6,FALSE))),""),"")</f>
        <v>0.44931506849315067</v>
      </c>
      <c r="U41" s="71">
        <f>IF(VLOOKUP(A41,Dividende_je_Aktie!A$3:AM$103,7,FALSE)&lt;&gt;"",IF(VLOOKUP(A41,Ergebnis_je_Aktie_verwässert!A$3:AK$103,7,FALSE)&lt;&gt;"",IF(VLOOKUP(A41,Ergebnis_je_Aktie_verwässert!A$3:AK$103,7,FALSE)&lt;=0,2,IF(VLOOKUP(A41,Dividende_je_Aktie!A$3:AM$103,7,FALSE)/VLOOKUP(A41,Ergebnis_je_Aktie_verwässert!A$3:AK$103,7,FALSE)&gt;=2,2,VLOOKUP(A41,Dividende_je_Aktie!A$3:AM$103,7,FALSE)/VLOOKUP(A41,Ergebnis_je_Aktie_verwässert!A$3:AK$103,7,FALSE))),""),"")</f>
        <v>0.51505016722408026</v>
      </c>
      <c r="V41" s="71">
        <f>IF(VLOOKUP(A41,Dividende_je_Aktie!A$3:AM$103,8,FALSE)&lt;&gt;"",IF(VLOOKUP(A41,Ergebnis_je_Aktie_verwässert!A$3:AK$103,8,FALSE)&lt;&gt;"",IF(VLOOKUP(A41,Ergebnis_je_Aktie_verwässert!A$3:AK$103,8,FALSE)&lt;=0,2,IF(VLOOKUP(A41,Dividende_je_Aktie!A$3:AM$103,8,FALSE)/VLOOKUP(A41,Ergebnis_je_Aktie_verwässert!A$3:AK$103,8,FALSE)&gt;=2,2,VLOOKUP(A41,Dividende_je_Aktie!A$3:AM$103,8,FALSE)/VLOOKUP(A41,Ergebnis_je_Aktie_verwässert!A$3:AK$103,8,FALSE))),""),"")</f>
        <v>0.56854838709677413</v>
      </c>
      <c r="W41" s="71">
        <f>IF(VLOOKUP(A41,Dividende_je_Aktie!A$3:AM$103,9,FALSE)&lt;&gt;"",IF(VLOOKUP(A41,Ergebnis_je_Aktie_verwässert!A$3:AK$103,9,FALSE)&lt;&gt;"",IF(VLOOKUP(A41,Ergebnis_je_Aktie_verwässert!A$3:AK$103,9,FALSE)&lt;=0,2,IF(VLOOKUP(A41,Dividende_je_Aktie!A$3:AM$103,9,FALSE)/VLOOKUP(A41,Ergebnis_je_Aktie_verwässert!A$3:AK$103,9,FALSE)&gt;=2,2,VLOOKUP(A41,Dividende_je_Aktie!A$3:AM$103,9,FALSE)/VLOOKUP(A41,Ergebnis_je_Aktie_verwässert!A$3:AK$103,9,FALSE))),""),"")</f>
        <v>0.47148288973384034</v>
      </c>
      <c r="X41" s="71">
        <f>IF(VLOOKUP(A41,Dividende_je_Aktie!A$3:AM$103,10,FALSE)&lt;&gt;"",IF(VLOOKUP(A41,Ergebnis_je_Aktie_verwässert!A$3:AK$103,10,FALSE)&lt;&gt;"",IF(VLOOKUP(A41,Ergebnis_je_Aktie_verwässert!A$3:AK$103,10,FALSE)&lt;=0,2,IF(VLOOKUP(A41,Dividende_je_Aktie!A$3:AM$103,10,FALSE)/VLOOKUP(A41,Ergebnis_je_Aktie_verwässert!A$3:AK$103,10,FALSE)&gt;=2,2,VLOOKUP(A41,Dividende_je_Aktie!A$3:AM$103,10,FALSE)/VLOOKUP(A41,Ergebnis_je_Aktie_verwässert!A$3:AK$103,10,FALSE))),""),"")</f>
        <v>0.42585551330798482</v>
      </c>
      <c r="Y41" s="71">
        <f>IF(VLOOKUP(A41,Dividende_je_Aktie!A$3:AM$103,11,FALSE)&lt;&gt;"",IF(VLOOKUP(A41,Ergebnis_je_Aktie_verwässert!A$3:AK$103,11,FALSE)&lt;&gt;"",IF(VLOOKUP(A41,Ergebnis_je_Aktie_verwässert!A$3:AK$103,11,FALSE)&lt;=0,2,IF(VLOOKUP(A41,Dividende_je_Aktie!A$3:AM$103,11,FALSE)/VLOOKUP(A41,Ergebnis_je_Aktie_verwässert!A$3:AK$103,11,FALSE)&gt;=2,2,VLOOKUP(A41,Dividende_je_Aktie!A$3:AM$103,11,FALSE)/VLOOKUP(A41,Ergebnis_je_Aktie_verwässert!A$3:AK$103,11,FALSE))),""),"")</f>
        <v>0.34456928838951312</v>
      </c>
      <c r="Z41" s="71">
        <f>IF(VLOOKUP(A41,Dividende_je_Aktie!A$3:AM$103,12,FALSE)&lt;&gt;"",IF(VLOOKUP(A41,Ergebnis_je_Aktie_verwässert!A$3:AK$103,12,FALSE)&lt;&gt;"",IF(VLOOKUP(A41,Ergebnis_je_Aktie_verwässert!A$3:AK$103,12,FALSE)&lt;=0,2,IF(VLOOKUP(A41,Dividende_je_Aktie!A$3:AM$103,12,FALSE)/VLOOKUP(A41,Ergebnis_je_Aktie_verwässert!A$3:AK$103,12,FALSE)&gt;=2,2,VLOOKUP(A41,Dividende_je_Aktie!A$3:AM$103,12,FALSE)/VLOOKUP(A41,Ergebnis_je_Aktie_verwässert!A$3:AK$103,12,FALSE))),""),"")</f>
        <v>0.29304029304029305</v>
      </c>
      <c r="AA41" s="71">
        <f>IF(VLOOKUP(A41,Dividende_je_Aktie!A$3:AM$103,13,FALSE)&lt;&gt;"",IF(VLOOKUP(A41,Ergebnis_je_Aktie_verwässert!A$3:AK$103,13,FALSE)&lt;&gt;"",IF(VLOOKUP(A41,Ergebnis_je_Aktie_verwässert!A$3:AK$103,13,FALSE)&lt;=0,2,IF(VLOOKUP(A41,Dividende_je_Aktie!A$3:AM$103,13,FALSE)/VLOOKUP(A41,Ergebnis_je_Aktie_verwässert!A$3:AK$103,13,FALSE)&gt;=2,2,VLOOKUP(A41,Dividende_je_Aktie!A$3:AM$103,13,FALSE)/VLOOKUP(A41,Ergebnis_je_Aktie_verwässert!A$3:AK$103,13,FALSE))),""),"")</f>
        <v>0.23791821561338292</v>
      </c>
      <c r="AB41" s="71">
        <f>IF(VLOOKUP(A41,Dividende_je_Aktie!A$3:AM$103,14,FALSE)&lt;&gt;"",IF(VLOOKUP(A41,Ergebnis_je_Aktie_verwässert!A$3:AK$103,14,FALSE)&lt;&gt;"",IF(VLOOKUP(A41,Ergebnis_je_Aktie_verwässert!A$3:AK$103,14,FALSE)&lt;=0,2,IF(VLOOKUP(A41,Dividende_je_Aktie!A$3:AM$103,14,FALSE)/VLOOKUP(A41,Ergebnis_je_Aktie_verwässert!A$3:AK$103,14,FALSE)&gt;=2,2,VLOOKUP(A41,Dividende_je_Aktie!A$3:AM$103,14,FALSE)/VLOOKUP(A41,Ergebnis_je_Aktie_verwässert!A$3:AK$103,14,FALSE))),""),"")</f>
        <v>0.24761904761904763</v>
      </c>
      <c r="AC41" s="71">
        <f>IF(VLOOKUP(A41,Dividende_je_Aktie!A$3:AM$103,15,FALSE)&lt;&gt;"",IF(VLOOKUP(A41,Ergebnis_je_Aktie_verwässert!A$3:AK$103,15,FALSE)&lt;&gt;"",IF(VLOOKUP(A41,Ergebnis_je_Aktie_verwässert!A$3:AK$103,15,FALSE)&lt;=0,2,IF(VLOOKUP(A41,Dividende_je_Aktie!A$3:AM$103,15,FALSE)/VLOOKUP(A41,Ergebnis_je_Aktie_verwässert!A$3:AK$103,15,FALSE)&gt;=2,2,VLOOKUP(A41,Dividende_je_Aktie!A$3:AM$103,15,FALSE)/VLOOKUP(A41,Ergebnis_je_Aktie_verwässert!A$3:AK$103,15,FALSE))),""),"")</f>
        <v>0.32098765432098764</v>
      </c>
      <c r="AD41" s="71">
        <f>IF(VLOOKUP(A41,Dividende_je_Aktie!A$3:AM$103,16,FALSE)&lt;&gt;"",IF(VLOOKUP(A41,Ergebnis_je_Aktie_verwässert!A$3:AK$103,16,FALSE)&lt;&gt;"",IF(VLOOKUP(A41,Ergebnis_je_Aktie_verwässert!A$3:AK$103,16,FALSE)&lt;=0,2,IF(VLOOKUP(A41,Dividende_je_Aktie!A$3:AM$103,16,FALSE)/VLOOKUP(A41,Ergebnis_je_Aktie_verwässert!A$3:AK$103,16,FALSE)&gt;=2,2,VLOOKUP(A41,Dividende_je_Aktie!A$3:AM$103,16,FALSE)/VLOOKUP(A41,Ergebnis_je_Aktie_verwässert!A$3:AK$103,16,FALSE))),""),"")</f>
        <v>0.23529411764705882</v>
      </c>
      <c r="AE41" s="71">
        <f>IF(VLOOKUP(A41,Dividende_je_Aktie!A$3:AM$103,17,FALSE)&lt;&gt;"",IF(VLOOKUP(A41,Ergebnis_je_Aktie_verwässert!A$3:AK$103,17,FALSE)&lt;&gt;"",IF(VLOOKUP(A41,Ergebnis_je_Aktie_verwässert!A$3:AK$103,17,FALSE)&lt;=0,2,IF(VLOOKUP(A41,Dividende_je_Aktie!A$3:AM$103,17,FALSE)/VLOOKUP(A41,Ergebnis_je_Aktie_verwässert!A$3:AK$103,17,FALSE)&gt;=2,2,VLOOKUP(A41,Dividende_je_Aktie!A$3:AM$103,17,FALSE)/VLOOKUP(A41,Ergebnis_je_Aktie_verwässert!A$3:AK$103,17,FALSE))),""),"")</f>
        <v>0.28169014084507044</v>
      </c>
      <c r="AF41" s="71">
        <f>IF(VLOOKUP(A41,Dividende_je_Aktie!A$3:AM$103,18,FALSE)&lt;&gt;"",IF(VLOOKUP(A41,Ergebnis_je_Aktie_verwässert!A$3:AK$103,18,FALSE)&lt;&gt;"",IF(VLOOKUP(A41,Ergebnis_je_Aktie_verwässert!A$3:AK$103,18,FALSE)&lt;=0,2,IF(VLOOKUP(A41,Dividende_je_Aktie!A$3:AM$103,18,FALSE)/VLOOKUP(A41,Ergebnis_je_Aktie_verwässert!A$3:AK$103,18,FALSE)&gt;=2,2,VLOOKUP(A41,Dividende_je_Aktie!A$3:AM$103,18,FALSE)/VLOOKUP(A41,Ergebnis_je_Aktie_verwässert!A$3:AK$103,18,FALSE))),""),"")</f>
        <v>0.29166666666666669</v>
      </c>
      <c r="AG41" s="105">
        <f t="shared" si="8"/>
        <v>0.36023364999983465</v>
      </c>
      <c r="AH41" s="4">
        <f t="shared" ca="1" si="9"/>
        <v>0</v>
      </c>
      <c r="AI41" s="4">
        <f t="shared" ca="1" si="10"/>
        <v>289</v>
      </c>
      <c r="AJ41" s="4">
        <f t="shared" ca="1" si="11"/>
        <v>71</v>
      </c>
      <c r="AK41" s="10">
        <f t="shared" ca="1" si="12"/>
        <v>0.5256012050323059</v>
      </c>
      <c r="AL41" s="5">
        <f t="shared" ca="1" si="13"/>
        <v>0.45905637919319076</v>
      </c>
    </row>
    <row r="42" spans="1:38">
      <c r="A42" t="s">
        <v>56</v>
      </c>
      <c r="B42" t="s">
        <v>57</v>
      </c>
      <c r="C42" s="60">
        <v>31</v>
      </c>
      <c r="D42" s="60">
        <v>12</v>
      </c>
      <c r="E42" s="60">
        <v>2016</v>
      </c>
      <c r="F42" s="71">
        <f>IF(VLOOKUP(A42,Dividende_je_Aktie!A$3:AM$103,6,FALSE)&lt;&gt;"",IF(VLOOKUP(A42,Ergebnis_je_Aktie_verwässert!A$3:AK$103,6,FALSE)&lt;&gt;"",IF(VLOOKUP(A42,Ergebnis_je_Aktie_verwässert!A$3:AK$103,6,FALSE)&lt;=0,2,IF(VLOOKUP(A42,Dividende_je_Aktie!A$3:AM$103,6,FALSE)/VLOOKUP(A42,Ergebnis_je_Aktie_verwässert!A$3:AK$103,6,FALSE)&gt;=2,2,VLOOKUP(A42,Dividende_je_Aktie!A$3:AM$103,6,FALSE)/VLOOKUP(A42,Ergebnis_je_Aktie_verwässert!A$3:AK$103,6,FALSE))),""),"")</f>
        <v>0.36651583710407243</v>
      </c>
      <c r="G42" s="71">
        <f>IF(VLOOKUP(A42,Dividende_je_Aktie!A$3:AM$103,7,FALSE)&lt;&gt;"",IF(VLOOKUP(A42,Ergebnis_je_Aktie_verwässert!A$3:AK$103,7,FALSE)&lt;&gt;"",IF(VLOOKUP(A42,Ergebnis_je_Aktie_verwässert!A$3:AK$103,7,FALSE)&lt;=0,2,IF(VLOOKUP(A42,Dividende_je_Aktie!A$3:AM$103,7,FALSE)/VLOOKUP(A42,Ergebnis_je_Aktie_verwässert!A$3:AK$103,7,FALSE)&gt;=2,2,VLOOKUP(A42,Dividende_je_Aktie!A$3:AM$103,7,FALSE)/VLOOKUP(A42,Ergebnis_je_Aktie_verwässert!A$3:AK$103,7,FALSE))),""),"")</f>
        <v>0.38578680203045684</v>
      </c>
      <c r="H42" s="71">
        <f>IF(VLOOKUP(A42,Fiktive_Dividende!A$3:AM$103,14,FALSE)&lt;&gt;"",IF(VLOOKUP(A42,Ergebnis_je_Aktie_verwässert!A$3:AK$103,8,FALSE)&lt;&gt;"",IF(VLOOKUP(A42,Ergebnis_je_Aktie_verwässert!A$3:AK$103,8,FALSE)&lt;=0,2,IF(VLOOKUP(A42,Fiktive_Dividende!A$3:AM$103,14,FALSE)/VLOOKUP(A42,Ergebnis_je_Aktie_verwässert!A$3:AK$103,8,FALSE)&gt;=2,2,VLOOKUP(A42,Fiktive_Dividende!A$3:AM$103,14,FALSE)/VLOOKUP(A42,Ergebnis_je_Aktie_verwässert!A$3:AK$103,8,FALSE))),""),"")</f>
        <v>0.39766081871345033</v>
      </c>
      <c r="I42" s="71">
        <f>IF(VLOOKUP(A42,Fiktive_Dividende!A$3:AM$103,15,FALSE)&lt;&gt;"",IF(VLOOKUP(A42,Ergebnis_je_Aktie_verwässert!A$3:AK$103,9,FALSE)&lt;&gt;"",IF(VLOOKUP(A42,Ergebnis_je_Aktie_verwässert!A$3:AK$103,9,FALSE)&lt;=0,2,IF(VLOOKUP(A42,Fiktive_Dividende!A$3:AM$103,15,FALSE)/VLOOKUP(A42,Ergebnis_je_Aktie_verwässert!A$3:AK$103,9,FALSE)&gt;=2,2,VLOOKUP(A42,Fiktive_Dividende!A$3:AM$103,15,FALSE)/VLOOKUP(A42,Ergebnis_je_Aktie_verwässert!A$3:AK$103,9,FALSE))),""),"")</f>
        <v>1.7279421338155516</v>
      </c>
      <c r="J42" s="71">
        <f>IF(VLOOKUP(A42,Fiktive_Dividende!A$3:AM$103,16,FALSE)&lt;&gt;"",IF(VLOOKUP(A42,Ergebnis_je_Aktie_verwässert!A$3:AK$103,10,FALSE)&lt;&gt;"",IF(VLOOKUP(A42,Ergebnis_je_Aktie_verwässert!A$3:AK$103,10,FALSE)&lt;=0,2,IF(VLOOKUP(A42,Fiktive_Dividende!A$3:AM$103,16,FALSE)/VLOOKUP(A42,Ergebnis_je_Aktie_verwässert!A$3:AK$103,10,FALSE)&gt;=2,2,VLOOKUP(A42,Fiktive_Dividende!A$3:AM$103,16,FALSE)/VLOOKUP(A42,Ergebnis_je_Aktie_verwässert!A$3:AK$103,10,FALSE))),""),"")</f>
        <v>0.84287259615384613</v>
      </c>
      <c r="K42" s="71">
        <f>IF(VLOOKUP(A42,Fiktive_Dividende!A$3:AM$103,17,FALSE)&lt;&gt;"",IF(VLOOKUP(A42,Ergebnis_je_Aktie_verwässert!A$3:AK$103,11,FALSE)&lt;&gt;"",IF(VLOOKUP(A42,Ergebnis_je_Aktie_verwässert!A$3:AK$103,11,FALSE)&lt;=0,2,IF(VLOOKUP(A42,Fiktive_Dividende!A$3:AM$103,17,FALSE)/VLOOKUP(A42,Ergebnis_je_Aktie_verwässert!A$3:AK$103,11,FALSE)&gt;=2,2,VLOOKUP(A42,Fiktive_Dividende!A$3:AM$103,17,FALSE)/VLOOKUP(A42,Ergebnis_je_Aktie_verwässert!A$3:AK$103,11,FALSE))),""),"")</f>
        <v>1.3320638305975547</v>
      </c>
      <c r="L42" s="71">
        <f>IF(VLOOKUP(A42,Fiktive_Dividende!A$3:AM$103,18,FALSE)&lt;&gt;"",IF(VLOOKUP(A42,Ergebnis_je_Aktie_verwässert!A$3:AK$103,12,FALSE)&lt;&gt;"",IF(VLOOKUP(A42,Ergebnis_je_Aktie_verwässert!A$3:AK$103,12,FALSE)&lt;=0,2,IF(VLOOKUP(A42,Fiktive_Dividende!A$3:AM$103,18,FALSE)/VLOOKUP(A42,Ergebnis_je_Aktie_verwässert!A$3:AK$103,12,FALSE)&gt;=2,2,VLOOKUP(A42,Fiktive_Dividende!A$3:AM$103,18,FALSE)/VLOOKUP(A42,Ergebnis_je_Aktie_verwässert!A$3:AK$103,12,FALSE))),""),"")</f>
        <v>0.41551246537396125</v>
      </c>
      <c r="M42" s="71">
        <f>IF(VLOOKUP(A42,Fiktive_Dividende!A$3:AM$103,19,FALSE)&lt;&gt;"",IF(VLOOKUP(A42,Ergebnis_je_Aktie_verwässert!A$3:AK$103,13,FALSE)&lt;&gt;"",IF(VLOOKUP(A42,Ergebnis_je_Aktie_verwässert!A$3:AK$103,13,FALSE)&lt;=0,2,IF(VLOOKUP(A42,Fiktive_Dividende!A$3:AM$103,19,FALSE)/VLOOKUP(A42,Ergebnis_je_Aktie_verwässert!A$3:AK$103,13,FALSE)&gt;=2,2,VLOOKUP(A42,Fiktive_Dividende!A$3:AM$103,19,FALSE)/VLOOKUP(A42,Ergebnis_je_Aktie_verwässert!A$3:AK$103,13,FALSE))),""),"")</f>
        <v>0.29219143576826201</v>
      </c>
      <c r="N42" s="71">
        <f>IF(VLOOKUP(A42,Fiktive_Dividende!A$3:AM$103,20,FALSE)&lt;&gt;"",IF(VLOOKUP(A42,Ergebnis_je_Aktie_verwässert!A$3:AK$103,14,FALSE)&lt;&gt;"",IF(VLOOKUP(A42,Ergebnis_je_Aktie_verwässert!A$3:AK$103,14,FALSE)&lt;=0,2,IF(VLOOKUP(A42,Fiktive_Dividende!A$3:AM$103,20,FALSE)/VLOOKUP(A42,Ergebnis_je_Aktie_verwässert!A$3:AK$103,14,FALSE)&gt;=2,2,VLOOKUP(A42,Fiktive_Dividende!A$3:AM$103,20,FALSE)/VLOOKUP(A42,Ergebnis_je_Aktie_verwässert!A$3:AK$103,14,FALSE))),""),"")</f>
        <v>0.32402234636871502</v>
      </c>
      <c r="O42" s="71">
        <f>IF(VLOOKUP(A42,Fiktive_Dividende!A$3:AM$103,21,FALSE)&lt;&gt;"",IF(VLOOKUP(A42,Ergebnis_je_Aktie_verwässert!A$3:AK$103,15,FALSE)&lt;&gt;"",IF(VLOOKUP(A42,Ergebnis_je_Aktie_verwässert!A$3:AK$103,15,FALSE)&lt;=0,2,IF(VLOOKUP(A42,Fiktive_Dividende!A$3:AM$103,21,FALSE)/VLOOKUP(A42,Ergebnis_je_Aktie_verwässert!A$3:AK$103,15,FALSE)&gt;=2,2,VLOOKUP(A42,Fiktive_Dividende!A$3:AM$103,21,FALSE)/VLOOKUP(A42,Ergebnis_je_Aktie_verwässert!A$3:AK$103,15,FALSE))),""),"")</f>
        <v>0.30687830687830686</v>
      </c>
      <c r="P42" s="71">
        <f>IF(VLOOKUP(A42,Fiktive_Dividende!A$3:AM$103,22,FALSE)&lt;&gt;"",IF(VLOOKUP(A42,Ergebnis_je_Aktie_verwässert!A$3:AK$103,16,FALSE)&lt;&gt;"",IF(VLOOKUP(A42,Ergebnis_je_Aktie_verwässert!A$3:AK$103,16,FALSE)&lt;=0,2,IF(VLOOKUP(A42,Fiktive_Dividende!A$3:AM$103,22,FALSE)/VLOOKUP(A42,Ergebnis_je_Aktie_verwässert!A$3:AK$103,16,FALSE)&gt;=2,2,VLOOKUP(A42,Fiktive_Dividende!A$3:AM$103,22,FALSE)/VLOOKUP(A42,Ergebnis_je_Aktie_verwässert!A$3:AK$103,16,FALSE))),""),"")</f>
        <v>1.0640607645731075</v>
      </c>
      <c r="Q42" s="71" t="str">
        <f>IF(VLOOKUP(A42,Fiktive_Dividende!A$3:AM$103,23,FALSE)&lt;&gt;"",IF(VLOOKUP(A42,Ergebnis_je_Aktie_verwässert!A$3:AK$103,17,FALSE)&lt;&gt;"",IF(VLOOKUP(A42,Ergebnis_je_Aktie_verwässert!A$3:AK$103,17,FALSE)&lt;=0,2,IF(VLOOKUP(A42,Fiktive_Dividende!A$3:AM$103,23,FALSE)/VLOOKUP(A42,Ergebnis_je_Aktie_verwässert!A$3:AK$103,17,FALSE)&gt;=2,2,VLOOKUP(A42,Fiktive_Dividende!A$3:AM$103,23,FALSE)/VLOOKUP(A42,Ergebnis_je_Aktie_verwässert!A$3:AK$103,17,FALSE))),""),"")</f>
        <v/>
      </c>
      <c r="R42" s="71" t="str">
        <f>IF(VLOOKUP(A42,Fiktive_Dividende!A$3:AM$103,24,FALSE)&lt;&gt;"",IF(VLOOKUP(A42,Ergebnis_je_Aktie_verwässert!A$3:AK$103,18,FALSE)&lt;&gt;"",IF(VLOOKUP(A42,Ergebnis_je_Aktie_verwässert!A$3:AK$103,18,FALSE)&lt;=0,2,IF(VLOOKUP(A42,Fiktive_Dividende!A$3:AM$103,24,FALSE)/VLOOKUP(A42,Ergebnis_je_Aktie_verwässert!A$3:AK$103,18,FALSE)&gt;=2,2,VLOOKUP(A42,Fiktive_Dividende!A$3:AM$103,24,FALSE)/VLOOKUP(A42,Ergebnis_je_Aktie_verwässert!A$3:AK$103,18,FALSE))),""),"")</f>
        <v/>
      </c>
      <c r="S42" s="105">
        <f t="shared" si="7"/>
        <v>0.67777339430702588</v>
      </c>
      <c r="T42" s="71">
        <f>IF(VLOOKUP(A42,Dividende_je_Aktie!A$3:AM$103,6,FALSE)&lt;&gt;"",IF(VLOOKUP(A42,Ergebnis_je_Aktie_verwässert!A$3:AK$103,6,FALSE)&lt;&gt;"",IF(VLOOKUP(A42,Ergebnis_je_Aktie_verwässert!A$3:AK$103,6,FALSE)&lt;=0,2,IF(VLOOKUP(A42,Dividende_je_Aktie!A$3:AM$103,6,FALSE)/VLOOKUP(A42,Ergebnis_je_Aktie_verwässert!A$3:AK$103,6,FALSE)&gt;=2,2,VLOOKUP(A42,Dividende_je_Aktie!A$3:AM$103,6,FALSE)/VLOOKUP(A42,Ergebnis_je_Aktie_verwässert!A$3:AK$103,6,FALSE))),""),"")</f>
        <v>0.36651583710407243</v>
      </c>
      <c r="U42" s="71">
        <f>IF(VLOOKUP(A42,Dividende_je_Aktie!A$3:AM$103,7,FALSE)&lt;&gt;"",IF(VLOOKUP(A42,Ergebnis_je_Aktie_verwässert!A$3:AK$103,7,FALSE)&lt;&gt;"",IF(VLOOKUP(A42,Ergebnis_je_Aktie_verwässert!A$3:AK$103,7,FALSE)&lt;=0,2,IF(VLOOKUP(A42,Dividende_je_Aktie!A$3:AM$103,7,FALSE)/VLOOKUP(A42,Ergebnis_je_Aktie_verwässert!A$3:AK$103,7,FALSE)&gt;=2,2,VLOOKUP(A42,Dividende_je_Aktie!A$3:AM$103,7,FALSE)/VLOOKUP(A42,Ergebnis_je_Aktie_verwässert!A$3:AK$103,7,FALSE))),""),"")</f>
        <v>0.38578680203045684</v>
      </c>
      <c r="V42" s="71">
        <f>IF(VLOOKUP(A42,Dividende_je_Aktie!A$3:AM$103,8,FALSE)&lt;&gt;"",IF(VLOOKUP(A42,Ergebnis_je_Aktie_verwässert!A$3:AK$103,8,FALSE)&lt;&gt;"",IF(VLOOKUP(A42,Ergebnis_je_Aktie_verwässert!A$3:AK$103,8,FALSE)&lt;=0,2,IF(VLOOKUP(A42,Dividende_je_Aktie!A$3:AM$103,8,FALSE)/VLOOKUP(A42,Ergebnis_je_Aktie_verwässert!A$3:AK$103,8,FALSE)&gt;=2,2,VLOOKUP(A42,Dividende_je_Aktie!A$3:AM$103,8,FALSE)/VLOOKUP(A42,Ergebnis_je_Aktie_verwässert!A$3:AK$103,8,FALSE))),""),"")</f>
        <v>0.39766081871345033</v>
      </c>
      <c r="W42" s="71">
        <f>IF(VLOOKUP(A42,Dividende_je_Aktie!A$3:AM$103,9,FALSE)&lt;&gt;"",IF(VLOOKUP(A42,Ergebnis_je_Aktie_verwässert!A$3:AK$103,9,FALSE)&lt;&gt;"",IF(VLOOKUP(A42,Ergebnis_je_Aktie_verwässert!A$3:AK$103,9,FALSE)&lt;=0,2,IF(VLOOKUP(A42,Dividende_je_Aktie!A$3:AM$103,9,FALSE)/VLOOKUP(A42,Ergebnis_je_Aktie_verwässert!A$3:AK$103,9,FALSE)&gt;=2,2,VLOOKUP(A42,Dividende_je_Aktie!A$3:AM$103,9,FALSE)/VLOOKUP(A42,Ergebnis_je_Aktie_verwässert!A$3:AK$103,9,FALSE))),""),"")</f>
        <v>0.36571428571428571</v>
      </c>
      <c r="X42" s="71">
        <f>IF(VLOOKUP(A42,Dividende_je_Aktie!A$3:AM$103,10,FALSE)&lt;&gt;"",IF(VLOOKUP(A42,Ergebnis_je_Aktie_verwässert!A$3:AK$103,10,FALSE)&lt;&gt;"",IF(VLOOKUP(A42,Ergebnis_je_Aktie_verwässert!A$3:AK$103,10,FALSE)&lt;=0,2,IF(VLOOKUP(A42,Dividende_je_Aktie!A$3:AM$103,10,FALSE)/VLOOKUP(A42,Ergebnis_je_Aktie_verwässert!A$3:AK$103,10,FALSE)&gt;=2,2,VLOOKUP(A42,Dividende_je_Aktie!A$3:AM$103,10,FALSE)/VLOOKUP(A42,Ergebnis_je_Aktie_verwässert!A$3:AK$103,10,FALSE))),""),"")</f>
        <v>0.33142857142857141</v>
      </c>
      <c r="Y42" s="71">
        <f>IF(VLOOKUP(A42,Dividende_je_Aktie!A$3:AM$103,11,FALSE)&lt;&gt;"",IF(VLOOKUP(A42,Ergebnis_je_Aktie_verwässert!A$3:AK$103,11,FALSE)&lt;&gt;"",IF(VLOOKUP(A42,Ergebnis_je_Aktie_verwässert!A$3:AK$103,11,FALSE)&lt;=0,2,IF(VLOOKUP(A42,Dividende_je_Aktie!A$3:AM$103,11,FALSE)/VLOOKUP(A42,Ergebnis_je_Aktie_verwässert!A$3:AK$103,11,FALSE)&gt;=2,2,VLOOKUP(A42,Dividende_je_Aktie!A$3:AM$103,11,FALSE)/VLOOKUP(A42,Ergebnis_je_Aktie_verwässert!A$3:AK$103,11,FALSE))),""),"")</f>
        <v>0.35064935064935066</v>
      </c>
      <c r="Z42" s="71">
        <f>IF(VLOOKUP(A42,Dividende_je_Aktie!A$3:AM$103,12,FALSE)&lt;&gt;"",IF(VLOOKUP(A42,Ergebnis_je_Aktie_verwässert!A$3:AK$103,12,FALSE)&lt;&gt;"",IF(VLOOKUP(A42,Ergebnis_je_Aktie_verwässert!A$3:AK$103,12,FALSE)&lt;=0,2,IF(VLOOKUP(A42,Dividende_je_Aktie!A$3:AM$103,12,FALSE)/VLOOKUP(A42,Ergebnis_je_Aktie_verwässert!A$3:AK$103,12,FALSE)&gt;=2,2,VLOOKUP(A42,Dividende_je_Aktie!A$3:AM$103,12,FALSE)/VLOOKUP(A42,Ergebnis_je_Aktie_verwässert!A$3:AK$103,12,FALSE))),""),"")</f>
        <v>0.41551246537396125</v>
      </c>
      <c r="AA42" s="71">
        <f>IF(VLOOKUP(A42,Dividende_je_Aktie!A$3:AM$103,13,FALSE)&lt;&gt;"",IF(VLOOKUP(A42,Ergebnis_je_Aktie_verwässert!A$3:AK$103,13,FALSE)&lt;&gt;"",IF(VLOOKUP(A42,Ergebnis_je_Aktie_verwässert!A$3:AK$103,13,FALSE)&lt;=0,2,IF(VLOOKUP(A42,Dividende_je_Aktie!A$3:AM$103,13,FALSE)/VLOOKUP(A42,Ergebnis_je_Aktie_verwässert!A$3:AK$103,13,FALSE)&gt;=2,2,VLOOKUP(A42,Dividende_je_Aktie!A$3:AM$103,13,FALSE)/VLOOKUP(A42,Ergebnis_je_Aktie_verwässert!A$3:AK$103,13,FALSE))),""),"")</f>
        <v>0.29219143576826201</v>
      </c>
      <c r="AB42" s="71">
        <f>IF(VLOOKUP(A42,Dividende_je_Aktie!A$3:AM$103,14,FALSE)&lt;&gt;"",IF(VLOOKUP(A42,Ergebnis_je_Aktie_verwässert!A$3:AK$103,14,FALSE)&lt;&gt;"",IF(VLOOKUP(A42,Ergebnis_je_Aktie_verwässert!A$3:AK$103,14,FALSE)&lt;=0,2,IF(VLOOKUP(A42,Dividende_je_Aktie!A$3:AM$103,14,FALSE)/VLOOKUP(A42,Ergebnis_je_Aktie_verwässert!A$3:AK$103,14,FALSE)&gt;=2,2,VLOOKUP(A42,Dividende_je_Aktie!A$3:AM$103,14,FALSE)/VLOOKUP(A42,Ergebnis_je_Aktie_verwässert!A$3:AK$103,14,FALSE))),""),"")</f>
        <v>0.32402234636871502</v>
      </c>
      <c r="AC42" s="71">
        <f>IF(VLOOKUP(A42,Dividende_je_Aktie!A$3:AM$103,15,FALSE)&lt;&gt;"",IF(VLOOKUP(A42,Ergebnis_je_Aktie_verwässert!A$3:AK$103,15,FALSE)&lt;&gt;"",IF(VLOOKUP(A42,Ergebnis_je_Aktie_verwässert!A$3:AK$103,15,FALSE)&lt;=0,2,IF(VLOOKUP(A42,Dividende_je_Aktie!A$3:AM$103,15,FALSE)/VLOOKUP(A42,Ergebnis_je_Aktie_verwässert!A$3:AK$103,15,FALSE)&gt;=2,2,VLOOKUP(A42,Dividende_je_Aktie!A$3:AM$103,15,FALSE)/VLOOKUP(A42,Ergebnis_je_Aktie_verwässert!A$3:AK$103,15,FALSE))),""),"")</f>
        <v>0.30687830687830686</v>
      </c>
      <c r="AD42" s="71">
        <f>IF(VLOOKUP(A42,Dividende_je_Aktie!A$3:AM$103,16,FALSE)&lt;&gt;"",IF(VLOOKUP(A42,Ergebnis_je_Aktie_verwässert!A$3:AK$103,16,FALSE)&lt;&gt;"",IF(VLOOKUP(A42,Ergebnis_je_Aktie_verwässert!A$3:AK$103,16,FALSE)&lt;=0,2,IF(VLOOKUP(A42,Dividende_je_Aktie!A$3:AM$103,16,FALSE)/VLOOKUP(A42,Ergebnis_je_Aktie_verwässert!A$3:AK$103,16,FALSE)&gt;=2,2,VLOOKUP(A42,Dividende_je_Aktie!A$3:AM$103,16,FALSE)/VLOOKUP(A42,Ergebnis_je_Aktie_verwässert!A$3:AK$103,16,FALSE))),""),"")</f>
        <v>0.45344129554655882</v>
      </c>
      <c r="AE42" s="71" t="str">
        <f>IF(VLOOKUP(A42,Dividende_je_Aktie!A$3:AM$103,17,FALSE)&lt;&gt;"",IF(VLOOKUP(A42,Ergebnis_je_Aktie_verwässert!A$3:AK$103,17,FALSE)&lt;&gt;"",IF(VLOOKUP(A42,Ergebnis_je_Aktie_verwässert!A$3:AK$103,17,FALSE)&lt;=0,2,IF(VLOOKUP(A42,Dividende_je_Aktie!A$3:AM$103,17,FALSE)/VLOOKUP(A42,Ergebnis_je_Aktie_verwässert!A$3:AK$103,17,FALSE)&gt;=2,2,VLOOKUP(A42,Dividende_je_Aktie!A$3:AM$103,17,FALSE)/VLOOKUP(A42,Ergebnis_je_Aktie_verwässert!A$3:AK$103,17,FALSE))),""),"")</f>
        <v/>
      </c>
      <c r="AF42" s="71" t="str">
        <f>IF(VLOOKUP(A42,Dividende_je_Aktie!A$3:AM$103,18,FALSE)&lt;&gt;"",IF(VLOOKUP(A42,Ergebnis_je_Aktie_verwässert!A$3:AK$103,18,FALSE)&lt;&gt;"",IF(VLOOKUP(A42,Ergebnis_je_Aktie_verwässert!A$3:AK$103,18,FALSE)&lt;=0,2,IF(VLOOKUP(A42,Dividende_je_Aktie!A$3:AM$103,18,FALSE)/VLOOKUP(A42,Ergebnis_je_Aktie_verwässert!A$3:AK$103,18,FALSE)&gt;=2,2,VLOOKUP(A42,Dividende_je_Aktie!A$3:AM$103,18,FALSE)/VLOOKUP(A42,Ergebnis_je_Aktie_verwässert!A$3:AK$103,18,FALSE))),""),"")</f>
        <v/>
      </c>
      <c r="AG42" s="105">
        <f t="shared" si="8"/>
        <v>0.36270922868872651</v>
      </c>
      <c r="AH42" s="4">
        <f t="shared" ca="1" si="9"/>
        <v>0</v>
      </c>
      <c r="AI42" s="4">
        <f t="shared" ca="1" si="10"/>
        <v>108</v>
      </c>
      <c r="AJ42" s="4">
        <f t="shared" ca="1" si="11"/>
        <v>252</v>
      </c>
      <c r="AK42" s="10">
        <f t="shared" ca="1" si="12"/>
        <v>0.39409861370855226</v>
      </c>
      <c r="AL42" s="5">
        <f t="shared" ca="1" si="13"/>
        <v>8.6541456729141597E-2</v>
      </c>
    </row>
    <row r="43" spans="1:38">
      <c r="A43" t="s">
        <v>58</v>
      </c>
      <c r="B43" t="s">
        <v>59</v>
      </c>
      <c r="C43" s="60">
        <v>31</v>
      </c>
      <c r="D43" s="60">
        <v>8</v>
      </c>
      <c r="E43" s="60">
        <v>2016</v>
      </c>
      <c r="F43" s="71">
        <f>IF(VLOOKUP(A43,Dividende_je_Aktie!A$3:AM$103,6,FALSE)&lt;&gt;"",IF(VLOOKUP(A43,Ergebnis_je_Aktie_verwässert!A$3:AK$103,6,FALSE)&lt;&gt;"",IF(VLOOKUP(A43,Ergebnis_je_Aktie_verwässert!A$3:AK$103,6,FALSE)&lt;=0,2,IF(VLOOKUP(A43,Dividende_je_Aktie!A$3:AM$103,6,FALSE)/VLOOKUP(A43,Ergebnis_je_Aktie_verwässert!A$3:AK$103,6,FALSE)&gt;=2,2,VLOOKUP(A43,Dividende_je_Aktie!A$3:AM$103,6,FALSE)/VLOOKUP(A43,Ergebnis_je_Aktie_verwässert!A$3:AK$103,6,FALSE))),""),"")</f>
        <v>0.36697247706422015</v>
      </c>
      <c r="G43" s="71">
        <f>IF(VLOOKUP(A43,Dividende_je_Aktie!A$3:AM$103,7,FALSE)&lt;&gt;"",IF(VLOOKUP(A43,Ergebnis_je_Aktie_verwässert!A$3:AK$103,7,FALSE)&lt;&gt;"",IF(VLOOKUP(A43,Ergebnis_je_Aktie_verwässert!A$3:AK$103,7,FALSE)&lt;=0,2,IF(VLOOKUP(A43,Dividende_je_Aktie!A$3:AM$103,7,FALSE)/VLOOKUP(A43,Ergebnis_je_Aktie_verwässert!A$3:AK$103,7,FALSE)&gt;=2,2,VLOOKUP(A43,Dividende_je_Aktie!A$3:AM$103,7,FALSE)/VLOOKUP(A43,Ergebnis_je_Aktie_verwässert!A$3:AK$103,7,FALSE))),""),"")</f>
        <v>0.40892857142857147</v>
      </c>
      <c r="H43" s="71">
        <f>IF(VLOOKUP(A43,Fiktive_Dividende!A$3:AM$103,14,FALSE)&lt;&gt;"",IF(VLOOKUP(A43,Ergebnis_je_Aktie_verwässert!A$3:AK$103,8,FALSE)&lt;&gt;"",IF(VLOOKUP(A43,Ergebnis_je_Aktie_verwässert!A$3:AK$103,8,FALSE)&lt;=0,2,IF(VLOOKUP(A43,Fiktive_Dividende!A$3:AM$103,14,FALSE)/VLOOKUP(A43,Ergebnis_je_Aktie_verwässert!A$3:AK$103,8,FALSE)&gt;=2,2,VLOOKUP(A43,Fiktive_Dividende!A$3:AM$103,14,FALSE)/VLOOKUP(A43,Ergebnis_je_Aktie_verwässert!A$3:AK$103,8,FALSE))),""),"")</f>
        <v>0.51325301204819274</v>
      </c>
      <c r="I43" s="71">
        <f>IF(VLOOKUP(A43,Fiktive_Dividende!A$3:AM$103,15,FALSE)&lt;&gt;"",IF(VLOOKUP(A43,Ergebnis_je_Aktie_verwässert!A$3:AK$103,9,FALSE)&lt;&gt;"",IF(VLOOKUP(A43,Ergebnis_je_Aktie_verwässert!A$3:AK$103,9,FALSE)&lt;=0,2,IF(VLOOKUP(A43,Fiktive_Dividende!A$3:AM$103,15,FALSE)/VLOOKUP(A43,Ergebnis_je_Aktie_verwässert!A$3:AK$103,9,FALSE)&gt;=2,2,VLOOKUP(A43,Fiktive_Dividende!A$3:AM$103,15,FALSE)/VLOOKUP(A43,Ergebnis_je_Aktie_verwässert!A$3:AK$103,9,FALSE))),""),"")</f>
        <v>0.9830724110960305</v>
      </c>
      <c r="J43" s="71">
        <f>IF(VLOOKUP(A43,Fiktive_Dividende!A$3:AM$103,16,FALSE)&lt;&gt;"",IF(VLOOKUP(A43,Ergebnis_je_Aktie_verwässert!A$3:AK$103,10,FALSE)&lt;&gt;"",IF(VLOOKUP(A43,Ergebnis_je_Aktie_verwässert!A$3:AK$103,10,FALSE)&lt;=0,2,IF(VLOOKUP(A43,Fiktive_Dividende!A$3:AM$103,16,FALSE)/VLOOKUP(A43,Ergebnis_je_Aktie_verwässert!A$3:AK$103,10,FALSE)&gt;=2,2,VLOOKUP(A43,Fiktive_Dividende!A$3:AM$103,16,FALSE)/VLOOKUP(A43,Ergebnis_je_Aktie_verwässert!A$3:AK$103,10,FALSE))),""),"")</f>
        <v>2</v>
      </c>
      <c r="K43" s="71">
        <f>IF(VLOOKUP(A43,Fiktive_Dividende!A$3:AM$103,17,FALSE)&lt;&gt;"",IF(VLOOKUP(A43,Ergebnis_je_Aktie_verwässert!A$3:AK$103,11,FALSE)&lt;&gt;"",IF(VLOOKUP(A43,Ergebnis_je_Aktie_verwässert!A$3:AK$103,11,FALSE)&lt;=0,2,IF(VLOOKUP(A43,Fiktive_Dividende!A$3:AM$103,17,FALSE)/VLOOKUP(A43,Ergebnis_je_Aktie_verwässert!A$3:AK$103,11,FALSE)&gt;=2,2,VLOOKUP(A43,Fiktive_Dividende!A$3:AM$103,17,FALSE)/VLOOKUP(A43,Ergebnis_je_Aktie_verwässert!A$3:AK$103,11,FALSE))),""),"")</f>
        <v>0.55879305421939196</v>
      </c>
      <c r="L43" s="71">
        <f>IF(VLOOKUP(A43,Fiktive_Dividende!A$3:AM$103,18,FALSE)&lt;&gt;"",IF(VLOOKUP(A43,Ergebnis_je_Aktie_verwässert!A$3:AK$103,12,FALSE)&lt;&gt;"",IF(VLOOKUP(A43,Ergebnis_je_Aktie_verwässert!A$3:AK$103,12,FALSE)&lt;=0,2,IF(VLOOKUP(A43,Fiktive_Dividende!A$3:AM$103,18,FALSE)/VLOOKUP(A43,Ergebnis_je_Aktie_verwässert!A$3:AK$103,12,FALSE)&gt;=2,2,VLOOKUP(A43,Fiktive_Dividende!A$3:AM$103,18,FALSE)/VLOOKUP(A43,Ergebnis_je_Aktie_verwässert!A$3:AK$103,12,FALSE))),""),"")</f>
        <v>0.38691983335769253</v>
      </c>
      <c r="M43" s="71">
        <f>IF(VLOOKUP(A43,Fiktive_Dividende!A$3:AM$103,19,FALSE)&lt;&gt;"",IF(VLOOKUP(A43,Ergebnis_je_Aktie_verwässert!A$3:AK$103,13,FALSE)&lt;&gt;"",IF(VLOOKUP(A43,Ergebnis_je_Aktie_verwässert!A$3:AK$103,13,FALSE)&lt;=0,2,IF(VLOOKUP(A43,Fiktive_Dividende!A$3:AM$103,19,FALSE)/VLOOKUP(A43,Ergebnis_je_Aktie_verwässert!A$3:AK$103,13,FALSE)&gt;=2,2,VLOOKUP(A43,Fiktive_Dividende!A$3:AM$103,19,FALSE)/VLOOKUP(A43,Ergebnis_je_Aktie_verwässert!A$3:AK$103,13,FALSE))),""),"")</f>
        <v>0.60700049479705842</v>
      </c>
      <c r="N43" s="71">
        <f>IF(VLOOKUP(A43,Fiktive_Dividende!A$3:AM$103,20,FALSE)&lt;&gt;"",IF(VLOOKUP(A43,Ergebnis_je_Aktie_verwässert!A$3:AK$103,14,FALSE)&lt;&gt;"",IF(VLOOKUP(A43,Ergebnis_je_Aktie_verwässert!A$3:AK$103,14,FALSE)&lt;=0,2,IF(VLOOKUP(A43,Fiktive_Dividende!A$3:AM$103,20,FALSE)/VLOOKUP(A43,Ergebnis_je_Aktie_verwässert!A$3:AK$103,14,FALSE)&gt;=2,2,VLOOKUP(A43,Fiktive_Dividende!A$3:AM$103,20,FALSE)/VLOOKUP(A43,Ergebnis_je_Aktie_verwässert!A$3:AK$103,14,FALSE))),""),"")</f>
        <v>0.67047845302849285</v>
      </c>
      <c r="O43" s="71">
        <f>IF(VLOOKUP(A43,Fiktive_Dividende!A$3:AM$103,21,FALSE)&lt;&gt;"",IF(VLOOKUP(A43,Ergebnis_je_Aktie_verwässert!A$3:AK$103,15,FALSE)&lt;&gt;"",IF(VLOOKUP(A43,Ergebnis_je_Aktie_verwässert!A$3:AK$103,15,FALSE)&lt;=0,2,IF(VLOOKUP(A43,Fiktive_Dividende!A$3:AM$103,21,FALSE)/VLOOKUP(A43,Ergebnis_je_Aktie_verwässert!A$3:AK$103,15,FALSE)&gt;=2,2,VLOOKUP(A43,Fiktive_Dividende!A$3:AM$103,21,FALSE)/VLOOKUP(A43,Ergebnis_je_Aktie_verwässert!A$3:AK$103,15,FALSE))),""),"")</f>
        <v>0.32990185754951828</v>
      </c>
      <c r="P43" s="71">
        <f>IF(VLOOKUP(A43,Fiktive_Dividende!A$3:AM$103,22,FALSE)&lt;&gt;"",IF(VLOOKUP(A43,Ergebnis_je_Aktie_verwässert!A$3:AK$103,16,FALSE)&lt;&gt;"",IF(VLOOKUP(A43,Ergebnis_je_Aktie_verwässert!A$3:AK$103,16,FALSE)&lt;=0,2,IF(VLOOKUP(A43,Fiktive_Dividende!A$3:AM$103,22,FALSE)/VLOOKUP(A43,Ergebnis_je_Aktie_verwässert!A$3:AK$103,16,FALSE)&gt;=2,2,VLOOKUP(A43,Fiktive_Dividende!A$3:AM$103,22,FALSE)/VLOOKUP(A43,Ergebnis_je_Aktie_verwässert!A$3:AK$103,16,FALSE))),""),"")</f>
        <v>0.22802197802197802</v>
      </c>
      <c r="Q43" s="71">
        <f>IF(VLOOKUP(A43,Fiktive_Dividende!A$3:AM$103,23,FALSE)&lt;&gt;"",IF(VLOOKUP(A43,Ergebnis_je_Aktie_verwässert!A$3:AK$103,17,FALSE)&lt;&gt;"",IF(VLOOKUP(A43,Ergebnis_je_Aktie_verwässert!A$3:AK$103,17,FALSE)&lt;=0,2,IF(VLOOKUP(A43,Fiktive_Dividende!A$3:AM$103,23,FALSE)/VLOOKUP(A43,Ergebnis_je_Aktie_verwässert!A$3:AK$103,17,FALSE)&gt;=2,2,VLOOKUP(A43,Fiktive_Dividende!A$3:AM$103,23,FALSE)/VLOOKUP(A43,Ergebnis_je_Aktie_verwässert!A$3:AK$103,17,FALSE))),""),"")</f>
        <v>0.27777777777777779</v>
      </c>
      <c r="R43" s="71">
        <f>IF(VLOOKUP(A43,Fiktive_Dividende!A$3:AM$103,24,FALSE)&lt;&gt;"",IF(VLOOKUP(A43,Ergebnis_je_Aktie_verwässert!A$3:AK$103,18,FALSE)&lt;&gt;"",IF(VLOOKUP(A43,Ergebnis_je_Aktie_verwässert!A$3:AK$103,18,FALSE)&lt;=0,2,IF(VLOOKUP(A43,Fiktive_Dividende!A$3:AM$103,24,FALSE)/VLOOKUP(A43,Ergebnis_je_Aktie_verwässert!A$3:AK$103,18,FALSE)&gt;=2,2,VLOOKUP(A43,Fiktive_Dividende!A$3:AM$103,24,FALSE)/VLOOKUP(A43,Ergebnis_je_Aktie_verwässert!A$3:AK$103,18,FALSE))),""),"")</f>
        <v>0.30769230769230771</v>
      </c>
      <c r="S43" s="105">
        <f t="shared" si="7"/>
        <v>0.58760094062163326</v>
      </c>
      <c r="T43" s="71">
        <f>IF(VLOOKUP(A43,Dividende_je_Aktie!A$3:AM$103,6,FALSE)&lt;&gt;"",IF(VLOOKUP(A43,Ergebnis_je_Aktie_verwässert!A$3:AK$103,6,FALSE)&lt;&gt;"",IF(VLOOKUP(A43,Ergebnis_je_Aktie_verwässert!A$3:AK$103,6,FALSE)&lt;=0,2,IF(VLOOKUP(A43,Dividende_je_Aktie!A$3:AM$103,6,FALSE)/VLOOKUP(A43,Ergebnis_je_Aktie_verwässert!A$3:AK$103,6,FALSE)&gt;=2,2,VLOOKUP(A43,Dividende_je_Aktie!A$3:AM$103,6,FALSE)/VLOOKUP(A43,Ergebnis_je_Aktie_verwässert!A$3:AK$103,6,FALSE))),""),"")</f>
        <v>0.36697247706422015</v>
      </c>
      <c r="U43" s="71">
        <f>IF(VLOOKUP(A43,Dividende_je_Aktie!A$3:AM$103,7,FALSE)&lt;&gt;"",IF(VLOOKUP(A43,Ergebnis_je_Aktie_verwässert!A$3:AK$103,7,FALSE)&lt;&gt;"",IF(VLOOKUP(A43,Ergebnis_je_Aktie_verwässert!A$3:AK$103,7,FALSE)&lt;=0,2,IF(VLOOKUP(A43,Dividende_je_Aktie!A$3:AM$103,7,FALSE)/VLOOKUP(A43,Ergebnis_je_Aktie_verwässert!A$3:AK$103,7,FALSE)&gt;=2,2,VLOOKUP(A43,Dividende_je_Aktie!A$3:AM$103,7,FALSE)/VLOOKUP(A43,Ergebnis_je_Aktie_verwässert!A$3:AK$103,7,FALSE))),""),"")</f>
        <v>0.40892857142857147</v>
      </c>
      <c r="V43" s="71">
        <f>IF(VLOOKUP(A43,Dividende_je_Aktie!A$3:AM$103,8,FALSE)&lt;&gt;"",IF(VLOOKUP(A43,Ergebnis_je_Aktie_verwässert!A$3:AK$103,8,FALSE)&lt;&gt;"",IF(VLOOKUP(A43,Ergebnis_je_Aktie_verwässert!A$3:AK$103,8,FALSE)&lt;=0,2,IF(VLOOKUP(A43,Dividende_je_Aktie!A$3:AM$103,8,FALSE)/VLOOKUP(A43,Ergebnis_je_Aktie_verwässert!A$3:AK$103,8,FALSE)&gt;=2,2,VLOOKUP(A43,Dividende_je_Aktie!A$3:AM$103,8,FALSE)/VLOOKUP(A43,Ergebnis_je_Aktie_verwässert!A$3:AK$103,8,FALSE))),""),"")</f>
        <v>0.51325301204819274</v>
      </c>
      <c r="W43" s="71">
        <f>IF(VLOOKUP(A43,Dividende_je_Aktie!A$3:AM$103,9,FALSE)&lt;&gt;"",IF(VLOOKUP(A43,Ergebnis_je_Aktie_verwässert!A$3:AK$103,9,FALSE)&lt;&gt;"",IF(VLOOKUP(A43,Ergebnis_je_Aktie_verwässert!A$3:AK$103,9,FALSE)&lt;=0,2,IF(VLOOKUP(A43,Dividende_je_Aktie!A$3:AM$103,9,FALSE)/VLOOKUP(A43,Ergebnis_je_Aktie_verwässert!A$3:AK$103,9,FALSE)&gt;=2,2,VLOOKUP(A43,Dividende_je_Aktie!A$3:AM$103,9,FALSE)/VLOOKUP(A43,Ergebnis_je_Aktie_verwässert!A$3:AK$103,9,FALSE))),""),"")</f>
        <v>0.35078534031413605</v>
      </c>
      <c r="X43" s="71">
        <f>IF(VLOOKUP(A43,Dividende_je_Aktie!A$3:AM$103,10,FALSE)&lt;&gt;"",IF(VLOOKUP(A43,Ergebnis_je_Aktie_verwässert!A$3:AK$103,10,FALSE)&lt;&gt;"",IF(VLOOKUP(A43,Ergebnis_je_Aktie_verwässert!A$3:AK$103,10,FALSE)&lt;=0,2,IF(VLOOKUP(A43,Dividende_je_Aktie!A$3:AM$103,10,FALSE)/VLOOKUP(A43,Ergebnis_je_Aktie_verwässert!A$3:AK$103,10,FALSE)&gt;=2,2,VLOOKUP(A43,Dividende_je_Aktie!A$3:AM$103,10,FALSE)/VLOOKUP(A43,Ergebnis_je_Aktie_verwässert!A$3:AK$103,10,FALSE))),""),"")</f>
        <v>0.34034416826003822</v>
      </c>
      <c r="Y43" s="71">
        <f>IF(VLOOKUP(A43,Dividende_je_Aktie!A$3:AM$103,11,FALSE)&lt;&gt;"",IF(VLOOKUP(A43,Ergebnis_je_Aktie_verwässert!A$3:AK$103,11,FALSE)&lt;&gt;"",IF(VLOOKUP(A43,Ergebnis_je_Aktie_verwässert!A$3:AK$103,11,FALSE)&lt;=0,2,IF(VLOOKUP(A43,Dividende_je_Aktie!A$3:AM$103,11,FALSE)/VLOOKUP(A43,Ergebnis_je_Aktie_verwässert!A$3:AK$103,11,FALSE)&gt;=2,2,VLOOKUP(A43,Dividende_je_Aktie!A$3:AM$103,11,FALSE)/VLOOKUP(A43,Ergebnis_je_Aktie_verwässert!A$3:AK$103,11,FALSE))),""),"")</f>
        <v>0.3421052631578948</v>
      </c>
      <c r="Z43" s="71">
        <f>IF(VLOOKUP(A43,Dividende_je_Aktie!A$3:AM$103,12,FALSE)&lt;&gt;"",IF(VLOOKUP(A43,Ergebnis_je_Aktie_verwässert!A$3:AK$103,12,FALSE)&lt;&gt;"",IF(VLOOKUP(A43,Ergebnis_je_Aktie_verwässert!A$3:AK$103,12,FALSE)&lt;=0,2,IF(VLOOKUP(A43,Dividende_je_Aktie!A$3:AM$103,12,FALSE)/VLOOKUP(A43,Ergebnis_je_Aktie_verwässert!A$3:AK$103,12,FALSE)&gt;=2,2,VLOOKUP(A43,Dividende_je_Aktie!A$3:AM$103,12,FALSE)/VLOOKUP(A43,Ergebnis_je_Aktie_verwässert!A$3:AK$103,12,FALSE))),""),"")</f>
        <v>0.34594594594594591</v>
      </c>
      <c r="AA43" s="71">
        <f>IF(VLOOKUP(A43,Dividende_je_Aktie!A$3:AM$103,13,FALSE)&lt;&gt;"",IF(VLOOKUP(A43,Ergebnis_je_Aktie_verwässert!A$3:AK$103,13,FALSE)&lt;&gt;"",IF(VLOOKUP(A43,Ergebnis_je_Aktie_verwässert!A$3:AK$103,13,FALSE)&lt;=0,2,IF(VLOOKUP(A43,Dividende_je_Aktie!A$3:AM$103,13,FALSE)/VLOOKUP(A43,Ergebnis_je_Aktie_verwässert!A$3:AK$103,13,FALSE)&gt;=2,2,VLOOKUP(A43,Dividende_je_Aktie!A$3:AM$103,13,FALSE)/VLOOKUP(A43,Ergebnis_je_Aktie_verwässert!A$3:AK$103,13,FALSE))),""),"")</f>
        <v>0.38513513513513509</v>
      </c>
      <c r="AB43" s="71">
        <f>IF(VLOOKUP(A43,Dividende_je_Aktie!A$3:AM$103,14,FALSE)&lt;&gt;"",IF(VLOOKUP(A43,Ergebnis_je_Aktie_verwässert!A$3:AK$103,14,FALSE)&lt;&gt;"",IF(VLOOKUP(A43,Ergebnis_je_Aktie_verwässert!A$3:AK$103,14,FALSE)&lt;=0,2,IF(VLOOKUP(A43,Dividende_je_Aktie!A$3:AM$103,14,FALSE)/VLOOKUP(A43,Ergebnis_je_Aktie_verwässert!A$3:AK$103,14,FALSE)&gt;=2,2,VLOOKUP(A43,Dividende_je_Aktie!A$3:AM$103,14,FALSE)/VLOOKUP(A43,Ergebnis_je_Aktie_verwässert!A$3:AK$103,14,FALSE))),""),"")</f>
        <v>0.44813278008298757</v>
      </c>
      <c r="AC43" s="71">
        <f>IF(VLOOKUP(A43,Dividende_je_Aktie!A$3:AM$103,15,FALSE)&lt;&gt;"",IF(VLOOKUP(A43,Ergebnis_je_Aktie_verwässert!A$3:AK$103,15,FALSE)&lt;&gt;"",IF(VLOOKUP(A43,Ergebnis_je_Aktie_verwässert!A$3:AK$103,15,FALSE)&lt;=0,2,IF(VLOOKUP(A43,Dividende_je_Aktie!A$3:AM$103,15,FALSE)/VLOOKUP(A43,Ergebnis_je_Aktie_verwässert!A$3:AK$103,15,FALSE)&gt;=2,2,VLOOKUP(A43,Dividende_je_Aktie!A$3:AM$103,15,FALSE)/VLOOKUP(A43,Ergebnis_je_Aktie_verwässert!A$3:AK$103,15,FALSE))),""),"")</f>
        <v>0.23582766439909297</v>
      </c>
      <c r="AD43" s="71">
        <f>IF(VLOOKUP(A43,Dividende_je_Aktie!A$3:AM$103,16,FALSE)&lt;&gt;"",IF(VLOOKUP(A43,Ergebnis_je_Aktie_verwässert!A$3:AK$103,16,FALSE)&lt;&gt;"",IF(VLOOKUP(A43,Ergebnis_je_Aktie_verwässert!A$3:AK$103,16,FALSE)&lt;=0,2,IF(VLOOKUP(A43,Dividende_je_Aktie!A$3:AM$103,16,FALSE)/VLOOKUP(A43,Ergebnis_je_Aktie_verwässert!A$3:AK$103,16,FALSE)&gt;=2,2,VLOOKUP(A43,Dividende_je_Aktie!A$3:AM$103,16,FALSE)/VLOOKUP(A43,Ergebnis_je_Aktie_verwässert!A$3:AK$103,16,FALSE))),""),"")</f>
        <v>0.22802197802197802</v>
      </c>
      <c r="AE43" s="71">
        <f>IF(VLOOKUP(A43,Dividende_je_Aktie!A$3:AM$103,17,FALSE)&lt;&gt;"",IF(VLOOKUP(A43,Ergebnis_je_Aktie_verwässert!A$3:AK$103,17,FALSE)&lt;&gt;"",IF(VLOOKUP(A43,Ergebnis_je_Aktie_verwässert!A$3:AK$103,17,FALSE)&lt;=0,2,IF(VLOOKUP(A43,Dividende_je_Aktie!A$3:AM$103,17,FALSE)/VLOOKUP(A43,Ergebnis_je_Aktie_verwässert!A$3:AK$103,17,FALSE)&gt;=2,2,VLOOKUP(A43,Dividende_je_Aktie!A$3:AM$103,17,FALSE)/VLOOKUP(A43,Ergebnis_je_Aktie_verwässert!A$3:AK$103,17,FALSE))),""),"")</f>
        <v>0.27777777777777779</v>
      </c>
      <c r="AF43" s="71">
        <f>IF(VLOOKUP(A43,Dividende_je_Aktie!A$3:AM$103,18,FALSE)&lt;&gt;"",IF(VLOOKUP(A43,Ergebnis_je_Aktie_verwässert!A$3:AK$103,18,FALSE)&lt;&gt;"",IF(VLOOKUP(A43,Ergebnis_je_Aktie_verwässert!A$3:AK$103,18,FALSE)&lt;=0,2,IF(VLOOKUP(A43,Dividende_je_Aktie!A$3:AM$103,18,FALSE)/VLOOKUP(A43,Ergebnis_je_Aktie_verwässert!A$3:AK$103,18,FALSE)&gt;=2,2,VLOOKUP(A43,Dividende_je_Aktie!A$3:AM$103,18,FALSE)/VLOOKUP(A43,Ergebnis_je_Aktie_verwässert!A$3:AK$103,18,FALSE))),""),"")</f>
        <v>0.30769230769230771</v>
      </c>
      <c r="AG43" s="105">
        <f t="shared" si="8"/>
        <v>0.35007095548679068</v>
      </c>
      <c r="AH43" s="4">
        <f t="shared" ca="1" si="9"/>
        <v>0</v>
      </c>
      <c r="AI43" s="4">
        <f t="shared" ca="1" si="10"/>
        <v>228</v>
      </c>
      <c r="AJ43" s="4">
        <f t="shared" ca="1" si="11"/>
        <v>132</v>
      </c>
      <c r="AK43" s="10">
        <f t="shared" ca="1" si="12"/>
        <v>0.44718086632243265</v>
      </c>
      <c r="AL43" s="5">
        <f t="shared" ca="1" si="13"/>
        <v>0.27740065067839148</v>
      </c>
    </row>
    <row r="44" spans="1:38">
      <c r="A44" t="s">
        <v>60</v>
      </c>
      <c r="B44" t="s">
        <v>61</v>
      </c>
      <c r="C44" s="60">
        <v>31</v>
      </c>
      <c r="D44" s="60">
        <v>5</v>
      </c>
      <c r="E44" s="60">
        <v>2016</v>
      </c>
      <c r="F44" s="71">
        <f>IF(VLOOKUP(A44,Dividende_je_Aktie!A$3:AM$103,6,FALSE)&lt;&gt;"",IF(VLOOKUP(A44,Ergebnis_je_Aktie_verwässert!A$3:AK$103,6,FALSE)&lt;&gt;"",IF(VLOOKUP(A44,Ergebnis_je_Aktie_verwässert!A$3:AK$103,6,FALSE)&lt;=0,2,IF(VLOOKUP(A44,Dividende_je_Aktie!A$3:AM$103,6,FALSE)/VLOOKUP(A44,Ergebnis_je_Aktie_verwässert!A$3:AK$103,6,FALSE)&gt;=2,2,VLOOKUP(A44,Dividende_je_Aktie!A$3:AM$103,6,FALSE)/VLOOKUP(A44,Ergebnis_je_Aktie_verwässert!A$3:AK$103,6,FALSE))),""),"")</f>
        <v>0.23809523809523808</v>
      </c>
      <c r="G44" s="71">
        <f>IF(VLOOKUP(A44,Dividende_je_Aktie!A$3:AM$103,7,FALSE)&lt;&gt;"",IF(VLOOKUP(A44,Ergebnis_je_Aktie_verwässert!A$3:AK$103,7,FALSE)&lt;&gt;"",IF(VLOOKUP(A44,Ergebnis_je_Aktie_verwässert!A$3:AK$103,7,FALSE)&lt;=0,2,IF(VLOOKUP(A44,Dividende_je_Aktie!A$3:AM$103,7,FALSE)/VLOOKUP(A44,Ergebnis_je_Aktie_verwässert!A$3:AK$103,7,FALSE)&gt;=2,2,VLOOKUP(A44,Dividende_je_Aktie!A$3:AM$103,7,FALSE)/VLOOKUP(A44,Ergebnis_je_Aktie_verwässert!A$3:AK$103,7,FALSE))),""),"")</f>
        <v>0.25</v>
      </c>
      <c r="H44" s="71">
        <f>IF(VLOOKUP(A44,Fiktive_Dividende!A$3:AM$103,14,FALSE)&lt;&gt;"",IF(VLOOKUP(A44,Ergebnis_je_Aktie_verwässert!A$3:AK$103,8,FALSE)&lt;&gt;"",IF(VLOOKUP(A44,Ergebnis_je_Aktie_verwässert!A$3:AK$103,8,FALSE)&lt;=0,2,IF(VLOOKUP(A44,Fiktive_Dividende!A$3:AM$103,14,FALSE)/VLOOKUP(A44,Ergebnis_je_Aktie_verwässert!A$3:AK$103,8,FALSE)&gt;=2,2,VLOOKUP(A44,Fiktive_Dividende!A$3:AM$103,14,FALSE)/VLOOKUP(A44,Ergebnis_je_Aktie_verwässert!A$3:AK$103,8,FALSE))),""),"")</f>
        <v>0.26794258373205748</v>
      </c>
      <c r="I44" s="71">
        <f>IF(VLOOKUP(A44,Fiktive_Dividende!A$3:AM$103,15,FALSE)&lt;&gt;"",IF(VLOOKUP(A44,Ergebnis_je_Aktie_verwässert!A$3:AK$103,9,FALSE)&lt;&gt;"",IF(VLOOKUP(A44,Ergebnis_je_Aktie_verwässert!A$3:AK$103,9,FALSE)&lt;=0,2,IF(VLOOKUP(A44,Fiktive_Dividende!A$3:AM$103,15,FALSE)/VLOOKUP(A44,Ergebnis_je_Aktie_verwässert!A$3:AK$103,9,FALSE)&gt;=2,2,VLOOKUP(A44,Fiktive_Dividende!A$3:AM$103,15,FALSE)/VLOOKUP(A44,Ergebnis_je_Aktie_verwässert!A$3:AK$103,9,FALSE))),""),"")</f>
        <v>0.77903694820708003</v>
      </c>
      <c r="J44" s="71">
        <f>IF(VLOOKUP(A44,Fiktive_Dividende!A$3:AM$103,16,FALSE)&lt;&gt;"",IF(VLOOKUP(A44,Ergebnis_je_Aktie_verwässert!A$3:AK$103,10,FALSE)&lt;&gt;"",IF(VLOOKUP(A44,Ergebnis_je_Aktie_verwässert!A$3:AK$103,10,FALSE)&lt;=0,2,IF(VLOOKUP(A44,Fiktive_Dividende!A$3:AM$103,16,FALSE)/VLOOKUP(A44,Ergebnis_je_Aktie_verwässert!A$3:AK$103,10,FALSE)&gt;=2,2,VLOOKUP(A44,Fiktive_Dividende!A$3:AM$103,16,FALSE)/VLOOKUP(A44,Ergebnis_je_Aktie_verwässert!A$3:AK$103,10,FALSE))),""),"")</f>
        <v>0.92150462335471828</v>
      </c>
      <c r="K44" s="71">
        <f>IF(VLOOKUP(A44,Fiktive_Dividende!A$3:AM$103,17,FALSE)&lt;&gt;"",IF(VLOOKUP(A44,Ergebnis_je_Aktie_verwässert!A$3:AK$103,11,FALSE)&lt;&gt;"",IF(VLOOKUP(A44,Ergebnis_je_Aktie_verwässert!A$3:AK$103,11,FALSE)&lt;=0,2,IF(VLOOKUP(A44,Fiktive_Dividende!A$3:AM$103,17,FALSE)/VLOOKUP(A44,Ergebnis_je_Aktie_verwässert!A$3:AK$103,11,FALSE)&gt;=2,2,VLOOKUP(A44,Fiktive_Dividende!A$3:AM$103,17,FALSE)/VLOOKUP(A44,Ergebnis_je_Aktie_verwässert!A$3:AK$103,11,FALSE))),""),"")</f>
        <v>0.9659865370915699</v>
      </c>
      <c r="L44" s="71">
        <f>IF(VLOOKUP(A44,Fiktive_Dividende!A$3:AM$103,18,FALSE)&lt;&gt;"",IF(VLOOKUP(A44,Ergebnis_je_Aktie_verwässert!A$3:AK$103,12,FALSE)&lt;&gt;"",IF(VLOOKUP(A44,Ergebnis_je_Aktie_verwässert!A$3:AK$103,12,FALSE)&lt;=0,2,IF(VLOOKUP(A44,Fiktive_Dividende!A$3:AM$103,18,FALSE)/VLOOKUP(A44,Ergebnis_je_Aktie_verwässert!A$3:AK$103,12,FALSE)&gt;=2,2,VLOOKUP(A44,Fiktive_Dividende!A$3:AM$103,18,FALSE)/VLOOKUP(A44,Ergebnis_je_Aktie_verwässert!A$3:AK$103,12,FALSE))),""),"")</f>
        <v>0.57124238074434663</v>
      </c>
      <c r="M44" s="71">
        <f>IF(VLOOKUP(A44,Fiktive_Dividende!A$3:AM$103,19,FALSE)&lt;&gt;"",IF(VLOOKUP(A44,Ergebnis_je_Aktie_verwässert!A$3:AK$103,13,FALSE)&lt;&gt;"",IF(VLOOKUP(A44,Ergebnis_je_Aktie_verwässert!A$3:AK$103,13,FALSE)&lt;=0,2,IF(VLOOKUP(A44,Fiktive_Dividende!A$3:AM$103,19,FALSE)/VLOOKUP(A44,Ergebnis_je_Aktie_verwässert!A$3:AK$103,13,FALSE)&gt;=2,2,VLOOKUP(A44,Fiktive_Dividende!A$3:AM$103,19,FALSE)/VLOOKUP(A44,Ergebnis_je_Aktie_verwässert!A$3:AK$103,13,FALSE))),""),"")</f>
        <v>0.12574850299401197</v>
      </c>
      <c r="N44" s="71">
        <f>IF(VLOOKUP(A44,Fiktive_Dividende!A$3:AM$103,20,FALSE)&lt;&gt;"",IF(VLOOKUP(A44,Ergebnis_je_Aktie_verwässert!A$3:AK$103,14,FALSE)&lt;&gt;"",IF(VLOOKUP(A44,Ergebnis_je_Aktie_verwässert!A$3:AK$103,14,FALSE)&lt;=0,2,IF(VLOOKUP(A44,Fiktive_Dividende!A$3:AM$103,20,FALSE)/VLOOKUP(A44,Ergebnis_je_Aktie_verwässert!A$3:AK$103,14,FALSE)&gt;=2,2,VLOOKUP(A44,Fiktive_Dividende!A$3:AM$103,20,FALSE)/VLOOKUP(A44,Ergebnis_je_Aktie_verwässert!A$3:AK$103,14,FALSE))),""),"")</f>
        <v>0.16528925619834711</v>
      </c>
      <c r="O44" s="71">
        <f>IF(VLOOKUP(A44,Fiktive_Dividende!A$3:AM$103,21,FALSE)&lt;&gt;"",IF(VLOOKUP(A44,Ergebnis_je_Aktie_verwässert!A$3:AK$103,15,FALSE)&lt;&gt;"",IF(VLOOKUP(A44,Ergebnis_je_Aktie_verwässert!A$3:AK$103,15,FALSE)&lt;=0,2,IF(VLOOKUP(A44,Fiktive_Dividende!A$3:AM$103,21,FALSE)/VLOOKUP(A44,Ergebnis_je_Aktie_verwässert!A$3:AK$103,15,FALSE)&gt;=2,2,VLOOKUP(A44,Fiktive_Dividende!A$3:AM$103,21,FALSE)/VLOOKUP(A44,Ergebnis_je_Aktie_verwässert!A$3:AK$103,15,FALSE))),""),"")</f>
        <v>0.55916579174476833</v>
      </c>
      <c r="P44" s="71">
        <f>IF(VLOOKUP(A44,Fiktive_Dividende!A$3:AM$103,22,FALSE)&lt;&gt;"",IF(VLOOKUP(A44,Ergebnis_je_Aktie_verwässert!A$3:AK$103,16,FALSE)&lt;&gt;"",IF(VLOOKUP(A44,Ergebnis_je_Aktie_verwässert!A$3:AK$103,16,FALSE)&lt;=0,2,IF(VLOOKUP(A44,Fiktive_Dividende!A$3:AM$103,22,FALSE)/VLOOKUP(A44,Ergebnis_je_Aktie_verwässert!A$3:AK$103,16,FALSE)&gt;=2,2,VLOOKUP(A44,Fiktive_Dividende!A$3:AM$103,22,FALSE)/VLOOKUP(A44,Ergebnis_je_Aktie_verwässert!A$3:AK$103,16,FALSE))),""),"")</f>
        <v>0</v>
      </c>
      <c r="Q44" s="71">
        <f>IF(VLOOKUP(A44,Fiktive_Dividende!A$3:AM$103,23,FALSE)&lt;&gt;"",IF(VLOOKUP(A44,Ergebnis_je_Aktie_verwässert!A$3:AK$103,17,FALSE)&lt;&gt;"",IF(VLOOKUP(A44,Ergebnis_je_Aktie_verwässert!A$3:AK$103,17,FALSE)&lt;=0,2,IF(VLOOKUP(A44,Fiktive_Dividende!A$3:AM$103,23,FALSE)/VLOOKUP(A44,Ergebnis_je_Aktie_verwässert!A$3:AK$103,17,FALSE)&gt;=2,2,VLOOKUP(A44,Fiktive_Dividende!A$3:AM$103,23,FALSE)/VLOOKUP(A44,Ergebnis_je_Aktie_verwässert!A$3:AK$103,17,FALSE))),""),"")</f>
        <v>0.5856159664657804</v>
      </c>
      <c r="R44" s="71">
        <f>IF(VLOOKUP(A44,Fiktive_Dividende!A$3:AM$103,24,FALSE)&lt;&gt;"",IF(VLOOKUP(A44,Ergebnis_je_Aktie_verwässert!A$3:AK$103,18,FALSE)&lt;&gt;"",IF(VLOOKUP(A44,Ergebnis_je_Aktie_verwässert!A$3:AK$103,18,FALSE)&lt;=0,2,IF(VLOOKUP(A44,Fiktive_Dividende!A$3:AM$103,24,FALSE)/VLOOKUP(A44,Ergebnis_je_Aktie_verwässert!A$3:AK$103,18,FALSE)&gt;=2,2,VLOOKUP(A44,Fiktive_Dividende!A$3:AM$103,24,FALSE)/VLOOKUP(A44,Ergebnis_je_Aktie_verwässert!A$3:AK$103,18,FALSE))),""),"")</f>
        <v>0</v>
      </c>
      <c r="S44" s="105">
        <f t="shared" si="7"/>
        <v>0.41766367912522451</v>
      </c>
      <c r="T44" s="71">
        <f>IF(VLOOKUP(A44,Dividende_je_Aktie!A$3:AM$103,6,FALSE)&lt;&gt;"",IF(VLOOKUP(A44,Ergebnis_je_Aktie_verwässert!A$3:AK$103,6,FALSE)&lt;&gt;"",IF(VLOOKUP(A44,Ergebnis_je_Aktie_verwässert!A$3:AK$103,6,FALSE)&lt;=0,2,IF(VLOOKUP(A44,Dividende_je_Aktie!A$3:AM$103,6,FALSE)/VLOOKUP(A44,Ergebnis_je_Aktie_verwässert!A$3:AK$103,6,FALSE)&gt;=2,2,VLOOKUP(A44,Dividende_je_Aktie!A$3:AM$103,6,FALSE)/VLOOKUP(A44,Ergebnis_je_Aktie_verwässert!A$3:AK$103,6,FALSE))),""),"")</f>
        <v>0.23809523809523808</v>
      </c>
      <c r="U44" s="71">
        <f>IF(VLOOKUP(A44,Dividende_je_Aktie!A$3:AM$103,7,FALSE)&lt;&gt;"",IF(VLOOKUP(A44,Ergebnis_je_Aktie_verwässert!A$3:AK$103,7,FALSE)&lt;&gt;"",IF(VLOOKUP(A44,Ergebnis_je_Aktie_verwässert!A$3:AK$103,7,FALSE)&lt;=0,2,IF(VLOOKUP(A44,Dividende_je_Aktie!A$3:AM$103,7,FALSE)/VLOOKUP(A44,Ergebnis_je_Aktie_verwässert!A$3:AK$103,7,FALSE)&gt;=2,2,VLOOKUP(A44,Dividende_je_Aktie!A$3:AM$103,7,FALSE)/VLOOKUP(A44,Ergebnis_je_Aktie_verwässert!A$3:AK$103,7,FALSE))),""),"")</f>
        <v>0.25</v>
      </c>
      <c r="V44" s="71">
        <f>IF(VLOOKUP(A44,Dividende_je_Aktie!A$3:AM$103,8,FALSE)&lt;&gt;"",IF(VLOOKUP(A44,Ergebnis_je_Aktie_verwässert!A$3:AK$103,8,FALSE)&lt;&gt;"",IF(VLOOKUP(A44,Ergebnis_je_Aktie_verwässert!A$3:AK$103,8,FALSE)&lt;=0,2,IF(VLOOKUP(A44,Dividende_je_Aktie!A$3:AM$103,8,FALSE)/VLOOKUP(A44,Ergebnis_je_Aktie_verwässert!A$3:AK$103,8,FALSE)&gt;=2,2,VLOOKUP(A44,Dividende_je_Aktie!A$3:AM$103,8,FALSE)/VLOOKUP(A44,Ergebnis_je_Aktie_verwässert!A$3:AK$103,8,FALSE))),""),"")</f>
        <v>0.26794258373205748</v>
      </c>
      <c r="W44" s="71">
        <f>IF(VLOOKUP(A44,Dividende_je_Aktie!A$3:AM$103,9,FALSE)&lt;&gt;"",IF(VLOOKUP(A44,Ergebnis_je_Aktie_verwässert!A$3:AK$103,9,FALSE)&lt;&gt;"",IF(VLOOKUP(A44,Ergebnis_je_Aktie_verwässert!A$3:AK$103,9,FALSE)&lt;=0,2,IF(VLOOKUP(A44,Dividende_je_Aktie!A$3:AM$103,9,FALSE)/VLOOKUP(A44,Ergebnis_je_Aktie_verwässert!A$3:AK$103,9,FALSE)&gt;=2,2,VLOOKUP(A44,Dividende_je_Aktie!A$3:AM$103,9,FALSE)/VLOOKUP(A44,Ergebnis_je_Aktie_verwässert!A$3:AK$103,9,FALSE))),""),"")</f>
        <v>0.23076923076923078</v>
      </c>
      <c r="X44" s="71">
        <f>IF(VLOOKUP(A44,Dividende_je_Aktie!A$3:AM$103,10,FALSE)&lt;&gt;"",IF(VLOOKUP(A44,Ergebnis_je_Aktie_verwässert!A$3:AK$103,10,FALSE)&lt;&gt;"",IF(VLOOKUP(A44,Ergebnis_je_Aktie_verwässert!A$3:AK$103,10,FALSE)&lt;=0,2,IF(VLOOKUP(A44,Dividende_je_Aktie!A$3:AM$103,10,FALSE)/VLOOKUP(A44,Ergebnis_je_Aktie_verwässert!A$3:AK$103,10,FALSE)&gt;=2,2,VLOOKUP(A44,Dividende_je_Aktie!A$3:AM$103,10,FALSE)/VLOOKUP(A44,Ergebnis_je_Aktie_verwässert!A$3:AK$103,10,FALSE))),""),"")</f>
        <v>0.20168067226890757</v>
      </c>
      <c r="Y44" s="71">
        <f>IF(VLOOKUP(A44,Dividende_je_Aktie!A$3:AM$103,11,FALSE)&lt;&gt;"",IF(VLOOKUP(A44,Ergebnis_je_Aktie_verwässert!A$3:AK$103,11,FALSE)&lt;&gt;"",IF(VLOOKUP(A44,Ergebnis_je_Aktie_verwässert!A$3:AK$103,11,FALSE)&lt;=0,2,IF(VLOOKUP(A44,Dividende_je_Aktie!A$3:AM$103,11,FALSE)/VLOOKUP(A44,Ergebnis_je_Aktie_verwässert!A$3:AK$103,11,FALSE)&gt;=2,2,VLOOKUP(A44,Dividende_je_Aktie!A$3:AM$103,11,FALSE)/VLOOKUP(A44,Ergebnis_je_Aktie_verwässert!A$3:AK$103,11,FALSE))),""),"")</f>
        <v>0.13274336283185842</v>
      </c>
      <c r="Z44" s="71">
        <f>IF(VLOOKUP(A44,Dividende_je_Aktie!A$3:AM$103,12,FALSE)&lt;&gt;"",IF(VLOOKUP(A44,Ergebnis_je_Aktie_verwässert!A$3:AK$103,12,FALSE)&lt;&gt;"",IF(VLOOKUP(A44,Ergebnis_je_Aktie_verwässert!A$3:AK$103,12,FALSE)&lt;=0,2,IF(VLOOKUP(A44,Dividende_je_Aktie!A$3:AM$103,12,FALSE)/VLOOKUP(A44,Ergebnis_je_Aktie_verwässert!A$3:AK$103,12,FALSE)&gt;=2,2,VLOOKUP(A44,Dividende_je_Aktie!A$3:AM$103,12,FALSE)/VLOOKUP(A44,Ergebnis_je_Aktie_verwässert!A$3:AK$103,12,FALSE))),""),"")</f>
        <v>0.12244897959183673</v>
      </c>
      <c r="AA44" s="71">
        <f>IF(VLOOKUP(A44,Dividende_je_Aktie!A$3:AM$103,13,FALSE)&lt;&gt;"",IF(VLOOKUP(A44,Ergebnis_je_Aktie_verwässert!A$3:AK$103,13,FALSE)&lt;&gt;"",IF(VLOOKUP(A44,Ergebnis_je_Aktie_verwässert!A$3:AK$103,13,FALSE)&lt;=0,2,IF(VLOOKUP(A44,Dividende_je_Aktie!A$3:AM$103,13,FALSE)/VLOOKUP(A44,Ergebnis_je_Aktie_verwässert!A$3:AK$103,13,FALSE)&gt;=2,2,VLOOKUP(A44,Dividende_je_Aktie!A$3:AM$103,13,FALSE)/VLOOKUP(A44,Ergebnis_je_Aktie_verwässert!A$3:AK$103,13,FALSE))),""),"")</f>
        <v>0.12574850299401197</v>
      </c>
      <c r="AB44" s="71">
        <f>IF(VLOOKUP(A44,Dividende_je_Aktie!A$3:AM$103,14,FALSE)&lt;&gt;"",IF(VLOOKUP(A44,Ergebnis_je_Aktie_verwässert!A$3:AK$103,14,FALSE)&lt;&gt;"",IF(VLOOKUP(A44,Ergebnis_je_Aktie_verwässert!A$3:AK$103,14,FALSE)&lt;=0,2,IF(VLOOKUP(A44,Dividende_je_Aktie!A$3:AM$103,14,FALSE)/VLOOKUP(A44,Ergebnis_je_Aktie_verwässert!A$3:AK$103,14,FALSE)&gt;=2,2,VLOOKUP(A44,Dividende_je_Aktie!A$3:AM$103,14,FALSE)/VLOOKUP(A44,Ergebnis_je_Aktie_verwässert!A$3:AK$103,14,FALSE))),""),"")</f>
        <v>0.16528925619834711</v>
      </c>
      <c r="AC44" s="71">
        <f>IF(VLOOKUP(A44,Dividende_je_Aktie!A$3:AM$103,15,FALSE)&lt;&gt;"",IF(VLOOKUP(A44,Ergebnis_je_Aktie_verwässert!A$3:AK$103,15,FALSE)&lt;&gt;"",IF(VLOOKUP(A44,Ergebnis_je_Aktie_verwässert!A$3:AK$103,15,FALSE)&lt;=0,2,IF(VLOOKUP(A44,Dividende_je_Aktie!A$3:AM$103,15,FALSE)/VLOOKUP(A44,Ergebnis_je_Aktie_verwässert!A$3:AK$103,15,FALSE)&gt;=2,2,VLOOKUP(A44,Dividende_je_Aktie!A$3:AM$103,15,FALSE)/VLOOKUP(A44,Ergebnis_je_Aktie_verwässert!A$3:AK$103,15,FALSE))),""),"")</f>
        <v>4.5871559633027525E-2</v>
      </c>
      <c r="AD44" s="71">
        <f>IF(VLOOKUP(A44,Dividende_je_Aktie!A$3:AM$103,16,FALSE)&lt;&gt;"",IF(VLOOKUP(A44,Ergebnis_je_Aktie_verwässert!A$3:AK$103,16,FALSE)&lt;&gt;"",IF(VLOOKUP(A44,Ergebnis_je_Aktie_verwässert!A$3:AK$103,16,FALSE)&lt;=0,2,IF(VLOOKUP(A44,Dividende_je_Aktie!A$3:AM$103,16,FALSE)/VLOOKUP(A44,Ergebnis_je_Aktie_verwässert!A$3:AK$103,16,FALSE)&gt;=2,2,VLOOKUP(A44,Dividende_je_Aktie!A$3:AM$103,16,FALSE)/VLOOKUP(A44,Ergebnis_je_Aktie_verwässert!A$3:AK$103,16,FALSE))),""),"")</f>
        <v>0</v>
      </c>
      <c r="AE44" s="71">
        <f>IF(VLOOKUP(A44,Dividende_je_Aktie!A$3:AM$103,17,FALSE)&lt;&gt;"",IF(VLOOKUP(A44,Ergebnis_je_Aktie_verwässert!A$3:AK$103,17,FALSE)&lt;&gt;"",IF(VLOOKUP(A44,Ergebnis_je_Aktie_verwässert!A$3:AK$103,17,FALSE)&lt;=0,2,IF(VLOOKUP(A44,Dividende_je_Aktie!A$3:AM$103,17,FALSE)/VLOOKUP(A44,Ergebnis_je_Aktie_verwässert!A$3:AK$103,17,FALSE)&gt;=2,2,VLOOKUP(A44,Dividende_je_Aktie!A$3:AM$103,17,FALSE)/VLOOKUP(A44,Ergebnis_je_Aktie_verwässert!A$3:AK$103,17,FALSE))),""),"")</f>
        <v>0</v>
      </c>
      <c r="AF44" s="71">
        <f>IF(VLOOKUP(A44,Dividende_je_Aktie!A$3:AM$103,18,FALSE)&lt;&gt;"",IF(VLOOKUP(A44,Ergebnis_je_Aktie_verwässert!A$3:AK$103,18,FALSE)&lt;&gt;"",IF(VLOOKUP(A44,Ergebnis_je_Aktie_verwässert!A$3:AK$103,18,FALSE)&lt;=0,2,IF(VLOOKUP(A44,Dividende_je_Aktie!A$3:AM$103,18,FALSE)/VLOOKUP(A44,Ergebnis_je_Aktie_verwässert!A$3:AK$103,18,FALSE)&gt;=2,2,VLOOKUP(A44,Dividende_je_Aktie!A$3:AM$103,18,FALSE)/VLOOKUP(A44,Ergebnis_je_Aktie_verwässert!A$3:AK$103,18,FALSE))),""),"")</f>
        <v>0</v>
      </c>
      <c r="AG44" s="105">
        <f t="shared" si="8"/>
        <v>0.1369684143165012</v>
      </c>
      <c r="AH44" s="4">
        <f t="shared" ca="1" si="9"/>
        <v>0</v>
      </c>
      <c r="AI44" s="4">
        <f t="shared" ca="1" si="10"/>
        <v>318</v>
      </c>
      <c r="AJ44" s="4">
        <f t="shared" ca="1" si="11"/>
        <v>42</v>
      </c>
      <c r="AK44" s="10">
        <f t="shared" ca="1" si="12"/>
        <v>0.2520933014354067</v>
      </c>
      <c r="AL44" s="5">
        <f t="shared" ca="1" si="13"/>
        <v>0.84052142746487135</v>
      </c>
    </row>
    <row r="45" spans="1:38">
      <c r="A45" t="s">
        <v>62</v>
      </c>
      <c r="B45" t="s">
        <v>63</v>
      </c>
      <c r="C45" s="60">
        <v>31</v>
      </c>
      <c r="D45" s="60">
        <v>12</v>
      </c>
      <c r="E45" s="60">
        <v>2016</v>
      </c>
      <c r="F45" s="71">
        <f>IF(VLOOKUP(A45,Dividende_je_Aktie!A$3:AM$103,6,FALSE)&lt;&gt;"",IF(VLOOKUP(A45,Ergebnis_je_Aktie_verwässert!A$3:AK$103,6,FALSE)&lt;&gt;"",IF(VLOOKUP(A45,Ergebnis_je_Aktie_verwässert!A$3:AK$103,6,FALSE)&lt;=0,2,IF(VLOOKUP(A45,Dividende_je_Aktie!A$3:AM$103,6,FALSE)/VLOOKUP(A45,Ergebnis_je_Aktie_verwässert!A$3:AK$103,6,FALSE)&gt;=2,2,VLOOKUP(A45,Dividende_je_Aktie!A$3:AM$103,6,FALSE)/VLOOKUP(A45,Ergebnis_je_Aktie_verwässert!A$3:AK$103,6,FALSE))),""),"")</f>
        <v>0.62799263351749546</v>
      </c>
      <c r="G45" s="71">
        <f>IF(VLOOKUP(A45,Dividende_je_Aktie!A$3:AM$103,7,FALSE)&lt;&gt;"",IF(VLOOKUP(A45,Ergebnis_je_Aktie_verwässert!A$3:AK$103,7,FALSE)&lt;&gt;"",IF(VLOOKUP(A45,Ergebnis_je_Aktie_verwässert!A$3:AK$103,7,FALSE)&lt;=0,2,IF(VLOOKUP(A45,Dividende_je_Aktie!A$3:AM$103,7,FALSE)/VLOOKUP(A45,Ergebnis_je_Aktie_verwässert!A$3:AK$103,7,FALSE)&gt;=2,2,VLOOKUP(A45,Dividende_je_Aktie!A$3:AM$103,7,FALSE)/VLOOKUP(A45,Ergebnis_je_Aktie_verwässert!A$3:AK$103,7,FALSE))),""),"")</f>
        <v>0.624505928853755</v>
      </c>
      <c r="H45" s="71">
        <f>IF(VLOOKUP(A45,Fiktive_Dividende!A$3:AM$103,14,FALSE)&lt;&gt;"",IF(VLOOKUP(A45,Ergebnis_je_Aktie_verwässert!A$3:AK$103,8,FALSE)&lt;&gt;"",IF(VLOOKUP(A45,Ergebnis_je_Aktie_verwässert!A$3:AK$103,8,FALSE)&lt;=0,2,IF(VLOOKUP(A45,Fiktive_Dividende!A$3:AM$103,14,FALSE)/VLOOKUP(A45,Ergebnis_je_Aktie_verwässert!A$3:AK$103,8,FALSE)&gt;=2,2,VLOOKUP(A45,Fiktive_Dividende!A$3:AM$103,14,FALSE)/VLOOKUP(A45,Ergebnis_je_Aktie_verwässert!A$3:AK$103,8,FALSE))),""),"")</f>
        <v>0.62820512820512819</v>
      </c>
      <c r="I45" s="71">
        <f>IF(VLOOKUP(A45,Fiktive_Dividende!A$3:AM$103,15,FALSE)&lt;&gt;"",IF(VLOOKUP(A45,Ergebnis_je_Aktie_verwässert!A$3:AK$103,9,FALSE)&lt;&gt;"",IF(VLOOKUP(A45,Ergebnis_je_Aktie_verwässert!A$3:AK$103,9,FALSE)&lt;=0,2,IF(VLOOKUP(A45,Fiktive_Dividende!A$3:AM$103,15,FALSE)/VLOOKUP(A45,Ergebnis_je_Aktie_verwässert!A$3:AK$103,9,FALSE)&gt;=2,2,VLOOKUP(A45,Fiktive_Dividende!A$3:AM$103,15,FALSE)/VLOOKUP(A45,Ergebnis_je_Aktie_verwässert!A$3:AK$103,9,FALSE))),""),"")</f>
        <v>1.1637866937224108</v>
      </c>
      <c r="J45" s="71">
        <f>IF(VLOOKUP(A45,Fiktive_Dividende!A$3:AM$103,16,FALSE)&lt;&gt;"",IF(VLOOKUP(A45,Ergebnis_je_Aktie_verwässert!A$3:AK$103,10,FALSE)&lt;&gt;"",IF(VLOOKUP(A45,Ergebnis_je_Aktie_verwässert!A$3:AK$103,10,FALSE)&lt;=0,2,IF(VLOOKUP(A45,Fiktive_Dividende!A$3:AM$103,16,FALSE)/VLOOKUP(A45,Ergebnis_je_Aktie_verwässert!A$3:AK$103,10,FALSE)&gt;=2,2,VLOOKUP(A45,Fiktive_Dividende!A$3:AM$103,16,FALSE)/VLOOKUP(A45,Ergebnis_je_Aktie_verwässert!A$3:AK$103,10,FALSE))),""),"")</f>
        <v>1.0976731578072945</v>
      </c>
      <c r="K45" s="71">
        <f>IF(VLOOKUP(A45,Fiktive_Dividende!A$3:AM$103,17,FALSE)&lt;&gt;"",IF(VLOOKUP(A45,Ergebnis_je_Aktie_verwässert!A$3:AK$103,11,FALSE)&lt;&gt;"",IF(VLOOKUP(A45,Ergebnis_je_Aktie_verwässert!A$3:AK$103,11,FALSE)&lt;=0,2,IF(VLOOKUP(A45,Fiktive_Dividende!A$3:AM$103,17,FALSE)/VLOOKUP(A45,Ergebnis_je_Aktie_verwässert!A$3:AK$103,11,FALSE)&gt;=2,2,VLOOKUP(A45,Fiktive_Dividende!A$3:AM$103,17,FALSE)/VLOOKUP(A45,Ergebnis_je_Aktie_verwässert!A$3:AK$103,11,FALSE))),""),"")</f>
        <v>0.77445670967683744</v>
      </c>
      <c r="L45" s="71">
        <f>IF(VLOOKUP(A45,Fiktive_Dividende!A$3:AM$103,18,FALSE)&lt;&gt;"",IF(VLOOKUP(A45,Ergebnis_je_Aktie_verwässert!A$3:AK$103,12,FALSE)&lt;&gt;"",IF(VLOOKUP(A45,Ergebnis_je_Aktie_verwässert!A$3:AK$103,12,FALSE)&lt;=0,2,IF(VLOOKUP(A45,Fiktive_Dividende!A$3:AM$103,18,FALSE)/VLOOKUP(A45,Ergebnis_je_Aktie_verwässert!A$3:AK$103,12,FALSE)&gt;=2,2,VLOOKUP(A45,Fiktive_Dividende!A$3:AM$103,18,FALSE)/VLOOKUP(A45,Ergebnis_je_Aktie_verwässert!A$3:AK$103,12,FALSE))),""),"")</f>
        <v>0.74666392678184734</v>
      </c>
      <c r="M45" s="71">
        <f>IF(VLOOKUP(A45,Fiktive_Dividende!A$3:AM$103,19,FALSE)&lt;&gt;"",IF(VLOOKUP(A45,Ergebnis_je_Aktie_verwässert!A$3:AK$103,13,FALSE)&lt;&gt;"",IF(VLOOKUP(A45,Ergebnis_je_Aktie_verwässert!A$3:AK$103,13,FALSE)&lt;=0,2,IF(VLOOKUP(A45,Fiktive_Dividende!A$3:AM$103,19,FALSE)/VLOOKUP(A45,Ergebnis_je_Aktie_verwässert!A$3:AK$103,13,FALSE)&gt;=2,2,VLOOKUP(A45,Fiktive_Dividende!A$3:AM$103,19,FALSE)/VLOOKUP(A45,Ergebnis_je_Aktie_verwässert!A$3:AK$103,13,FALSE))),""),"")</f>
        <v>0.62527173913043466</v>
      </c>
      <c r="N45" s="71">
        <f>IF(VLOOKUP(A45,Fiktive_Dividende!A$3:AM$103,20,FALSE)&lt;&gt;"",IF(VLOOKUP(A45,Ergebnis_je_Aktie_verwässert!A$3:AK$103,14,FALSE)&lt;&gt;"",IF(VLOOKUP(A45,Ergebnis_je_Aktie_verwässert!A$3:AK$103,14,FALSE)&lt;=0,2,IF(VLOOKUP(A45,Fiktive_Dividende!A$3:AM$103,20,FALSE)/VLOOKUP(A45,Ergebnis_je_Aktie_verwässert!A$3:AK$103,14,FALSE)&gt;=2,2,VLOOKUP(A45,Fiktive_Dividende!A$3:AM$103,20,FALSE)/VLOOKUP(A45,Ergebnis_je_Aktie_verwässert!A$3:AK$103,14,FALSE))),""),"")</f>
        <v>0.4576271186440678</v>
      </c>
      <c r="O45" s="71">
        <f>IF(VLOOKUP(A45,Fiktive_Dividende!A$3:AM$103,21,FALSE)&lt;&gt;"",IF(VLOOKUP(A45,Ergebnis_je_Aktie_verwässert!A$3:AK$103,15,FALSE)&lt;&gt;"",IF(VLOOKUP(A45,Ergebnis_je_Aktie_verwässert!A$3:AK$103,15,FALSE)&lt;=0,2,IF(VLOOKUP(A45,Fiktive_Dividende!A$3:AM$103,21,FALSE)/VLOOKUP(A45,Ergebnis_je_Aktie_verwässert!A$3:AK$103,15,FALSE)&gt;=2,2,VLOOKUP(A45,Fiktive_Dividende!A$3:AM$103,21,FALSE)/VLOOKUP(A45,Ergebnis_je_Aktie_verwässert!A$3:AK$103,15,FALSE))),""),"")</f>
        <v>0.47978436657681944</v>
      </c>
      <c r="P45" s="71">
        <f>IF(VLOOKUP(A45,Fiktive_Dividende!A$3:AM$103,22,FALSE)&lt;&gt;"",IF(VLOOKUP(A45,Ergebnis_je_Aktie_verwässert!A$3:AK$103,16,FALSE)&lt;&gt;"",IF(VLOOKUP(A45,Ergebnis_je_Aktie_verwässert!A$3:AK$103,16,FALSE)&lt;=0,2,IF(VLOOKUP(A45,Fiktive_Dividende!A$3:AM$103,22,FALSE)/VLOOKUP(A45,Ergebnis_je_Aktie_verwässert!A$3:AK$103,16,FALSE)&gt;=2,2,VLOOKUP(A45,Fiktive_Dividende!A$3:AM$103,22,FALSE)/VLOOKUP(A45,Ergebnis_je_Aktie_verwässert!A$3:AK$103,16,FALSE))),""),"")</f>
        <v>0.94671078417648857</v>
      </c>
      <c r="Q45" s="71">
        <f>IF(VLOOKUP(A45,Fiktive_Dividende!A$3:AM$103,23,FALSE)&lt;&gt;"",IF(VLOOKUP(A45,Ergebnis_je_Aktie_verwässert!A$3:AK$103,17,FALSE)&lt;&gt;"",IF(VLOOKUP(A45,Ergebnis_je_Aktie_verwässert!A$3:AK$103,17,FALSE)&lt;=0,2,IF(VLOOKUP(A45,Fiktive_Dividende!A$3:AM$103,23,FALSE)/VLOOKUP(A45,Ergebnis_je_Aktie_verwässert!A$3:AK$103,17,FALSE)&gt;=2,2,VLOOKUP(A45,Fiktive_Dividende!A$3:AM$103,23,FALSE)/VLOOKUP(A45,Ergebnis_je_Aktie_verwässert!A$3:AK$103,17,FALSE))),""),"")</f>
        <v>0.88478128629099162</v>
      </c>
      <c r="R45" s="71">
        <f>IF(VLOOKUP(A45,Fiktive_Dividende!A$3:AM$103,24,FALSE)&lt;&gt;"",IF(VLOOKUP(A45,Ergebnis_je_Aktie_verwässert!A$3:AK$103,18,FALSE)&lt;&gt;"",IF(VLOOKUP(A45,Ergebnis_je_Aktie_verwässert!A$3:AK$103,18,FALSE)&lt;=0,2,IF(VLOOKUP(A45,Fiktive_Dividende!A$3:AM$103,24,FALSE)/VLOOKUP(A45,Ergebnis_je_Aktie_verwässert!A$3:AK$103,18,FALSE)&gt;=2,2,VLOOKUP(A45,Fiktive_Dividende!A$3:AM$103,24,FALSE)/VLOOKUP(A45,Ergebnis_je_Aktie_verwässert!A$3:AK$103,18,FALSE))),""),"")</f>
        <v>0.61619047619047607</v>
      </c>
      <c r="S45" s="105">
        <f t="shared" si="7"/>
        <v>0.74412691919800367</v>
      </c>
      <c r="T45" s="71">
        <f>IF(VLOOKUP(A45,Dividende_je_Aktie!A$3:AM$103,6,FALSE)&lt;&gt;"",IF(VLOOKUP(A45,Ergebnis_je_Aktie_verwässert!A$3:AK$103,6,FALSE)&lt;&gt;"",IF(VLOOKUP(A45,Ergebnis_je_Aktie_verwässert!A$3:AK$103,6,FALSE)&lt;=0,2,IF(VLOOKUP(A45,Dividende_je_Aktie!A$3:AM$103,6,FALSE)/VLOOKUP(A45,Ergebnis_je_Aktie_verwässert!A$3:AK$103,6,FALSE)&gt;=2,2,VLOOKUP(A45,Dividende_je_Aktie!A$3:AM$103,6,FALSE)/VLOOKUP(A45,Ergebnis_je_Aktie_verwässert!A$3:AK$103,6,FALSE))),""),"")</f>
        <v>0.62799263351749546</v>
      </c>
      <c r="U45" s="71">
        <f>IF(VLOOKUP(A45,Dividende_je_Aktie!A$3:AM$103,7,FALSE)&lt;&gt;"",IF(VLOOKUP(A45,Ergebnis_je_Aktie_verwässert!A$3:AK$103,7,FALSE)&lt;&gt;"",IF(VLOOKUP(A45,Ergebnis_je_Aktie_verwässert!A$3:AK$103,7,FALSE)&lt;=0,2,IF(VLOOKUP(A45,Dividende_je_Aktie!A$3:AM$103,7,FALSE)/VLOOKUP(A45,Ergebnis_je_Aktie_verwässert!A$3:AK$103,7,FALSE)&gt;=2,2,VLOOKUP(A45,Dividende_je_Aktie!A$3:AM$103,7,FALSE)/VLOOKUP(A45,Ergebnis_je_Aktie_verwässert!A$3:AK$103,7,FALSE))),""),"")</f>
        <v>0.624505928853755</v>
      </c>
      <c r="V45" s="71">
        <f>IF(VLOOKUP(A45,Dividende_je_Aktie!A$3:AM$103,8,FALSE)&lt;&gt;"",IF(VLOOKUP(A45,Ergebnis_je_Aktie_verwässert!A$3:AK$103,8,FALSE)&lt;&gt;"",IF(VLOOKUP(A45,Ergebnis_je_Aktie_verwässert!A$3:AK$103,8,FALSE)&lt;=0,2,IF(VLOOKUP(A45,Dividende_je_Aktie!A$3:AM$103,8,FALSE)/VLOOKUP(A45,Ergebnis_je_Aktie_verwässert!A$3:AK$103,8,FALSE)&gt;=2,2,VLOOKUP(A45,Dividende_je_Aktie!A$3:AM$103,8,FALSE)/VLOOKUP(A45,Ergebnis_je_Aktie_verwässert!A$3:AK$103,8,FALSE))),""),"")</f>
        <v>0.62820512820512819</v>
      </c>
      <c r="W45" s="71">
        <f>IF(VLOOKUP(A45,Dividende_je_Aktie!A$3:AM$103,9,FALSE)&lt;&gt;"",IF(VLOOKUP(A45,Ergebnis_je_Aktie_verwässert!A$3:AK$103,9,FALSE)&lt;&gt;"",IF(VLOOKUP(A45,Ergebnis_je_Aktie_verwässert!A$3:AK$103,9,FALSE)&lt;=0,2,IF(VLOOKUP(A45,Dividende_je_Aktie!A$3:AM$103,9,FALSE)/VLOOKUP(A45,Ergebnis_je_Aktie_verwässert!A$3:AK$103,9,FALSE)&gt;=2,2,VLOOKUP(A45,Dividende_je_Aktie!A$3:AM$103,9,FALSE)/VLOOKUP(A45,Ergebnis_je_Aktie_verwässert!A$3:AK$103,9,FALSE))),""),"")</f>
        <v>0.60393873085339156</v>
      </c>
      <c r="X45" s="71">
        <f>IF(VLOOKUP(A45,Dividende_je_Aktie!A$3:AM$103,10,FALSE)&lt;&gt;"",IF(VLOOKUP(A45,Ergebnis_je_Aktie_verwässert!A$3:AK$103,10,FALSE)&lt;&gt;"",IF(VLOOKUP(A45,Ergebnis_je_Aktie_verwässert!A$3:AK$103,10,FALSE)&lt;=0,2,IF(VLOOKUP(A45,Dividende_je_Aktie!A$3:AM$103,10,FALSE)/VLOOKUP(A45,Ergebnis_je_Aktie_verwässert!A$3:AK$103,10,FALSE)&gt;=2,2,VLOOKUP(A45,Dividende_je_Aktie!A$3:AM$103,10,FALSE)/VLOOKUP(A45,Ergebnis_je_Aktie_verwässert!A$3:AK$103,10,FALSE))),""),"")</f>
        <v>0.54643628509719222</v>
      </c>
      <c r="Y45" s="71">
        <f>IF(VLOOKUP(A45,Dividende_je_Aktie!A$3:AM$103,11,FALSE)&lt;&gt;"",IF(VLOOKUP(A45,Ergebnis_je_Aktie_verwässert!A$3:AK$103,11,FALSE)&lt;&gt;"",IF(VLOOKUP(A45,Ergebnis_je_Aktie_verwässert!A$3:AK$103,11,FALSE)&lt;=0,2,IF(VLOOKUP(A45,Dividende_je_Aktie!A$3:AM$103,11,FALSE)/VLOOKUP(A45,Ergebnis_je_Aktie_verwässert!A$3:AK$103,11,FALSE)&gt;=2,2,VLOOKUP(A45,Dividende_je_Aktie!A$3:AM$103,11,FALSE)/VLOOKUP(A45,Ergebnis_je_Aktie_verwässert!A$3:AK$103,11,FALSE))),""),"")</f>
        <v>0.51258581235697942</v>
      </c>
      <c r="Z45" s="71">
        <f>IF(VLOOKUP(A45,Dividende_je_Aktie!A$3:AM$103,12,FALSE)&lt;&gt;"",IF(VLOOKUP(A45,Ergebnis_je_Aktie_verwässert!A$3:AK$103,12,FALSE)&lt;&gt;"",IF(VLOOKUP(A45,Ergebnis_je_Aktie_verwässert!A$3:AK$103,12,FALSE)&lt;=0,2,IF(VLOOKUP(A45,Dividende_je_Aktie!A$3:AM$103,12,FALSE)/VLOOKUP(A45,Ergebnis_je_Aktie_verwässert!A$3:AK$103,12,FALSE)&gt;=2,2,VLOOKUP(A45,Dividende_je_Aktie!A$3:AM$103,12,FALSE)/VLOOKUP(A45,Ergebnis_je_Aktie_verwässert!A$3:AK$103,12,FALSE))),""),"")</f>
        <v>0.51951219512195124</v>
      </c>
      <c r="AA45" s="71">
        <f>IF(VLOOKUP(A45,Dividende_je_Aktie!A$3:AM$103,13,FALSE)&lt;&gt;"",IF(VLOOKUP(A45,Ergebnis_je_Aktie_verwässert!A$3:AK$103,13,FALSE)&lt;&gt;"",IF(VLOOKUP(A45,Ergebnis_je_Aktie_verwässert!A$3:AK$103,13,FALSE)&lt;=0,2,IF(VLOOKUP(A45,Dividende_je_Aktie!A$3:AM$103,13,FALSE)/VLOOKUP(A45,Ergebnis_je_Aktie_verwässert!A$3:AK$103,13,FALSE)&gt;=2,2,VLOOKUP(A45,Dividende_je_Aktie!A$3:AM$103,13,FALSE)/VLOOKUP(A45,Ergebnis_je_Aktie_verwässert!A$3:AK$103,13,FALSE))),""),"")</f>
        <v>0.46136363636363631</v>
      </c>
      <c r="AB45" s="71">
        <f>IF(VLOOKUP(A45,Dividende_je_Aktie!A$3:AM$103,14,FALSE)&lt;&gt;"",IF(VLOOKUP(A45,Ergebnis_je_Aktie_verwässert!A$3:AK$103,14,FALSE)&lt;&gt;"",IF(VLOOKUP(A45,Ergebnis_je_Aktie_verwässert!A$3:AK$103,14,FALSE)&lt;=0,2,IF(VLOOKUP(A45,Dividende_je_Aktie!A$3:AM$103,14,FALSE)/VLOOKUP(A45,Ergebnis_je_Aktie_verwässert!A$3:AK$103,14,FALSE)&gt;=2,2,VLOOKUP(A45,Dividende_je_Aktie!A$3:AM$103,14,FALSE)/VLOOKUP(A45,Ergebnis_je_Aktie_verwässert!A$3:AK$103,14,FALSE))),""),"")</f>
        <v>0.4576271186440678</v>
      </c>
      <c r="AC45" s="71">
        <f>IF(VLOOKUP(A45,Dividende_je_Aktie!A$3:AM$103,15,FALSE)&lt;&gt;"",IF(VLOOKUP(A45,Ergebnis_je_Aktie_verwässert!A$3:AK$103,15,FALSE)&lt;&gt;"",IF(VLOOKUP(A45,Ergebnis_je_Aktie_verwässert!A$3:AK$103,15,FALSE)&lt;=0,2,IF(VLOOKUP(A45,Dividende_je_Aktie!A$3:AM$103,15,FALSE)/VLOOKUP(A45,Ergebnis_je_Aktie_verwässert!A$3:AK$103,15,FALSE)&gt;=2,2,VLOOKUP(A45,Dividende_je_Aktie!A$3:AM$103,15,FALSE)/VLOOKUP(A45,Ergebnis_je_Aktie_verwässert!A$3:AK$103,15,FALSE))),""),"")</f>
        <v>0.47978436657681944</v>
      </c>
      <c r="AD45" s="71">
        <f>IF(VLOOKUP(A45,Dividende_je_Aktie!A$3:AM$103,16,FALSE)&lt;&gt;"",IF(VLOOKUP(A45,Ergebnis_je_Aktie_verwässert!A$3:AK$103,16,FALSE)&lt;&gt;"",IF(VLOOKUP(A45,Ergebnis_je_Aktie_verwässert!A$3:AK$103,16,FALSE)&lt;=0,2,IF(VLOOKUP(A45,Dividende_je_Aktie!A$3:AM$103,16,FALSE)/VLOOKUP(A45,Ergebnis_je_Aktie_verwässert!A$3:AK$103,16,FALSE)&gt;=2,2,VLOOKUP(A45,Dividende_je_Aktie!A$3:AM$103,16,FALSE)/VLOOKUP(A45,Ergebnis_je_Aktie_verwässert!A$3:AK$103,16,FALSE))),""),"")</f>
        <v>0.44836956521739124</v>
      </c>
      <c r="AE45" s="71">
        <f>IF(VLOOKUP(A45,Dividende_je_Aktie!A$3:AM$103,17,FALSE)&lt;&gt;"",IF(VLOOKUP(A45,Ergebnis_je_Aktie_verwässert!A$3:AK$103,17,FALSE)&lt;&gt;"",IF(VLOOKUP(A45,Ergebnis_je_Aktie_verwässert!A$3:AK$103,17,FALSE)&lt;=0,2,IF(VLOOKUP(A45,Dividende_je_Aktie!A$3:AM$103,17,FALSE)/VLOOKUP(A45,Ergebnis_je_Aktie_verwässert!A$3:AK$103,17,FALSE)&gt;=2,2,VLOOKUP(A45,Dividende_je_Aktie!A$3:AM$103,17,FALSE)/VLOOKUP(A45,Ergebnis_je_Aktie_verwässert!A$3:AK$103,17,FALSE))),""),"")</f>
        <v>0.42307692307692307</v>
      </c>
      <c r="AF45" s="71">
        <f>IF(VLOOKUP(A45,Dividende_je_Aktie!A$3:AM$103,18,FALSE)&lt;&gt;"",IF(VLOOKUP(A45,Ergebnis_je_Aktie_verwässert!A$3:AK$103,18,FALSE)&lt;&gt;"",IF(VLOOKUP(A45,Ergebnis_je_Aktie_verwässert!A$3:AK$103,18,FALSE)&lt;=0,2,IF(VLOOKUP(A45,Dividende_je_Aktie!A$3:AM$103,18,FALSE)/VLOOKUP(A45,Ergebnis_je_Aktie_verwässert!A$3:AK$103,18,FALSE)&gt;=2,2,VLOOKUP(A45,Dividende_je_Aktie!A$3:AM$103,18,FALSE)/VLOOKUP(A45,Ergebnis_je_Aktie_verwässert!A$3:AK$103,18,FALSE))),""),"")</f>
        <v>0.38666666666666666</v>
      </c>
      <c r="AG45" s="105">
        <f t="shared" si="8"/>
        <v>0.51692807619626135</v>
      </c>
      <c r="AH45" s="4">
        <f t="shared" ca="1" si="9"/>
        <v>0</v>
      </c>
      <c r="AI45" s="4">
        <f t="shared" ca="1" si="10"/>
        <v>108</v>
      </c>
      <c r="AJ45" s="4">
        <f t="shared" ca="1" si="11"/>
        <v>252</v>
      </c>
      <c r="AK45" s="10">
        <f t="shared" ca="1" si="12"/>
        <v>0.62709536839971625</v>
      </c>
      <c r="AL45" s="5">
        <f t="shared" ca="1" si="13"/>
        <v>0.21311918867728097</v>
      </c>
    </row>
    <row r="46" spans="1:38">
      <c r="A46" t="s">
        <v>64</v>
      </c>
      <c r="B46" t="s">
        <v>65</v>
      </c>
      <c r="C46" s="60">
        <v>31</v>
      </c>
      <c r="D46" s="60">
        <v>12</v>
      </c>
      <c r="E46" s="60">
        <v>2016</v>
      </c>
      <c r="F46" s="71">
        <f>IF(VLOOKUP(A46,Dividende_je_Aktie!A$3:AM$103,6,FALSE)&lt;&gt;"",IF(VLOOKUP(A46,Ergebnis_je_Aktie_verwässert!A$3:AK$103,6,FALSE)&lt;&gt;"",IF(VLOOKUP(A46,Ergebnis_je_Aktie_verwässert!A$3:AK$103,6,FALSE)&lt;=0,2,IF(VLOOKUP(A46,Dividende_je_Aktie!A$3:AM$103,6,FALSE)/VLOOKUP(A46,Ergebnis_je_Aktie_verwässert!A$3:AK$103,6,FALSE)&gt;=2,2,VLOOKUP(A46,Dividende_je_Aktie!A$3:AM$103,6,FALSE)/VLOOKUP(A46,Ergebnis_je_Aktie_verwässert!A$3:AK$103,6,FALSE))),""),"")</f>
        <v>0.51750972762645919</v>
      </c>
      <c r="G46" s="71">
        <f>IF(VLOOKUP(A46,Dividende_je_Aktie!A$3:AM$103,7,FALSE)&lt;&gt;"",IF(VLOOKUP(A46,Ergebnis_je_Aktie_verwässert!A$3:AK$103,7,FALSE)&lt;&gt;"",IF(VLOOKUP(A46,Ergebnis_je_Aktie_verwässert!A$3:AK$103,7,FALSE)&lt;=0,2,IF(VLOOKUP(A46,Dividende_je_Aktie!A$3:AM$103,7,FALSE)/VLOOKUP(A46,Ergebnis_je_Aktie_verwässert!A$3:AK$103,7,FALSE)&gt;=2,2,VLOOKUP(A46,Dividende_je_Aktie!A$3:AM$103,7,FALSE)/VLOOKUP(A46,Ergebnis_je_Aktie_verwässert!A$3:AK$103,7,FALSE))),""),"")</f>
        <v>0.5625</v>
      </c>
      <c r="H46" s="71">
        <f>IF(VLOOKUP(A46,Fiktive_Dividende!A$3:AM$103,14,FALSE)&lt;&gt;"",IF(VLOOKUP(A46,Ergebnis_je_Aktie_verwässert!A$3:AK$103,8,FALSE)&lt;&gt;"",IF(VLOOKUP(A46,Ergebnis_je_Aktie_verwässert!A$3:AK$103,8,FALSE)&lt;=0,2,IF(VLOOKUP(A46,Fiktive_Dividende!A$3:AM$103,14,FALSE)/VLOOKUP(A46,Ergebnis_je_Aktie_verwässert!A$3:AK$103,8,FALSE)&gt;=2,2,VLOOKUP(A46,Fiktive_Dividende!A$3:AM$103,14,FALSE)/VLOOKUP(A46,Ergebnis_je_Aktie_verwässert!A$3:AK$103,8,FALSE))),""),"")</f>
        <v>0.70414201183431957</v>
      </c>
      <c r="I46" s="71">
        <f>IF(VLOOKUP(A46,Fiktive_Dividende!A$3:AM$103,15,FALSE)&lt;&gt;"",IF(VLOOKUP(A46,Ergebnis_je_Aktie_verwässert!A$3:AK$103,9,FALSE)&lt;&gt;"",IF(VLOOKUP(A46,Ergebnis_je_Aktie_verwässert!A$3:AK$103,9,FALSE)&lt;=0,2,IF(VLOOKUP(A46,Fiktive_Dividende!A$3:AM$103,15,FALSE)/VLOOKUP(A46,Ergebnis_je_Aktie_verwässert!A$3:AK$103,9,FALSE)&gt;=2,2,VLOOKUP(A46,Fiktive_Dividende!A$3:AM$103,15,FALSE)/VLOOKUP(A46,Ergebnis_je_Aktie_verwässert!A$3:AK$103,9,FALSE))),""),"")</f>
        <v>1.5553094795200058</v>
      </c>
      <c r="J46" s="71">
        <f>IF(VLOOKUP(A46,Fiktive_Dividende!A$3:AM$103,16,FALSE)&lt;&gt;"",IF(VLOOKUP(A46,Ergebnis_je_Aktie_verwässert!A$3:AK$103,10,FALSE)&lt;&gt;"",IF(VLOOKUP(A46,Ergebnis_je_Aktie_verwässert!A$3:AK$103,10,FALSE)&lt;=0,2,IF(VLOOKUP(A46,Fiktive_Dividende!A$3:AM$103,16,FALSE)/VLOOKUP(A46,Ergebnis_je_Aktie_verwässert!A$3:AK$103,10,FALSE)&gt;=2,2,VLOOKUP(A46,Fiktive_Dividende!A$3:AM$103,16,FALSE)/VLOOKUP(A46,Ergebnis_je_Aktie_verwässert!A$3:AK$103,10,FALSE))),""),"")</f>
        <v>1.1089886961252493</v>
      </c>
      <c r="K46" s="71">
        <f>IF(VLOOKUP(A46,Fiktive_Dividende!A$3:AM$103,17,FALSE)&lt;&gt;"",IF(VLOOKUP(A46,Ergebnis_je_Aktie_verwässert!A$3:AK$103,11,FALSE)&lt;&gt;"",IF(VLOOKUP(A46,Ergebnis_je_Aktie_verwässert!A$3:AK$103,11,FALSE)&lt;=0,2,IF(VLOOKUP(A46,Fiktive_Dividende!A$3:AM$103,17,FALSE)/VLOOKUP(A46,Ergebnis_je_Aktie_verwässert!A$3:AK$103,11,FALSE)&gt;=2,2,VLOOKUP(A46,Fiktive_Dividende!A$3:AM$103,17,FALSE)/VLOOKUP(A46,Ergebnis_je_Aktie_verwässert!A$3:AK$103,11,FALSE))),""),"")</f>
        <v>2</v>
      </c>
      <c r="L46" s="71">
        <f>IF(VLOOKUP(A46,Fiktive_Dividende!A$3:AM$103,18,FALSE)&lt;&gt;"",IF(VLOOKUP(A46,Ergebnis_je_Aktie_verwässert!A$3:AK$103,12,FALSE)&lt;&gt;"",IF(VLOOKUP(A46,Ergebnis_je_Aktie_verwässert!A$3:AK$103,12,FALSE)&lt;=0,2,IF(VLOOKUP(A46,Fiktive_Dividende!A$3:AM$103,18,FALSE)/VLOOKUP(A46,Ergebnis_je_Aktie_verwässert!A$3:AK$103,12,FALSE)&gt;=2,2,VLOOKUP(A46,Fiktive_Dividende!A$3:AM$103,18,FALSE)/VLOOKUP(A46,Ergebnis_je_Aktie_verwässert!A$3:AK$103,12,FALSE))),""),"")</f>
        <v>0.98484997279574693</v>
      </c>
      <c r="M46" s="71">
        <f>IF(VLOOKUP(A46,Fiktive_Dividende!A$3:AM$103,19,FALSE)&lt;&gt;"",IF(VLOOKUP(A46,Ergebnis_je_Aktie_verwässert!A$3:AK$103,13,FALSE)&lt;&gt;"",IF(VLOOKUP(A46,Ergebnis_je_Aktie_verwässert!A$3:AK$103,13,FALSE)&lt;=0,2,IF(VLOOKUP(A46,Fiktive_Dividende!A$3:AM$103,19,FALSE)/VLOOKUP(A46,Ergebnis_je_Aktie_verwässert!A$3:AK$103,13,FALSE)&gt;=2,2,VLOOKUP(A46,Fiktive_Dividende!A$3:AM$103,19,FALSE)/VLOOKUP(A46,Ergebnis_je_Aktie_verwässert!A$3:AK$103,13,FALSE))),""),"")</f>
        <v>1.6129185831969024</v>
      </c>
      <c r="N46" s="71">
        <f>IF(VLOOKUP(A46,Fiktive_Dividende!A$3:AM$103,20,FALSE)&lt;&gt;"",IF(VLOOKUP(A46,Ergebnis_je_Aktie_verwässert!A$3:AK$103,14,FALSE)&lt;&gt;"",IF(VLOOKUP(A46,Ergebnis_je_Aktie_verwässert!A$3:AK$103,14,FALSE)&lt;=0,2,IF(VLOOKUP(A46,Fiktive_Dividende!A$3:AM$103,20,FALSE)/VLOOKUP(A46,Ergebnis_je_Aktie_verwässert!A$3:AK$103,14,FALSE)&gt;=2,2,VLOOKUP(A46,Fiktive_Dividende!A$3:AM$103,20,FALSE)/VLOOKUP(A46,Ergebnis_je_Aktie_verwässert!A$3:AK$103,14,FALSE))),""),"")</f>
        <v>0.83015427838634204</v>
      </c>
      <c r="O46" s="71">
        <f>IF(VLOOKUP(A46,Fiktive_Dividende!A$3:AM$103,21,FALSE)&lt;&gt;"",IF(VLOOKUP(A46,Ergebnis_je_Aktie_verwässert!A$3:AK$103,15,FALSE)&lt;&gt;"",IF(VLOOKUP(A46,Ergebnis_je_Aktie_verwässert!A$3:AK$103,15,FALSE)&lt;=0,2,IF(VLOOKUP(A46,Fiktive_Dividende!A$3:AM$103,21,FALSE)/VLOOKUP(A46,Ergebnis_je_Aktie_verwässert!A$3:AK$103,15,FALSE)&gt;=2,2,VLOOKUP(A46,Fiktive_Dividende!A$3:AM$103,21,FALSE)/VLOOKUP(A46,Ergebnis_je_Aktie_verwässert!A$3:AK$103,15,FALSE))),""),"")</f>
        <v>0.65040650406504075</v>
      </c>
      <c r="P46" s="71">
        <f>IF(VLOOKUP(A46,Fiktive_Dividende!A$3:AM$103,22,FALSE)&lt;&gt;"",IF(VLOOKUP(A46,Ergebnis_je_Aktie_verwässert!A$3:AK$103,16,FALSE)&lt;&gt;"",IF(VLOOKUP(A46,Ergebnis_je_Aktie_verwässert!A$3:AK$103,16,FALSE)&lt;=0,2,IF(VLOOKUP(A46,Fiktive_Dividende!A$3:AM$103,22,FALSE)/VLOOKUP(A46,Ergebnis_je_Aktie_verwässert!A$3:AK$103,16,FALSE)&gt;=2,2,VLOOKUP(A46,Fiktive_Dividende!A$3:AM$103,22,FALSE)/VLOOKUP(A46,Ergebnis_je_Aktie_verwässert!A$3:AK$103,16,FALSE))),""),"")</f>
        <v>1.0666666666666667</v>
      </c>
      <c r="Q46" s="71">
        <f>IF(VLOOKUP(A46,Fiktive_Dividende!A$3:AM$103,23,FALSE)&lt;&gt;"",IF(VLOOKUP(A46,Ergebnis_je_Aktie_verwässert!A$3:AK$103,17,FALSE)&lt;&gt;"",IF(VLOOKUP(A46,Ergebnis_je_Aktie_verwässert!A$3:AK$103,17,FALSE)&lt;=0,2,IF(VLOOKUP(A46,Fiktive_Dividende!A$3:AM$103,23,FALSE)/VLOOKUP(A46,Ergebnis_je_Aktie_verwässert!A$3:AK$103,17,FALSE)&gt;=2,2,VLOOKUP(A46,Fiktive_Dividende!A$3:AM$103,23,FALSE)/VLOOKUP(A46,Ergebnis_je_Aktie_verwässert!A$3:AK$103,17,FALSE))),""),"")</f>
        <v>0.99145299145299148</v>
      </c>
      <c r="R46" s="71">
        <f>IF(VLOOKUP(A46,Fiktive_Dividende!A$3:AM$103,24,FALSE)&lt;&gt;"",IF(VLOOKUP(A46,Ergebnis_je_Aktie_verwässert!A$3:AK$103,18,FALSE)&lt;&gt;"",IF(VLOOKUP(A46,Ergebnis_je_Aktie_verwässert!A$3:AK$103,18,FALSE)&lt;=0,2,IF(VLOOKUP(A46,Fiktive_Dividende!A$3:AM$103,24,FALSE)/VLOOKUP(A46,Ergebnis_je_Aktie_verwässert!A$3:AK$103,18,FALSE)&gt;=2,2,VLOOKUP(A46,Fiktive_Dividende!A$3:AM$103,24,FALSE)/VLOOKUP(A46,Ergebnis_je_Aktie_verwässert!A$3:AK$103,18,FALSE))),""),"")</f>
        <v>0.63157894736842102</v>
      </c>
      <c r="S46" s="105">
        <f t="shared" si="7"/>
        <v>1.0166521430029343</v>
      </c>
      <c r="T46" s="71">
        <f>IF(VLOOKUP(A46,Dividende_je_Aktie!A$3:AM$103,6,FALSE)&lt;&gt;"",IF(VLOOKUP(A46,Ergebnis_je_Aktie_verwässert!A$3:AK$103,6,FALSE)&lt;&gt;"",IF(VLOOKUP(A46,Ergebnis_je_Aktie_verwässert!A$3:AK$103,6,FALSE)&lt;=0,2,IF(VLOOKUP(A46,Dividende_je_Aktie!A$3:AM$103,6,FALSE)/VLOOKUP(A46,Ergebnis_je_Aktie_verwässert!A$3:AK$103,6,FALSE)&gt;=2,2,VLOOKUP(A46,Dividende_je_Aktie!A$3:AM$103,6,FALSE)/VLOOKUP(A46,Ergebnis_je_Aktie_verwässert!A$3:AK$103,6,FALSE))),""),"")</f>
        <v>0.51750972762645919</v>
      </c>
      <c r="U46" s="71">
        <f>IF(VLOOKUP(A46,Dividende_je_Aktie!A$3:AM$103,7,FALSE)&lt;&gt;"",IF(VLOOKUP(A46,Ergebnis_je_Aktie_verwässert!A$3:AK$103,7,FALSE)&lt;&gt;"",IF(VLOOKUP(A46,Ergebnis_je_Aktie_verwässert!A$3:AK$103,7,FALSE)&lt;=0,2,IF(VLOOKUP(A46,Dividende_je_Aktie!A$3:AM$103,7,FALSE)/VLOOKUP(A46,Ergebnis_je_Aktie_verwässert!A$3:AK$103,7,FALSE)&gt;=2,2,VLOOKUP(A46,Dividende_je_Aktie!A$3:AM$103,7,FALSE)/VLOOKUP(A46,Ergebnis_je_Aktie_verwässert!A$3:AK$103,7,FALSE))),""),"")</f>
        <v>0.5625</v>
      </c>
      <c r="V46" s="71">
        <f>IF(VLOOKUP(A46,Dividende_je_Aktie!A$3:AM$103,8,FALSE)&lt;&gt;"",IF(VLOOKUP(A46,Ergebnis_je_Aktie_verwässert!A$3:AK$103,8,FALSE)&lt;&gt;"",IF(VLOOKUP(A46,Ergebnis_je_Aktie_verwässert!A$3:AK$103,8,FALSE)&lt;=0,2,IF(VLOOKUP(A46,Dividende_je_Aktie!A$3:AM$103,8,FALSE)/VLOOKUP(A46,Ergebnis_je_Aktie_verwässert!A$3:AK$103,8,FALSE)&gt;=2,2,VLOOKUP(A46,Dividende_je_Aktie!A$3:AM$103,8,FALSE)/VLOOKUP(A46,Ergebnis_je_Aktie_verwässert!A$3:AK$103,8,FALSE))),""),"")</f>
        <v>0.70414201183431957</v>
      </c>
      <c r="W46" s="71">
        <f>IF(VLOOKUP(A46,Dividende_je_Aktie!A$3:AM$103,9,FALSE)&lt;&gt;"",IF(VLOOKUP(A46,Ergebnis_je_Aktie_verwässert!A$3:AK$103,9,FALSE)&lt;&gt;"",IF(VLOOKUP(A46,Ergebnis_je_Aktie_verwässert!A$3:AK$103,9,FALSE)&lt;=0,2,IF(VLOOKUP(A46,Dividende_je_Aktie!A$3:AM$103,9,FALSE)/VLOOKUP(A46,Ergebnis_je_Aktie_verwässert!A$3:AK$103,9,FALSE)&gt;=2,2,VLOOKUP(A46,Dividende_je_Aktie!A$3:AM$103,9,FALSE)/VLOOKUP(A46,Ergebnis_je_Aktie_verwässert!A$3:AK$103,9,FALSE))),""),"")</f>
        <v>1.0090090090090089</v>
      </c>
      <c r="X46" s="71">
        <f>IF(VLOOKUP(A46,Dividende_je_Aktie!A$3:AM$103,10,FALSE)&lt;&gt;"",IF(VLOOKUP(A46,Ergebnis_je_Aktie_verwässert!A$3:AK$103,10,FALSE)&lt;&gt;"",IF(VLOOKUP(A46,Ergebnis_je_Aktie_verwässert!A$3:AK$103,10,FALSE)&lt;=0,2,IF(VLOOKUP(A46,Dividende_je_Aktie!A$3:AM$103,10,FALSE)/VLOOKUP(A46,Ergebnis_je_Aktie_verwässert!A$3:AK$103,10,FALSE)&gt;=2,2,VLOOKUP(A46,Dividende_je_Aktie!A$3:AM$103,10,FALSE)/VLOOKUP(A46,Ergebnis_je_Aktie_verwässert!A$3:AK$103,10,FALSE))),""),"")</f>
        <v>0.73239436619718312</v>
      </c>
      <c r="Y46" s="71">
        <f>IF(VLOOKUP(A46,Dividende_je_Aktie!A$3:AM$103,11,FALSE)&lt;&gt;"",IF(VLOOKUP(A46,Ergebnis_je_Aktie_verwässert!A$3:AK$103,11,FALSE)&lt;&gt;"",IF(VLOOKUP(A46,Ergebnis_je_Aktie_verwässert!A$3:AK$103,11,FALSE)&lt;=0,2,IF(VLOOKUP(A46,Dividende_je_Aktie!A$3:AM$103,11,FALSE)/VLOOKUP(A46,Ergebnis_je_Aktie_verwässert!A$3:AK$103,11,FALSE)&gt;=2,2,VLOOKUP(A46,Dividende_je_Aktie!A$3:AM$103,11,FALSE)/VLOOKUP(A46,Ergebnis_je_Aktie_verwässert!A$3:AK$103,11,FALSE))),""),"")</f>
        <v>0.58181818181818179</v>
      </c>
      <c r="Z46" s="71">
        <f>IF(VLOOKUP(A46,Dividende_je_Aktie!A$3:AM$103,12,FALSE)&lt;&gt;"",IF(VLOOKUP(A46,Ergebnis_je_Aktie_verwässert!A$3:AK$103,12,FALSE)&lt;&gt;"",IF(VLOOKUP(A46,Ergebnis_je_Aktie_verwässert!A$3:AK$103,12,FALSE)&lt;=0,2,IF(VLOOKUP(A46,Dividende_je_Aktie!A$3:AM$103,12,FALSE)/VLOOKUP(A46,Ergebnis_je_Aktie_verwässert!A$3:AK$103,12,FALSE)&gt;=2,2,VLOOKUP(A46,Dividende_je_Aktie!A$3:AM$103,12,FALSE)/VLOOKUP(A46,Ergebnis_je_Aktie_verwässert!A$3:AK$103,12,FALSE))),""),"")</f>
        <v>0.45360824742268041</v>
      </c>
      <c r="AA46" s="71">
        <f>IF(VLOOKUP(A46,Dividende_je_Aktie!A$3:AM$103,13,FALSE)&lt;&gt;"",IF(VLOOKUP(A46,Ergebnis_je_Aktie_verwässert!A$3:AK$103,13,FALSE)&lt;&gt;"",IF(VLOOKUP(A46,Ergebnis_je_Aktie_verwässert!A$3:AK$103,13,FALSE)&lt;=0,2,IF(VLOOKUP(A46,Dividende_je_Aktie!A$3:AM$103,13,FALSE)/VLOOKUP(A46,Ergebnis_je_Aktie_verwässert!A$3:AK$103,13,FALSE)&gt;=2,2,VLOOKUP(A46,Dividende_je_Aktie!A$3:AM$103,13,FALSE)/VLOOKUP(A46,Ergebnis_je_Aktie_verwässert!A$3:AK$103,13,FALSE))),""),"")</f>
        <v>0.62992125984251968</v>
      </c>
      <c r="AB46" s="71">
        <f>IF(VLOOKUP(A46,Dividende_je_Aktie!A$3:AM$103,14,FALSE)&lt;&gt;"",IF(VLOOKUP(A46,Ergebnis_je_Aktie_verwässert!A$3:AK$103,14,FALSE)&lt;&gt;"",IF(VLOOKUP(A46,Ergebnis_je_Aktie_verwässert!A$3:AK$103,14,FALSE)&lt;=0,2,IF(VLOOKUP(A46,Dividende_je_Aktie!A$3:AM$103,14,FALSE)/VLOOKUP(A46,Ergebnis_je_Aktie_verwässert!A$3:AK$103,14,FALSE)&gt;=2,2,VLOOKUP(A46,Dividende_je_Aktie!A$3:AM$103,14,FALSE)/VLOOKUP(A46,Ergebnis_je_Aktie_verwässert!A$3:AK$103,14,FALSE))),""),"")</f>
        <v>0.70588235294117641</v>
      </c>
      <c r="AC46" s="71">
        <f>IF(VLOOKUP(A46,Dividende_je_Aktie!A$3:AM$103,15,FALSE)&lt;&gt;"",IF(VLOOKUP(A46,Ergebnis_je_Aktie_verwässert!A$3:AK$103,15,FALSE)&lt;&gt;"",IF(VLOOKUP(A46,Ergebnis_je_Aktie_verwässert!A$3:AK$103,15,FALSE)&lt;=0,2,IF(VLOOKUP(A46,Dividende_je_Aktie!A$3:AM$103,15,FALSE)/VLOOKUP(A46,Ergebnis_je_Aktie_verwässert!A$3:AK$103,15,FALSE)&gt;=2,2,VLOOKUP(A46,Dividende_je_Aktie!A$3:AM$103,15,FALSE)/VLOOKUP(A46,Ergebnis_je_Aktie_verwässert!A$3:AK$103,15,FALSE))),""),"")</f>
        <v>0.65040650406504075</v>
      </c>
      <c r="AD46" s="71">
        <f>IF(VLOOKUP(A46,Dividende_je_Aktie!A$3:AM$103,16,FALSE)&lt;&gt;"",IF(VLOOKUP(A46,Ergebnis_je_Aktie_verwässert!A$3:AK$103,16,FALSE)&lt;&gt;"",IF(VLOOKUP(A46,Ergebnis_je_Aktie_verwässert!A$3:AK$103,16,FALSE)&lt;=0,2,IF(VLOOKUP(A46,Dividende_je_Aktie!A$3:AM$103,16,FALSE)/VLOOKUP(A46,Ergebnis_je_Aktie_verwässert!A$3:AK$103,16,FALSE)&gt;=2,2,VLOOKUP(A46,Dividende_je_Aktie!A$3:AM$103,16,FALSE)/VLOOKUP(A46,Ergebnis_je_Aktie_verwässert!A$3:AK$103,16,FALSE))),""),"")</f>
        <v>1.0666666666666667</v>
      </c>
      <c r="AE46" s="71">
        <f>IF(VLOOKUP(A46,Dividende_je_Aktie!A$3:AM$103,17,FALSE)&lt;&gt;"",IF(VLOOKUP(A46,Ergebnis_je_Aktie_verwässert!A$3:AK$103,17,FALSE)&lt;&gt;"",IF(VLOOKUP(A46,Ergebnis_je_Aktie_verwässert!A$3:AK$103,17,FALSE)&lt;=0,2,IF(VLOOKUP(A46,Dividende_je_Aktie!A$3:AM$103,17,FALSE)/VLOOKUP(A46,Ergebnis_je_Aktie_verwässert!A$3:AK$103,17,FALSE)&gt;=2,2,VLOOKUP(A46,Dividende_je_Aktie!A$3:AM$103,17,FALSE)/VLOOKUP(A46,Ergebnis_je_Aktie_verwässert!A$3:AK$103,17,FALSE))),""),"")</f>
        <v>0.99145299145299148</v>
      </c>
      <c r="AF46" s="71">
        <f>IF(VLOOKUP(A46,Dividende_je_Aktie!A$3:AM$103,18,FALSE)&lt;&gt;"",IF(VLOOKUP(A46,Ergebnis_je_Aktie_verwässert!A$3:AK$103,18,FALSE)&lt;&gt;"",IF(VLOOKUP(A46,Ergebnis_je_Aktie_verwässert!A$3:AK$103,18,FALSE)&lt;=0,2,IF(VLOOKUP(A46,Dividende_je_Aktie!A$3:AM$103,18,FALSE)/VLOOKUP(A46,Ergebnis_je_Aktie_verwässert!A$3:AK$103,18,FALSE)&gt;=2,2,VLOOKUP(A46,Dividende_je_Aktie!A$3:AM$103,18,FALSE)/VLOOKUP(A46,Ergebnis_je_Aktie_verwässert!A$3:AK$103,18,FALSE))),""),"")</f>
        <v>0.63157894736842102</v>
      </c>
      <c r="AG46" s="105">
        <f t="shared" si="8"/>
        <v>0.71053002048035774</v>
      </c>
      <c r="AH46" s="4">
        <f t="shared" ca="1" si="9"/>
        <v>0</v>
      </c>
      <c r="AI46" s="4">
        <f t="shared" ca="1" si="10"/>
        <v>108</v>
      </c>
      <c r="AJ46" s="4">
        <f t="shared" ca="1" si="11"/>
        <v>252</v>
      </c>
      <c r="AK46" s="10">
        <f t="shared" ca="1" si="12"/>
        <v>0.66164940828402363</v>
      </c>
      <c r="AL46" s="5">
        <f t="shared" ca="1" si="13"/>
        <v>-6.879457698815894E-2</v>
      </c>
    </row>
    <row r="47" spans="1:38">
      <c r="A47" t="s">
        <v>66</v>
      </c>
      <c r="B47" t="s">
        <v>67</v>
      </c>
      <c r="C47" s="60">
        <v>31</v>
      </c>
      <c r="D47" s="60">
        <v>12</v>
      </c>
      <c r="E47" s="60">
        <v>2016</v>
      </c>
      <c r="F47" s="71">
        <f>IF(VLOOKUP(A47,Dividende_je_Aktie!A$3:AM$103,6,FALSE)&lt;&gt;"",IF(VLOOKUP(A47,Ergebnis_je_Aktie_verwässert!A$3:AK$103,6,FALSE)&lt;&gt;"",IF(VLOOKUP(A47,Ergebnis_je_Aktie_verwässert!A$3:AK$103,6,FALSE)&lt;=0,2,IF(VLOOKUP(A47,Dividende_je_Aktie!A$3:AM$103,6,FALSE)/VLOOKUP(A47,Ergebnis_je_Aktie_verwässert!A$3:AK$103,6,FALSE)&gt;=2,2,VLOOKUP(A47,Dividende_je_Aktie!A$3:AM$103,6,FALSE)/VLOOKUP(A47,Ergebnis_je_Aktie_verwässert!A$3:AK$103,6,FALSE))),""),"")</f>
        <v>0.88269230769230766</v>
      </c>
      <c r="G47" s="71">
        <f>IF(VLOOKUP(A47,Dividende_je_Aktie!A$3:AM$103,7,FALSE)&lt;&gt;"",IF(VLOOKUP(A47,Ergebnis_je_Aktie_verwässert!A$3:AK$103,7,FALSE)&lt;&gt;"",IF(VLOOKUP(A47,Ergebnis_je_Aktie_verwässert!A$3:AK$103,7,FALSE)&lt;=0,2,IF(VLOOKUP(A47,Dividende_je_Aktie!A$3:AM$103,7,FALSE)/VLOOKUP(A47,Ergebnis_je_Aktie_verwässert!A$3:AK$103,7,FALSE)&gt;=2,2,VLOOKUP(A47,Dividende_je_Aktie!A$3:AM$103,7,FALSE)/VLOOKUP(A47,Ergebnis_je_Aktie_verwässert!A$3:AK$103,7,FALSE))),""),"")</f>
        <v>0.90376569037656906</v>
      </c>
      <c r="H47" s="71">
        <f>IF(VLOOKUP(A47,Fiktive_Dividende!A$3:AM$103,14,FALSE)&lt;&gt;"",IF(VLOOKUP(A47,Ergebnis_je_Aktie_verwässert!A$3:AK$103,8,FALSE)&lt;&gt;"",IF(VLOOKUP(A47,Ergebnis_je_Aktie_verwässert!A$3:AK$103,8,FALSE)&lt;=0,2,IF(VLOOKUP(A47,Fiktive_Dividende!A$3:AM$103,14,FALSE)/VLOOKUP(A47,Ergebnis_je_Aktie_verwässert!A$3:AK$103,8,FALSE)&gt;=2,2,VLOOKUP(A47,Fiktive_Dividende!A$3:AM$103,14,FALSE)/VLOOKUP(A47,Ergebnis_je_Aktie_verwässert!A$3:AK$103,8,FALSE))),""),"")</f>
        <v>0.94724770642201828</v>
      </c>
      <c r="I47" s="71">
        <f>IF(VLOOKUP(A47,Fiktive_Dividende!A$3:AM$103,15,FALSE)&lt;&gt;"",IF(VLOOKUP(A47,Ergebnis_je_Aktie_verwässert!A$3:AK$103,9,FALSE)&lt;&gt;"",IF(VLOOKUP(A47,Ergebnis_je_Aktie_verwässert!A$3:AK$103,9,FALSE)&lt;=0,2,IF(VLOOKUP(A47,Fiktive_Dividende!A$3:AM$103,15,FALSE)/VLOOKUP(A47,Ergebnis_je_Aktie_verwässert!A$3:AK$103,9,FALSE)&gt;=2,2,VLOOKUP(A47,Fiktive_Dividende!A$3:AM$103,15,FALSE)/VLOOKUP(A47,Ergebnis_je_Aktie_verwässert!A$3:AK$103,9,FALSE))),""),"")</f>
        <v>0.91402714932126694</v>
      </c>
      <c r="J47" s="71">
        <f>IF(VLOOKUP(A47,Fiktive_Dividende!A$3:AM$103,16,FALSE)&lt;&gt;"",IF(VLOOKUP(A47,Ergebnis_je_Aktie_verwässert!A$3:AK$103,10,FALSE)&lt;&gt;"",IF(VLOOKUP(A47,Ergebnis_je_Aktie_verwässert!A$3:AK$103,10,FALSE)&lt;=0,2,IF(VLOOKUP(A47,Fiktive_Dividende!A$3:AM$103,16,FALSE)/VLOOKUP(A47,Ergebnis_je_Aktie_verwässert!A$3:AK$103,10,FALSE)&gt;=2,2,VLOOKUP(A47,Fiktive_Dividende!A$3:AM$103,16,FALSE)/VLOOKUP(A47,Ergebnis_je_Aktie_verwässert!A$3:AK$103,10,FALSE))),""),"")</f>
        <v>1.2134088082060899</v>
      </c>
      <c r="K47" s="71">
        <f>IF(VLOOKUP(A47,Fiktive_Dividende!A$3:AM$103,17,FALSE)&lt;&gt;"",IF(VLOOKUP(A47,Ergebnis_je_Aktie_verwässert!A$3:AK$103,11,FALSE)&lt;&gt;"",IF(VLOOKUP(A47,Ergebnis_je_Aktie_verwässert!A$3:AK$103,11,FALSE)&lt;=0,2,IF(VLOOKUP(A47,Fiktive_Dividende!A$3:AM$103,17,FALSE)/VLOOKUP(A47,Ergebnis_je_Aktie_verwässert!A$3:AK$103,11,FALSE)&gt;=2,2,VLOOKUP(A47,Fiktive_Dividende!A$3:AM$103,17,FALSE)/VLOOKUP(A47,Ergebnis_je_Aktie_verwässert!A$3:AK$103,11,FALSE))),""),"")</f>
        <v>0.66296296296296298</v>
      </c>
      <c r="L47" s="71">
        <f>IF(VLOOKUP(A47,Fiktive_Dividende!A$3:AM$103,18,FALSE)&lt;&gt;"",IF(VLOOKUP(A47,Ergebnis_je_Aktie_verwässert!A$3:AK$103,12,FALSE)&lt;&gt;"",IF(VLOOKUP(A47,Ergebnis_je_Aktie_verwässert!A$3:AK$103,12,FALSE)&lt;=0,2,IF(VLOOKUP(A47,Fiktive_Dividende!A$3:AM$103,18,FALSE)/VLOOKUP(A47,Ergebnis_je_Aktie_verwässert!A$3:AK$103,12,FALSE)&gt;=2,2,VLOOKUP(A47,Fiktive_Dividende!A$3:AM$103,18,FALSE)/VLOOKUP(A47,Ergebnis_je_Aktie_verwässert!A$3:AK$103,12,FALSE))),""),"")</f>
        <v>2</v>
      </c>
      <c r="M47" s="71">
        <f>IF(VLOOKUP(A47,Fiktive_Dividende!A$3:AM$103,19,FALSE)&lt;&gt;"",IF(VLOOKUP(A47,Ergebnis_je_Aktie_verwässert!A$3:AK$103,13,FALSE)&lt;&gt;"",IF(VLOOKUP(A47,Ergebnis_je_Aktie_verwässert!A$3:AK$103,13,FALSE)&lt;=0,2,IF(VLOOKUP(A47,Fiktive_Dividende!A$3:AM$103,19,FALSE)/VLOOKUP(A47,Ergebnis_je_Aktie_verwässert!A$3:AK$103,13,FALSE)&gt;=2,2,VLOOKUP(A47,Fiktive_Dividende!A$3:AM$103,19,FALSE)/VLOOKUP(A47,Ergebnis_je_Aktie_verwässert!A$3:AK$103,13,FALSE))),""),"")</f>
        <v>1.2859971886100718</v>
      </c>
      <c r="N47" s="71">
        <f>IF(VLOOKUP(A47,Fiktive_Dividende!A$3:AM$103,20,FALSE)&lt;&gt;"",IF(VLOOKUP(A47,Ergebnis_je_Aktie_verwässert!A$3:AK$103,14,FALSE)&lt;&gt;"",IF(VLOOKUP(A47,Ergebnis_je_Aktie_verwässert!A$3:AK$103,14,FALSE)&lt;=0,2,IF(VLOOKUP(A47,Fiktive_Dividende!A$3:AM$103,20,FALSE)/VLOOKUP(A47,Ergebnis_je_Aktie_verwässert!A$3:AK$103,14,FALSE)&gt;=2,2,VLOOKUP(A47,Fiktive_Dividende!A$3:AM$103,20,FALSE)/VLOOKUP(A47,Ergebnis_je_Aktie_verwässert!A$3:AK$103,14,FALSE))),""),"")</f>
        <v>1.3438886451172543</v>
      </c>
      <c r="O47" s="71">
        <f>IF(VLOOKUP(A47,Fiktive_Dividende!A$3:AM$103,21,FALSE)&lt;&gt;"",IF(VLOOKUP(A47,Ergebnis_je_Aktie_verwässert!A$3:AK$103,15,FALSE)&lt;&gt;"",IF(VLOOKUP(A47,Ergebnis_je_Aktie_verwässert!A$3:AK$103,15,FALSE)&lt;=0,2,IF(VLOOKUP(A47,Fiktive_Dividende!A$3:AM$103,21,FALSE)/VLOOKUP(A47,Ergebnis_je_Aktie_verwässert!A$3:AK$103,15,FALSE)&gt;=2,2,VLOOKUP(A47,Fiktive_Dividende!A$3:AM$103,21,FALSE)/VLOOKUP(A47,Ergebnis_je_Aktie_verwässert!A$3:AK$103,15,FALSE))),""),"")</f>
        <v>1.612324285665963</v>
      </c>
      <c r="P47" s="71">
        <f>IF(VLOOKUP(A47,Fiktive_Dividende!A$3:AM$103,22,FALSE)&lt;&gt;"",IF(VLOOKUP(A47,Ergebnis_je_Aktie_verwässert!A$3:AK$103,16,FALSE)&lt;&gt;"",IF(VLOOKUP(A47,Ergebnis_je_Aktie_verwässert!A$3:AK$103,16,FALSE)&lt;=0,2,IF(VLOOKUP(A47,Fiktive_Dividende!A$3:AM$103,22,FALSE)/VLOOKUP(A47,Ergebnis_je_Aktie_verwässert!A$3:AK$103,16,FALSE)&gt;=2,2,VLOOKUP(A47,Fiktive_Dividende!A$3:AM$103,22,FALSE)/VLOOKUP(A47,Ergebnis_je_Aktie_verwässert!A$3:AK$103,16,FALSE))),""),"")</f>
        <v>0.46525679758308158</v>
      </c>
      <c r="Q47" s="71" t="str">
        <f>IF(VLOOKUP(A47,Fiktive_Dividende!A$3:AM$103,23,FALSE)&lt;&gt;"",IF(VLOOKUP(A47,Ergebnis_je_Aktie_verwässert!A$3:AK$103,17,FALSE)&lt;&gt;"",IF(VLOOKUP(A47,Ergebnis_je_Aktie_verwässert!A$3:AK$103,17,FALSE)&lt;=0,2,IF(VLOOKUP(A47,Fiktive_Dividende!A$3:AM$103,23,FALSE)/VLOOKUP(A47,Ergebnis_je_Aktie_verwässert!A$3:AK$103,17,FALSE)&gt;=2,2,VLOOKUP(A47,Fiktive_Dividende!A$3:AM$103,23,FALSE)/VLOOKUP(A47,Ergebnis_je_Aktie_verwässert!A$3:AK$103,17,FALSE))),""),"")</f>
        <v/>
      </c>
      <c r="R47" s="71" t="str">
        <f>IF(VLOOKUP(A47,Fiktive_Dividende!A$3:AM$103,24,FALSE)&lt;&gt;"",IF(VLOOKUP(A47,Ergebnis_je_Aktie_verwässert!A$3:AK$103,18,FALSE)&lt;&gt;"",IF(VLOOKUP(A47,Ergebnis_je_Aktie_verwässert!A$3:AK$103,18,FALSE)&lt;=0,2,IF(VLOOKUP(A47,Fiktive_Dividende!A$3:AM$103,24,FALSE)/VLOOKUP(A47,Ergebnis_je_Aktie_verwässert!A$3:AK$103,18,FALSE)&gt;=2,2,VLOOKUP(A47,Fiktive_Dividende!A$3:AM$103,24,FALSE)/VLOOKUP(A47,Ergebnis_je_Aktie_verwässert!A$3:AK$103,18,FALSE))),""),"")</f>
        <v/>
      </c>
      <c r="S47" s="105">
        <f t="shared" si="7"/>
        <v>1.1119610492688714</v>
      </c>
      <c r="T47" s="71">
        <f>IF(VLOOKUP(A47,Dividende_je_Aktie!A$3:AM$103,6,FALSE)&lt;&gt;"",IF(VLOOKUP(A47,Ergebnis_je_Aktie_verwässert!A$3:AK$103,6,FALSE)&lt;&gt;"",IF(VLOOKUP(A47,Ergebnis_je_Aktie_verwässert!A$3:AK$103,6,FALSE)&lt;=0,2,IF(VLOOKUP(A47,Dividende_je_Aktie!A$3:AM$103,6,FALSE)/VLOOKUP(A47,Ergebnis_je_Aktie_verwässert!A$3:AK$103,6,FALSE)&gt;=2,2,VLOOKUP(A47,Dividende_je_Aktie!A$3:AM$103,6,FALSE)/VLOOKUP(A47,Ergebnis_je_Aktie_verwässert!A$3:AK$103,6,FALSE))),""),"")</f>
        <v>0.88269230769230766</v>
      </c>
      <c r="U47" s="71">
        <f>IF(VLOOKUP(A47,Dividende_je_Aktie!A$3:AM$103,7,FALSE)&lt;&gt;"",IF(VLOOKUP(A47,Ergebnis_je_Aktie_verwässert!A$3:AK$103,7,FALSE)&lt;&gt;"",IF(VLOOKUP(A47,Ergebnis_je_Aktie_verwässert!A$3:AK$103,7,FALSE)&lt;=0,2,IF(VLOOKUP(A47,Dividende_je_Aktie!A$3:AM$103,7,FALSE)/VLOOKUP(A47,Ergebnis_je_Aktie_verwässert!A$3:AK$103,7,FALSE)&gt;=2,2,VLOOKUP(A47,Dividende_je_Aktie!A$3:AM$103,7,FALSE)/VLOOKUP(A47,Ergebnis_je_Aktie_verwässert!A$3:AK$103,7,FALSE))),""),"")</f>
        <v>0.90376569037656906</v>
      </c>
      <c r="V47" s="71">
        <f>IF(VLOOKUP(A47,Dividende_je_Aktie!A$3:AM$103,8,FALSE)&lt;&gt;"",IF(VLOOKUP(A47,Ergebnis_je_Aktie_verwässert!A$3:AK$103,8,FALSE)&lt;&gt;"",IF(VLOOKUP(A47,Ergebnis_je_Aktie_verwässert!A$3:AK$103,8,FALSE)&lt;=0,2,IF(VLOOKUP(A47,Dividende_je_Aktie!A$3:AM$103,8,FALSE)/VLOOKUP(A47,Ergebnis_je_Aktie_verwässert!A$3:AK$103,8,FALSE)&gt;=2,2,VLOOKUP(A47,Dividende_je_Aktie!A$3:AM$103,8,FALSE)/VLOOKUP(A47,Ergebnis_je_Aktie_verwässert!A$3:AK$103,8,FALSE))),""),"")</f>
        <v>0.94724770642201828</v>
      </c>
      <c r="W47" s="71">
        <f>IF(VLOOKUP(A47,Dividende_je_Aktie!A$3:AM$103,9,FALSE)&lt;&gt;"",IF(VLOOKUP(A47,Ergebnis_je_Aktie_verwässert!A$3:AK$103,9,FALSE)&lt;&gt;"",IF(VLOOKUP(A47,Ergebnis_je_Aktie_verwässert!A$3:AK$103,9,FALSE)&lt;=0,2,IF(VLOOKUP(A47,Dividende_je_Aktie!A$3:AM$103,9,FALSE)/VLOOKUP(A47,Ergebnis_je_Aktie_verwässert!A$3:AK$103,9,FALSE)&gt;=2,2,VLOOKUP(A47,Dividende_je_Aktie!A$3:AM$103,9,FALSE)/VLOOKUP(A47,Ergebnis_je_Aktie_verwässert!A$3:AK$103,9,FALSE))),""),"")</f>
        <v>0.91402714932126694</v>
      </c>
      <c r="X47" s="71">
        <f>IF(VLOOKUP(A47,Dividende_je_Aktie!A$3:AM$103,10,FALSE)&lt;&gt;"",IF(VLOOKUP(A47,Ergebnis_je_Aktie_verwässert!A$3:AK$103,10,FALSE)&lt;&gt;"",IF(VLOOKUP(A47,Ergebnis_je_Aktie_verwässert!A$3:AK$103,10,FALSE)&lt;=0,2,IF(VLOOKUP(A47,Dividende_je_Aktie!A$3:AM$103,10,FALSE)/VLOOKUP(A47,Ergebnis_je_Aktie_verwässert!A$3:AK$103,10,FALSE)&gt;=2,2,VLOOKUP(A47,Dividende_je_Aktie!A$3:AM$103,10,FALSE)/VLOOKUP(A47,Ergebnis_je_Aktie_verwässert!A$3:AK$103,10,FALSE))),""),"")</f>
        <v>0.77290836653386463</v>
      </c>
      <c r="Y47" s="71">
        <f>IF(VLOOKUP(A47,Dividende_je_Aktie!A$3:AM$103,11,FALSE)&lt;&gt;"",IF(VLOOKUP(A47,Ergebnis_je_Aktie_verwässert!A$3:AK$103,11,FALSE)&lt;&gt;"",IF(VLOOKUP(A47,Ergebnis_je_Aktie_verwässert!A$3:AK$103,11,FALSE)&lt;=0,2,IF(VLOOKUP(A47,Dividende_je_Aktie!A$3:AM$103,11,FALSE)/VLOOKUP(A47,Ergebnis_je_Aktie_verwässert!A$3:AK$103,11,FALSE)&gt;=2,2,VLOOKUP(A47,Dividende_je_Aktie!A$3:AM$103,11,FALSE)/VLOOKUP(A47,Ergebnis_je_Aktie_verwässert!A$3:AK$103,11,FALSE))),""),"")</f>
        <v>0.66296296296296298</v>
      </c>
      <c r="Z47" s="71">
        <f>IF(VLOOKUP(A47,Dividende_je_Aktie!A$3:AM$103,12,FALSE)&lt;&gt;"",IF(VLOOKUP(A47,Ergebnis_je_Aktie_verwässert!A$3:AK$103,12,FALSE)&lt;&gt;"",IF(VLOOKUP(A47,Ergebnis_je_Aktie_verwässert!A$3:AK$103,12,FALSE)&lt;=0,2,IF(VLOOKUP(A47,Dividende_je_Aktie!A$3:AM$103,12,FALSE)/VLOOKUP(A47,Ergebnis_je_Aktie_verwässert!A$3:AK$103,12,FALSE)&gt;=2,2,VLOOKUP(A47,Dividende_je_Aktie!A$3:AM$103,12,FALSE)/VLOOKUP(A47,Ergebnis_je_Aktie_verwässert!A$3:AK$103,12,FALSE))),""),"")</f>
        <v>0.62068965517241381</v>
      </c>
      <c r="AA47" s="71">
        <f>IF(VLOOKUP(A47,Dividende_je_Aktie!A$3:AM$103,13,FALSE)&lt;&gt;"",IF(VLOOKUP(A47,Ergebnis_je_Aktie_verwässert!A$3:AK$103,13,FALSE)&lt;&gt;"",IF(VLOOKUP(A47,Ergebnis_je_Aktie_verwässert!A$3:AK$103,13,FALSE)&lt;=0,2,IF(VLOOKUP(A47,Dividende_je_Aktie!A$3:AM$103,13,FALSE)/VLOOKUP(A47,Ergebnis_je_Aktie_verwässert!A$3:AK$103,13,FALSE)&gt;=2,2,VLOOKUP(A47,Dividende_je_Aktie!A$3:AM$103,13,FALSE)/VLOOKUP(A47,Ergebnis_je_Aktie_verwässert!A$3:AK$103,13,FALSE))),""),"")</f>
        <v>0.57786885245901642</v>
      </c>
      <c r="AB47" s="71">
        <f>IF(VLOOKUP(A47,Dividende_je_Aktie!A$3:AM$103,14,FALSE)&lt;&gt;"",IF(VLOOKUP(A47,Ergebnis_je_Aktie_verwässert!A$3:AK$103,14,FALSE)&lt;&gt;"",IF(VLOOKUP(A47,Ergebnis_je_Aktie_verwässert!A$3:AK$103,14,FALSE)&lt;=0,2,IF(VLOOKUP(A47,Dividende_je_Aktie!A$3:AM$103,14,FALSE)/VLOOKUP(A47,Ergebnis_je_Aktie_verwässert!A$3:AK$103,14,FALSE)&gt;=2,2,VLOOKUP(A47,Dividende_je_Aktie!A$3:AM$103,14,FALSE)/VLOOKUP(A47,Ergebnis_je_Aktie_verwässert!A$3:AK$103,14,FALSE))),""),"")</f>
        <v>0.63049095607235139</v>
      </c>
      <c r="AC47" s="71">
        <f>IF(VLOOKUP(A47,Dividende_je_Aktie!A$3:AM$103,15,FALSE)&lt;&gt;"",IF(VLOOKUP(A47,Ergebnis_je_Aktie_verwässert!A$3:AK$103,15,FALSE)&lt;&gt;"",IF(VLOOKUP(A47,Ergebnis_je_Aktie_verwässert!A$3:AK$103,15,FALSE)&lt;=0,2,IF(VLOOKUP(A47,Dividende_je_Aktie!A$3:AM$103,15,FALSE)/VLOOKUP(A47,Ergebnis_je_Aktie_verwässert!A$3:AK$103,15,FALSE)&gt;=2,2,VLOOKUP(A47,Dividende_je_Aktie!A$3:AM$103,15,FALSE)/VLOOKUP(A47,Ergebnis_je_Aktie_verwässert!A$3:AK$103,15,FALSE))),""),"")</f>
        <v>0.68085106382978733</v>
      </c>
      <c r="AD47" s="71">
        <f>IF(VLOOKUP(A47,Dividende_je_Aktie!A$3:AM$103,16,FALSE)&lt;&gt;"",IF(VLOOKUP(A47,Ergebnis_je_Aktie_verwässert!A$3:AK$103,16,FALSE)&lt;&gt;"",IF(VLOOKUP(A47,Ergebnis_je_Aktie_verwässert!A$3:AK$103,16,FALSE)&lt;=0,2,IF(VLOOKUP(A47,Dividende_je_Aktie!A$3:AM$103,16,FALSE)/VLOOKUP(A47,Ergebnis_je_Aktie_verwässert!A$3:AK$103,16,FALSE)&gt;=2,2,VLOOKUP(A47,Dividende_je_Aktie!A$3:AM$103,16,FALSE)/VLOOKUP(A47,Ergebnis_je_Aktie_verwässert!A$3:AK$103,16,FALSE))),""),"")</f>
        <v>0.46525679758308158</v>
      </c>
      <c r="AE47" s="71" t="str">
        <f>IF(VLOOKUP(A47,Dividende_je_Aktie!A$3:AM$103,17,FALSE)&lt;&gt;"",IF(VLOOKUP(A47,Ergebnis_je_Aktie_verwässert!A$3:AK$103,17,FALSE)&lt;&gt;"",IF(VLOOKUP(A47,Ergebnis_je_Aktie_verwässert!A$3:AK$103,17,FALSE)&lt;=0,2,IF(VLOOKUP(A47,Dividende_je_Aktie!A$3:AM$103,17,FALSE)/VLOOKUP(A47,Ergebnis_je_Aktie_verwässert!A$3:AK$103,17,FALSE)&gt;=2,2,VLOOKUP(A47,Dividende_je_Aktie!A$3:AM$103,17,FALSE)/VLOOKUP(A47,Ergebnis_je_Aktie_verwässert!A$3:AK$103,17,FALSE))),""),"")</f>
        <v/>
      </c>
      <c r="AF47" s="71" t="str">
        <f>IF(VLOOKUP(A47,Dividende_je_Aktie!A$3:AM$103,18,FALSE)&lt;&gt;"",IF(VLOOKUP(A47,Ergebnis_je_Aktie_verwässert!A$3:AK$103,18,FALSE)&lt;&gt;"",IF(VLOOKUP(A47,Ergebnis_je_Aktie_verwässert!A$3:AK$103,18,FALSE)&lt;=0,2,IF(VLOOKUP(A47,Dividende_je_Aktie!A$3:AM$103,18,FALSE)/VLOOKUP(A47,Ergebnis_je_Aktie_verwässert!A$3:AK$103,18,FALSE)&gt;=2,2,VLOOKUP(A47,Dividende_je_Aktie!A$3:AM$103,18,FALSE)/VLOOKUP(A47,Ergebnis_je_Aktie_verwässert!A$3:AK$103,18,FALSE))),""),"")</f>
        <v/>
      </c>
      <c r="AG47" s="105">
        <f t="shared" si="8"/>
        <v>0.73261468258414908</v>
      </c>
      <c r="AH47" s="4">
        <f t="shared" ca="1" si="9"/>
        <v>0</v>
      </c>
      <c r="AI47" s="4">
        <f t="shared" ca="1" si="10"/>
        <v>108</v>
      </c>
      <c r="AJ47" s="4">
        <f t="shared" ca="1" si="11"/>
        <v>252</v>
      </c>
      <c r="AK47" s="10">
        <f t="shared" ca="1" si="12"/>
        <v>0.93420310160838338</v>
      </c>
      <c r="AL47" s="5">
        <f t="shared" ca="1" si="13"/>
        <v>0.27516295239015998</v>
      </c>
    </row>
    <row r="48" spans="1:38">
      <c r="A48" t="s">
        <v>68</v>
      </c>
      <c r="B48" t="s">
        <v>69</v>
      </c>
      <c r="C48" s="60">
        <v>30</v>
      </c>
      <c r="D48" s="60">
        <v>6</v>
      </c>
      <c r="E48" s="60">
        <v>2016</v>
      </c>
      <c r="F48" s="71">
        <f>IF(VLOOKUP(A48,Dividende_je_Aktie!A$3:AM$103,6,FALSE)&lt;&gt;"",IF(VLOOKUP(A48,Ergebnis_je_Aktie_verwässert!A$3:AK$103,6,FALSE)&lt;&gt;"",IF(VLOOKUP(A48,Ergebnis_je_Aktie_verwässert!A$3:AK$103,6,FALSE)&lt;=0,2,IF(VLOOKUP(A48,Dividende_je_Aktie!A$3:AM$103,6,FALSE)/VLOOKUP(A48,Ergebnis_je_Aktie_verwässert!A$3:AK$103,6,FALSE)&gt;=2,2,VLOOKUP(A48,Dividende_je_Aktie!A$3:AM$103,6,FALSE)/VLOOKUP(A48,Ergebnis_je_Aktie_verwässert!A$3:AK$103,6,FALSE))),""),"")</f>
        <v>0.72261072261072268</v>
      </c>
      <c r="G48" s="71">
        <f>IF(VLOOKUP(A48,Dividende_je_Aktie!A$3:AM$103,7,FALSE)&lt;&gt;"",IF(VLOOKUP(A48,Ergebnis_je_Aktie_verwässert!A$3:AK$103,7,FALSE)&lt;&gt;"",IF(VLOOKUP(A48,Ergebnis_je_Aktie_verwässert!A$3:AK$103,7,FALSE)&lt;=0,2,IF(VLOOKUP(A48,Dividende_je_Aktie!A$3:AM$103,7,FALSE)/VLOOKUP(A48,Ergebnis_je_Aktie_verwässert!A$3:AK$103,7,FALSE)&gt;=2,2,VLOOKUP(A48,Dividende_je_Aktie!A$3:AM$103,7,FALSE)/VLOOKUP(A48,Ergebnis_je_Aktie_verwässert!A$3:AK$103,7,FALSE))),""),"")</f>
        <v>0.68345323741007202</v>
      </c>
      <c r="H48" s="71">
        <f>IF(VLOOKUP(A48,Fiktive_Dividende!A$3:AM$103,14,FALSE)&lt;&gt;"",IF(VLOOKUP(A48,Ergebnis_je_Aktie_verwässert!A$3:AK$103,8,FALSE)&lt;&gt;"",IF(VLOOKUP(A48,Ergebnis_je_Aktie_verwässert!A$3:AK$103,8,FALSE)&lt;=0,2,IF(VLOOKUP(A48,Fiktive_Dividende!A$3:AM$103,14,FALSE)/VLOOKUP(A48,Ergebnis_je_Aktie_verwässert!A$3:AK$103,8,FALSE)&gt;=2,2,VLOOKUP(A48,Fiktive_Dividende!A$3:AM$103,14,FALSE)/VLOOKUP(A48,Ergebnis_je_Aktie_verwässert!A$3:AK$103,8,FALSE))),""),"")</f>
        <v>0.75280898876404501</v>
      </c>
      <c r="I48" s="71">
        <f>IF(VLOOKUP(A48,Fiktive_Dividende!A$3:AM$103,15,FALSE)&lt;&gt;"",IF(VLOOKUP(A48,Ergebnis_je_Aktie_verwässert!A$3:AK$103,9,FALSE)&lt;&gt;"",IF(VLOOKUP(A48,Ergebnis_je_Aktie_verwässert!A$3:AK$103,9,FALSE)&lt;=0,2,IF(VLOOKUP(A48,Fiktive_Dividende!A$3:AM$103,15,FALSE)/VLOOKUP(A48,Ergebnis_je_Aktie_verwässert!A$3:AK$103,9,FALSE)&gt;=2,2,VLOOKUP(A48,Fiktive_Dividende!A$3:AM$103,15,FALSE)/VLOOKUP(A48,Ergebnis_je_Aktie_verwässert!A$3:AK$103,9,FALSE))),""),"")</f>
        <v>0.64427860696517414</v>
      </c>
      <c r="J48" s="71">
        <f>IF(VLOOKUP(A48,Fiktive_Dividende!A$3:AM$103,16,FALSE)&lt;&gt;"",IF(VLOOKUP(A48,Ergebnis_je_Aktie_verwässert!A$3:AK$103,10,FALSE)&lt;&gt;"",IF(VLOOKUP(A48,Ergebnis_je_Aktie_verwässert!A$3:AK$103,10,FALSE)&lt;=0,2,IF(VLOOKUP(A48,Fiktive_Dividende!A$3:AM$103,16,FALSE)/VLOOKUP(A48,Ergebnis_je_Aktie_verwässert!A$3:AK$103,10,FALSE)&gt;=2,2,VLOOKUP(A48,Fiktive_Dividende!A$3:AM$103,16,FALSE)/VLOOKUP(A48,Ergebnis_je_Aktie_verwässert!A$3:AK$103,10,FALSE))),""),"")</f>
        <v>0.81874532715126924</v>
      </c>
      <c r="K48" s="71">
        <f>IF(VLOOKUP(A48,Fiktive_Dividende!A$3:AM$103,17,FALSE)&lt;&gt;"",IF(VLOOKUP(A48,Ergebnis_je_Aktie_verwässert!A$3:AK$103,11,FALSE)&lt;&gt;"",IF(VLOOKUP(A48,Ergebnis_je_Aktie_verwässert!A$3:AK$103,11,FALSE)&lt;=0,2,IF(VLOOKUP(A48,Fiktive_Dividende!A$3:AM$103,17,FALSE)/VLOOKUP(A48,Ergebnis_je_Aktie_verwässert!A$3:AK$103,11,FALSE)&gt;=2,2,VLOOKUP(A48,Fiktive_Dividende!A$3:AM$103,17,FALSE)/VLOOKUP(A48,Ergebnis_je_Aktie_verwässert!A$3:AK$103,11,FALSE))),""),"")</f>
        <v>0.6115592714763165</v>
      </c>
      <c r="L48" s="71">
        <f>IF(VLOOKUP(A48,Fiktive_Dividende!A$3:AM$103,18,FALSE)&lt;&gt;"",IF(VLOOKUP(A48,Ergebnis_je_Aktie_verwässert!A$3:AK$103,12,FALSE)&lt;&gt;"",IF(VLOOKUP(A48,Ergebnis_je_Aktie_verwässert!A$3:AK$103,12,FALSE)&lt;=0,2,IF(VLOOKUP(A48,Fiktive_Dividende!A$3:AM$103,18,FALSE)/VLOOKUP(A48,Ergebnis_je_Aktie_verwässert!A$3:AK$103,12,FALSE)&gt;=2,2,VLOOKUP(A48,Fiktive_Dividende!A$3:AM$103,18,FALSE)/VLOOKUP(A48,Ergebnis_je_Aktie_verwässert!A$3:AK$103,12,FALSE))),""),"")</f>
        <v>0.66005217489933643</v>
      </c>
      <c r="M48" s="71">
        <f>IF(VLOOKUP(A48,Fiktive_Dividende!A$3:AM$103,19,FALSE)&lt;&gt;"",IF(VLOOKUP(A48,Ergebnis_je_Aktie_verwässert!A$3:AK$103,13,FALSE)&lt;&gt;"",IF(VLOOKUP(A48,Ergebnis_je_Aktie_verwässert!A$3:AK$103,13,FALSE)&lt;=0,2,IF(VLOOKUP(A48,Fiktive_Dividende!A$3:AM$103,19,FALSE)/VLOOKUP(A48,Ergebnis_je_Aktie_verwässert!A$3:AK$103,13,FALSE)&gt;=2,2,VLOOKUP(A48,Fiktive_Dividende!A$3:AM$103,19,FALSE)/VLOOKUP(A48,Ergebnis_je_Aktie_verwässert!A$3:AK$103,13,FALSE))),""),"")</f>
        <v>0.97226005706054119</v>
      </c>
      <c r="N48" s="71">
        <f>IF(VLOOKUP(A48,Fiktive_Dividende!A$3:AM$103,20,FALSE)&lt;&gt;"",IF(VLOOKUP(A48,Ergebnis_je_Aktie_verwässert!A$3:AK$103,14,FALSE)&lt;&gt;"",IF(VLOOKUP(A48,Ergebnis_je_Aktie_verwässert!A$3:AK$103,14,FALSE)&lt;=0,2,IF(VLOOKUP(A48,Fiktive_Dividende!A$3:AM$103,20,FALSE)/VLOOKUP(A48,Ergebnis_je_Aktie_verwässert!A$3:AK$103,14,FALSE)&gt;=2,2,VLOOKUP(A48,Fiktive_Dividende!A$3:AM$103,20,FALSE)/VLOOKUP(A48,Ergebnis_je_Aktie_verwässert!A$3:AK$103,14,FALSE))),""),"")</f>
        <v>0.89847166174210646</v>
      </c>
      <c r="O48" s="71">
        <f>IF(VLOOKUP(A48,Fiktive_Dividende!A$3:AM$103,21,FALSE)&lt;&gt;"",IF(VLOOKUP(A48,Ergebnis_je_Aktie_verwässert!A$3:AK$103,15,FALSE)&lt;&gt;"",IF(VLOOKUP(A48,Ergebnis_je_Aktie_verwässert!A$3:AK$103,15,FALSE)&lt;=0,2,IF(VLOOKUP(A48,Fiktive_Dividende!A$3:AM$103,21,FALSE)/VLOOKUP(A48,Ergebnis_je_Aktie_verwässert!A$3:AK$103,15,FALSE)&gt;=2,2,VLOOKUP(A48,Fiktive_Dividende!A$3:AM$103,21,FALSE)/VLOOKUP(A48,Ergebnis_je_Aktie_verwässert!A$3:AK$103,15,FALSE))),""),"")</f>
        <v>1.068744099139401</v>
      </c>
      <c r="P48" s="71">
        <f>IF(VLOOKUP(A48,Fiktive_Dividende!A$3:AM$103,22,FALSE)&lt;&gt;"",IF(VLOOKUP(A48,Ergebnis_je_Aktie_verwässert!A$3:AK$103,16,FALSE)&lt;&gt;"",IF(VLOOKUP(A48,Ergebnis_je_Aktie_verwässert!A$3:AK$103,16,FALSE)&lt;=0,2,IF(VLOOKUP(A48,Fiktive_Dividende!A$3:AM$103,22,FALSE)/VLOOKUP(A48,Ergebnis_je_Aktie_verwässert!A$3:AK$103,16,FALSE)&gt;=2,2,VLOOKUP(A48,Fiktive_Dividende!A$3:AM$103,22,FALSE)/VLOOKUP(A48,Ergebnis_je_Aktie_verwässert!A$3:AK$103,16,FALSE))),""),"")</f>
        <v>1.0073009215346727</v>
      </c>
      <c r="Q48" s="71">
        <f>IF(VLOOKUP(A48,Fiktive_Dividende!A$3:AM$103,23,FALSE)&lt;&gt;"",IF(VLOOKUP(A48,Ergebnis_je_Aktie_verwässert!A$3:AK$103,17,FALSE)&lt;&gt;"",IF(VLOOKUP(A48,Ergebnis_je_Aktie_verwässert!A$3:AK$103,17,FALSE)&lt;=0,2,IF(VLOOKUP(A48,Fiktive_Dividende!A$3:AM$103,23,FALSE)/VLOOKUP(A48,Ergebnis_je_Aktie_verwässert!A$3:AK$103,17,FALSE)&gt;=2,2,VLOOKUP(A48,Fiktive_Dividende!A$3:AM$103,23,FALSE)/VLOOKUP(A48,Ergebnis_je_Aktie_verwässert!A$3:AK$103,17,FALSE))),""),"")</f>
        <v>0.7231055068226121</v>
      </c>
      <c r="R48" s="71">
        <f>IF(VLOOKUP(A48,Fiktive_Dividende!A$3:AM$103,24,FALSE)&lt;&gt;"",IF(VLOOKUP(A48,Ergebnis_je_Aktie_verwässert!A$3:AK$103,18,FALSE)&lt;&gt;"",IF(VLOOKUP(A48,Ergebnis_je_Aktie_verwässert!A$3:AK$103,18,FALSE)&lt;=0,2,IF(VLOOKUP(A48,Fiktive_Dividende!A$3:AM$103,24,FALSE)/VLOOKUP(A48,Ergebnis_je_Aktie_verwässert!A$3:AK$103,18,FALSE)&gt;=2,2,VLOOKUP(A48,Fiktive_Dividende!A$3:AM$103,24,FALSE)/VLOOKUP(A48,Ergebnis_je_Aktie_verwässert!A$3:AK$103,18,FALSE))),""),"")</f>
        <v>0.43560606060606055</v>
      </c>
      <c r="S48" s="105">
        <f t="shared" si="7"/>
        <v>0.76915358739864093</v>
      </c>
      <c r="T48" s="71">
        <f>IF(VLOOKUP(A48,Dividende_je_Aktie!A$3:AM$103,6,FALSE)&lt;&gt;"",IF(VLOOKUP(A48,Ergebnis_je_Aktie_verwässert!A$3:AK$103,6,FALSE)&lt;&gt;"",IF(VLOOKUP(A48,Ergebnis_je_Aktie_verwässert!A$3:AK$103,6,FALSE)&lt;=0,2,IF(VLOOKUP(A48,Dividende_je_Aktie!A$3:AM$103,6,FALSE)/VLOOKUP(A48,Ergebnis_je_Aktie_verwässert!A$3:AK$103,6,FALSE)&gt;=2,2,VLOOKUP(A48,Dividende_je_Aktie!A$3:AM$103,6,FALSE)/VLOOKUP(A48,Ergebnis_je_Aktie_verwässert!A$3:AK$103,6,FALSE))),""),"")</f>
        <v>0.72261072261072268</v>
      </c>
      <c r="U48" s="71">
        <f>IF(VLOOKUP(A48,Dividende_je_Aktie!A$3:AM$103,7,FALSE)&lt;&gt;"",IF(VLOOKUP(A48,Ergebnis_je_Aktie_verwässert!A$3:AK$103,7,FALSE)&lt;&gt;"",IF(VLOOKUP(A48,Ergebnis_je_Aktie_verwässert!A$3:AK$103,7,FALSE)&lt;=0,2,IF(VLOOKUP(A48,Dividende_je_Aktie!A$3:AM$103,7,FALSE)/VLOOKUP(A48,Ergebnis_je_Aktie_verwässert!A$3:AK$103,7,FALSE)&gt;=2,2,VLOOKUP(A48,Dividende_je_Aktie!A$3:AM$103,7,FALSE)/VLOOKUP(A48,Ergebnis_je_Aktie_verwässert!A$3:AK$103,7,FALSE))),""),"")</f>
        <v>0.68345323741007202</v>
      </c>
      <c r="V48" s="71">
        <f>IF(VLOOKUP(A48,Dividende_je_Aktie!A$3:AM$103,8,FALSE)&lt;&gt;"",IF(VLOOKUP(A48,Ergebnis_je_Aktie_verwässert!A$3:AK$103,8,FALSE)&lt;&gt;"",IF(VLOOKUP(A48,Ergebnis_je_Aktie_verwässert!A$3:AK$103,8,FALSE)&lt;=0,2,IF(VLOOKUP(A48,Dividende_je_Aktie!A$3:AM$103,8,FALSE)/VLOOKUP(A48,Ergebnis_je_Aktie_verwässert!A$3:AK$103,8,FALSE)&gt;=2,2,VLOOKUP(A48,Dividende_je_Aktie!A$3:AM$103,8,FALSE)/VLOOKUP(A48,Ergebnis_je_Aktie_verwässert!A$3:AK$103,8,FALSE))),""),"")</f>
        <v>0.75280898876404501</v>
      </c>
      <c r="W48" s="71">
        <f>IF(VLOOKUP(A48,Dividende_je_Aktie!A$3:AM$103,9,FALSE)&lt;&gt;"",IF(VLOOKUP(A48,Ergebnis_je_Aktie_verwässert!A$3:AK$103,9,FALSE)&lt;&gt;"",IF(VLOOKUP(A48,Ergebnis_je_Aktie_verwässert!A$3:AK$103,9,FALSE)&lt;=0,2,IF(VLOOKUP(A48,Dividende_je_Aktie!A$3:AM$103,9,FALSE)/VLOOKUP(A48,Ergebnis_je_Aktie_verwässert!A$3:AK$103,9,FALSE)&gt;=2,2,VLOOKUP(A48,Dividende_je_Aktie!A$3:AM$103,9,FALSE)/VLOOKUP(A48,Ergebnis_je_Aktie_verwässert!A$3:AK$103,9,FALSE))),""),"")</f>
        <v>0.64427860696517414</v>
      </c>
      <c r="X48" s="71">
        <f>IF(VLOOKUP(A48,Dividende_je_Aktie!A$3:AM$103,10,FALSE)&lt;&gt;"",IF(VLOOKUP(A48,Ergebnis_je_Aktie_verwässert!A$3:AK$103,10,FALSE)&lt;&gt;"",IF(VLOOKUP(A48,Ergebnis_je_Aktie_verwässert!A$3:AK$103,10,FALSE)&lt;=0,2,IF(VLOOKUP(A48,Dividende_je_Aktie!A$3:AM$103,10,FALSE)/VLOOKUP(A48,Ergebnis_je_Aktie_verwässert!A$3:AK$103,10,FALSE)&gt;=2,2,VLOOKUP(A48,Dividende_je_Aktie!A$3:AM$103,10,FALSE)/VLOOKUP(A48,Ergebnis_je_Aktie_verwässert!A$3:AK$103,10,FALSE))),""),"")</f>
        <v>0.59902200488997559</v>
      </c>
      <c r="Y48" s="71">
        <f>IF(VLOOKUP(A48,Dividende_je_Aktie!A$3:AM$103,11,FALSE)&lt;&gt;"",IF(VLOOKUP(A48,Ergebnis_je_Aktie_verwässert!A$3:AK$103,11,FALSE)&lt;&gt;"",IF(VLOOKUP(A48,Ergebnis_je_Aktie_verwässert!A$3:AK$103,11,FALSE)&lt;=0,2,IF(VLOOKUP(A48,Dividende_je_Aktie!A$3:AM$103,11,FALSE)/VLOOKUP(A48,Ergebnis_je_Aktie_verwässert!A$3:AK$103,11,FALSE)&gt;=2,2,VLOOKUP(A48,Dividende_je_Aktie!A$3:AM$103,11,FALSE)/VLOOKUP(A48,Ergebnis_je_Aktie_verwässert!A$3:AK$103,11,FALSE))),""),"")</f>
        <v>0.56965174129353235</v>
      </c>
      <c r="Z48" s="71">
        <f>IF(VLOOKUP(A48,Dividende_je_Aktie!A$3:AM$103,12,FALSE)&lt;&gt;"",IF(VLOOKUP(A48,Ergebnis_je_Aktie_verwässert!A$3:AK$103,12,FALSE)&lt;&gt;"",IF(VLOOKUP(A48,Ergebnis_je_Aktie_verwässert!A$3:AK$103,12,FALSE)&lt;=0,2,IF(VLOOKUP(A48,Dividende_je_Aktie!A$3:AM$103,12,FALSE)/VLOOKUP(A48,Ergebnis_je_Aktie_verwässert!A$3:AK$103,12,FALSE)&gt;=2,2,VLOOKUP(A48,Dividende_je_Aktie!A$3:AM$103,12,FALSE)/VLOOKUP(A48,Ergebnis_je_Aktie_verwässert!A$3:AK$103,12,FALSE))),""),"")</f>
        <v>0.55584415584415592</v>
      </c>
      <c r="AA48" s="71">
        <f>IF(VLOOKUP(A48,Dividende_je_Aktie!A$3:AM$103,13,FALSE)&lt;&gt;"",IF(VLOOKUP(A48,Ergebnis_je_Aktie_verwässert!A$3:AK$103,13,FALSE)&lt;&gt;"",IF(VLOOKUP(A48,Ergebnis_je_Aktie_verwässert!A$3:AK$103,13,FALSE)&lt;=0,2,IF(VLOOKUP(A48,Dividende_je_Aktie!A$3:AM$103,13,FALSE)/VLOOKUP(A48,Ergebnis_je_Aktie_verwässert!A$3:AK$103,13,FALSE)&gt;=2,2,VLOOKUP(A48,Dividende_je_Aktie!A$3:AM$103,13,FALSE)/VLOOKUP(A48,Ergebnis_je_Aktie_verwässert!A$3:AK$103,13,FALSE))),""),"")</f>
        <v>0.50904392764857875</v>
      </c>
      <c r="AB48" s="71">
        <f>IF(VLOOKUP(A48,Dividende_je_Aktie!A$3:AM$103,14,FALSE)&lt;&gt;"",IF(VLOOKUP(A48,Ergebnis_je_Aktie_verwässert!A$3:AK$103,14,FALSE)&lt;&gt;"",IF(VLOOKUP(A48,Ergebnis_je_Aktie_verwässert!A$3:AK$103,14,FALSE)&lt;=0,2,IF(VLOOKUP(A48,Dividende_je_Aktie!A$3:AM$103,14,FALSE)/VLOOKUP(A48,Ergebnis_je_Aktie_verwässert!A$3:AK$103,14,FALSE)&gt;=2,2,VLOOKUP(A48,Dividende_je_Aktie!A$3:AM$103,14,FALSE)/VLOOKUP(A48,Ergebnis_je_Aktie_verwässert!A$3:AK$103,14,FALSE))),""),"")</f>
        <v>0.49046321525885561</v>
      </c>
      <c r="AC48" s="71">
        <f>IF(VLOOKUP(A48,Dividende_je_Aktie!A$3:AM$103,15,FALSE)&lt;&gt;"",IF(VLOOKUP(A48,Ergebnis_je_Aktie_verwässert!A$3:AK$103,15,FALSE)&lt;&gt;"",IF(VLOOKUP(A48,Ergebnis_je_Aktie_verwässert!A$3:AK$103,15,FALSE)&lt;=0,2,IF(VLOOKUP(A48,Dividende_je_Aktie!A$3:AM$103,15,FALSE)/VLOOKUP(A48,Ergebnis_je_Aktie_verwässert!A$3:AK$103,15,FALSE)&gt;=2,2,VLOOKUP(A48,Dividende_je_Aktie!A$3:AM$103,15,FALSE)/VLOOKUP(A48,Ergebnis_je_Aktie_verwässert!A$3:AK$103,15,FALSE))),""),"")</f>
        <v>0.47262247838616711</v>
      </c>
      <c r="AD48" s="71">
        <f>IF(VLOOKUP(A48,Dividende_je_Aktie!A$3:AM$103,16,FALSE)&lt;&gt;"",IF(VLOOKUP(A48,Ergebnis_je_Aktie_verwässert!A$3:AK$103,16,FALSE)&lt;&gt;"",IF(VLOOKUP(A48,Ergebnis_je_Aktie_verwässert!A$3:AK$103,16,FALSE)&lt;=0,2,IF(VLOOKUP(A48,Dividende_je_Aktie!A$3:AM$103,16,FALSE)/VLOOKUP(A48,Ergebnis_je_Aktie_verwässert!A$3:AK$103,16,FALSE)&gt;=2,2,VLOOKUP(A48,Dividende_je_Aktie!A$3:AM$103,16,FALSE)/VLOOKUP(A48,Ergebnis_je_Aktie_verwässert!A$3:AK$103,16,FALSE))),""),"")</f>
        <v>0.42521994134897356</v>
      </c>
      <c r="AE48" s="71">
        <f>IF(VLOOKUP(A48,Dividende_je_Aktie!A$3:AM$103,17,FALSE)&lt;&gt;"",IF(VLOOKUP(A48,Ergebnis_je_Aktie_verwässert!A$3:AK$103,17,FALSE)&lt;&gt;"",IF(VLOOKUP(A48,Ergebnis_je_Aktie_verwässert!A$3:AK$103,17,FALSE)&lt;=0,2,IF(VLOOKUP(A48,Dividende_je_Aktie!A$3:AM$103,17,FALSE)/VLOOKUP(A48,Ergebnis_je_Aktie_verwässert!A$3:AK$103,17,FALSE)&gt;=2,2,VLOOKUP(A48,Dividende_je_Aktie!A$3:AM$103,17,FALSE)/VLOOKUP(A48,Ergebnis_je_Aktie_verwässert!A$3:AK$103,17,FALSE))),""),"")</f>
        <v>0.42105263157894735</v>
      </c>
      <c r="AF48" s="71">
        <f>IF(VLOOKUP(A48,Dividende_je_Aktie!A$3:AM$103,18,FALSE)&lt;&gt;"",IF(VLOOKUP(A48,Ergebnis_je_Aktie_verwässert!A$3:AK$103,18,FALSE)&lt;&gt;"",IF(VLOOKUP(A48,Ergebnis_je_Aktie_verwässert!A$3:AK$103,18,FALSE)&lt;=0,2,IF(VLOOKUP(A48,Dividende_je_Aktie!A$3:AM$103,18,FALSE)/VLOOKUP(A48,Ergebnis_je_Aktie_verwässert!A$3:AK$103,18,FALSE)&gt;=2,2,VLOOKUP(A48,Dividende_je_Aktie!A$3:AM$103,18,FALSE)/VLOOKUP(A48,Ergebnis_je_Aktie_verwässert!A$3:AK$103,18,FALSE))),""),"")</f>
        <v>0.43560606060606055</v>
      </c>
      <c r="AG48" s="105">
        <f t="shared" si="8"/>
        <v>0.56012905481578923</v>
      </c>
      <c r="AH48" s="4">
        <f t="shared" ca="1" si="9"/>
        <v>0</v>
      </c>
      <c r="AI48" s="4">
        <f t="shared" ca="1" si="10"/>
        <v>289</v>
      </c>
      <c r="AJ48" s="4">
        <f t="shared" ca="1" si="11"/>
        <v>71</v>
      </c>
      <c r="AK48" s="10">
        <f t="shared" ca="1" si="12"/>
        <v>0.6971317328159945</v>
      </c>
      <c r="AL48" s="5">
        <f t="shared" ca="1" si="13"/>
        <v>0.24459127199759645</v>
      </c>
    </row>
    <row r="49" spans="1:38">
      <c r="A49" t="s">
        <v>70</v>
      </c>
      <c r="B49" t="s">
        <v>71</v>
      </c>
      <c r="C49" s="60">
        <v>31</v>
      </c>
      <c r="D49" s="60">
        <v>12</v>
      </c>
      <c r="E49" s="60">
        <v>2016</v>
      </c>
      <c r="F49" s="71">
        <f>IF(VLOOKUP(A49,Dividende_je_Aktie!A$3:AM$103,6,FALSE)&lt;&gt;"",IF(VLOOKUP(A49,Ergebnis_je_Aktie_verwässert!A$3:AK$103,6,FALSE)&lt;&gt;"",IF(VLOOKUP(A49,Ergebnis_je_Aktie_verwässert!A$3:AK$103,6,FALSE)&lt;=0,2,IF(VLOOKUP(A49,Dividende_je_Aktie!A$3:AM$103,6,FALSE)/VLOOKUP(A49,Ergebnis_je_Aktie_verwässert!A$3:AK$103,6,FALSE)&gt;=2,2,VLOOKUP(A49,Dividende_je_Aktie!A$3:AM$103,6,FALSE)/VLOOKUP(A49,Ergebnis_je_Aktie_verwässert!A$3:AK$103,6,FALSE))),""),"")</f>
        <v>0.57932692307692313</v>
      </c>
      <c r="G49" s="71">
        <f>IF(VLOOKUP(A49,Dividende_je_Aktie!A$3:AM$103,7,FALSE)&lt;&gt;"",IF(VLOOKUP(A49,Ergebnis_je_Aktie_verwässert!A$3:AK$103,7,FALSE)&lt;&gt;"",IF(VLOOKUP(A49,Ergebnis_je_Aktie_verwässert!A$3:AK$103,7,FALSE)&lt;=0,2,IF(VLOOKUP(A49,Dividende_je_Aktie!A$3:AM$103,7,FALSE)/VLOOKUP(A49,Ergebnis_je_Aktie_verwässert!A$3:AK$103,7,FALSE)&gt;=2,2,VLOOKUP(A49,Dividende_je_Aktie!A$3:AM$103,7,FALSE)/VLOOKUP(A49,Ergebnis_je_Aktie_verwässert!A$3:AK$103,7,FALSE))),""),"")</f>
        <v>0.57493857493857481</v>
      </c>
      <c r="H49" s="71">
        <f>IF(VLOOKUP(A49,Fiktive_Dividende!A$3:AM$103,14,FALSE)&lt;&gt;"",IF(VLOOKUP(A49,Ergebnis_je_Aktie_verwässert!A$3:AK$103,8,FALSE)&lt;&gt;"",IF(VLOOKUP(A49,Ergebnis_je_Aktie_verwässert!A$3:AK$103,8,FALSE)&lt;=0,2,IF(VLOOKUP(A49,Fiktive_Dividende!A$3:AM$103,14,FALSE)/VLOOKUP(A49,Ergebnis_je_Aktie_verwässert!A$3:AK$103,8,FALSE)&gt;=2,2,VLOOKUP(A49,Fiktive_Dividende!A$3:AM$103,14,FALSE)/VLOOKUP(A49,Ergebnis_je_Aktie_verwässert!A$3:AK$103,8,FALSE))),""),"")</f>
        <v>0.5685785536159601</v>
      </c>
      <c r="I49" s="71">
        <f>IF(VLOOKUP(A49,Fiktive_Dividende!A$3:AM$103,15,FALSE)&lt;&gt;"",IF(VLOOKUP(A49,Ergebnis_je_Aktie_verwässert!A$3:AK$103,9,FALSE)&lt;&gt;"",IF(VLOOKUP(A49,Ergebnis_je_Aktie_verwässert!A$3:AK$103,9,FALSE)&lt;=0,2,IF(VLOOKUP(A49,Fiktive_Dividende!A$3:AM$103,15,FALSE)/VLOOKUP(A49,Ergebnis_je_Aktie_verwässert!A$3:AK$103,9,FALSE)&gt;=2,2,VLOOKUP(A49,Fiktive_Dividende!A$3:AM$103,15,FALSE)/VLOOKUP(A49,Ergebnis_je_Aktie_verwässert!A$3:AK$103,9,FALSE))),""),"")</f>
        <v>0.78921161519409722</v>
      </c>
      <c r="J49" s="71">
        <f>IF(VLOOKUP(A49,Fiktive_Dividende!A$3:AM$103,16,FALSE)&lt;&gt;"",IF(VLOOKUP(A49,Ergebnis_je_Aktie_verwässert!A$3:AK$103,10,FALSE)&lt;&gt;"",IF(VLOOKUP(A49,Ergebnis_je_Aktie_verwässert!A$3:AK$103,10,FALSE)&lt;=0,2,IF(VLOOKUP(A49,Fiktive_Dividende!A$3:AM$103,16,FALSE)/VLOOKUP(A49,Ergebnis_je_Aktie_verwässert!A$3:AK$103,10,FALSE)&gt;=2,2,VLOOKUP(A49,Fiktive_Dividende!A$3:AM$103,16,FALSE)/VLOOKUP(A49,Ergebnis_je_Aktie_verwässert!A$3:AK$103,10,FALSE))),""),"")</f>
        <v>0.64477611940298507</v>
      </c>
      <c r="K49" s="71">
        <f>IF(VLOOKUP(A49,Fiktive_Dividende!A$3:AM$103,17,FALSE)&lt;&gt;"",IF(VLOOKUP(A49,Ergebnis_je_Aktie_verwässert!A$3:AK$103,11,FALSE)&lt;&gt;"",IF(VLOOKUP(A49,Ergebnis_je_Aktie_verwässert!A$3:AK$103,11,FALSE)&lt;=0,2,IF(VLOOKUP(A49,Fiktive_Dividende!A$3:AM$103,17,FALSE)/VLOOKUP(A49,Ergebnis_je_Aktie_verwässert!A$3:AK$103,11,FALSE)&gt;=2,2,VLOOKUP(A49,Fiktive_Dividende!A$3:AM$103,17,FALSE)/VLOOKUP(A49,Ergebnis_je_Aktie_verwässert!A$3:AK$103,11,FALSE))),""),"")</f>
        <v>0.7359154929577465</v>
      </c>
      <c r="L49" s="71">
        <f>IF(VLOOKUP(A49,Fiktive_Dividende!A$3:AM$103,18,FALSE)&lt;&gt;"",IF(VLOOKUP(A49,Ergebnis_je_Aktie_verwässert!A$3:AK$103,12,FALSE)&lt;&gt;"",IF(VLOOKUP(A49,Ergebnis_je_Aktie_verwässert!A$3:AK$103,12,FALSE)&lt;=0,2,IF(VLOOKUP(A49,Fiktive_Dividende!A$3:AM$103,18,FALSE)/VLOOKUP(A49,Ergebnis_je_Aktie_verwässert!A$3:AK$103,12,FALSE)&gt;=2,2,VLOOKUP(A49,Fiktive_Dividende!A$3:AM$103,18,FALSE)/VLOOKUP(A49,Ergebnis_je_Aktie_verwässert!A$3:AK$103,12,FALSE))),""),"")</f>
        <v>0.90624999999999978</v>
      </c>
      <c r="M49" s="71">
        <f>IF(VLOOKUP(A49,Fiktive_Dividende!A$3:AM$103,19,FALSE)&lt;&gt;"",IF(VLOOKUP(A49,Ergebnis_je_Aktie_verwässert!A$3:AK$103,13,FALSE)&lt;&gt;"",IF(VLOOKUP(A49,Ergebnis_je_Aktie_verwässert!A$3:AK$103,13,FALSE)&lt;=0,2,IF(VLOOKUP(A49,Fiktive_Dividende!A$3:AM$103,19,FALSE)/VLOOKUP(A49,Ergebnis_je_Aktie_verwässert!A$3:AK$103,13,FALSE)&gt;=2,2,VLOOKUP(A49,Fiktive_Dividende!A$3:AM$103,19,FALSE)/VLOOKUP(A49,Ergebnis_je_Aktie_verwässert!A$3:AK$103,13,FALSE))),""),"")</f>
        <v>0.92093023255813955</v>
      </c>
      <c r="N49" s="71">
        <f>IF(VLOOKUP(A49,Fiktive_Dividende!A$3:AM$103,20,FALSE)&lt;&gt;"",IF(VLOOKUP(A49,Ergebnis_je_Aktie_verwässert!A$3:AK$103,14,FALSE)&lt;&gt;"",IF(VLOOKUP(A49,Ergebnis_je_Aktie_verwässert!A$3:AK$103,14,FALSE)&lt;=0,2,IF(VLOOKUP(A49,Fiktive_Dividende!A$3:AM$103,20,FALSE)/VLOOKUP(A49,Ergebnis_je_Aktie_verwässert!A$3:AK$103,14,FALSE)&gt;=2,2,VLOOKUP(A49,Fiktive_Dividende!A$3:AM$103,20,FALSE)/VLOOKUP(A49,Ergebnis_je_Aktie_verwässert!A$3:AK$103,14,FALSE))),""),"")</f>
        <v>0.92788461538461531</v>
      </c>
      <c r="O49" s="71">
        <f>IF(VLOOKUP(A49,Fiktive_Dividende!A$3:AM$103,21,FALSE)&lt;&gt;"",IF(VLOOKUP(A49,Ergebnis_je_Aktie_verwässert!A$3:AK$103,15,FALSE)&lt;&gt;"",IF(VLOOKUP(A49,Ergebnis_je_Aktie_verwässert!A$3:AK$103,15,FALSE)&lt;=0,2,IF(VLOOKUP(A49,Fiktive_Dividende!A$3:AM$103,21,FALSE)/VLOOKUP(A49,Ergebnis_je_Aktie_verwässert!A$3:AK$103,15,FALSE)&gt;=2,2,VLOOKUP(A49,Fiktive_Dividende!A$3:AM$103,21,FALSE)/VLOOKUP(A49,Ergebnis_je_Aktie_verwässert!A$3:AK$103,15,FALSE))),""),"")</f>
        <v>0.77916666666666679</v>
      </c>
      <c r="P49" s="71">
        <f>IF(VLOOKUP(A49,Fiktive_Dividende!A$3:AM$103,22,FALSE)&lt;&gt;"",IF(VLOOKUP(A49,Ergebnis_je_Aktie_verwässert!A$3:AK$103,16,FALSE)&lt;&gt;"",IF(VLOOKUP(A49,Ergebnis_je_Aktie_verwässert!A$3:AK$103,16,FALSE)&lt;=0,2,IF(VLOOKUP(A49,Fiktive_Dividende!A$3:AM$103,22,FALSE)/VLOOKUP(A49,Ergebnis_je_Aktie_verwässert!A$3:AK$103,16,FALSE)&gt;=2,2,VLOOKUP(A49,Fiktive_Dividende!A$3:AM$103,22,FALSE)/VLOOKUP(A49,Ergebnis_je_Aktie_verwässert!A$3:AK$103,16,FALSE))),""),"")</f>
        <v>0.70078740157480313</v>
      </c>
      <c r="Q49" s="71">
        <f>IF(VLOOKUP(A49,Fiktive_Dividende!A$3:AM$103,23,FALSE)&lt;&gt;"",IF(VLOOKUP(A49,Ergebnis_je_Aktie_verwässert!A$3:AK$103,17,FALSE)&lt;&gt;"",IF(VLOOKUP(A49,Ergebnis_je_Aktie_verwässert!A$3:AK$103,17,FALSE)&lt;=0,2,IF(VLOOKUP(A49,Fiktive_Dividende!A$3:AM$103,23,FALSE)/VLOOKUP(A49,Ergebnis_je_Aktie_verwässert!A$3:AK$103,17,FALSE)&gt;=2,2,VLOOKUP(A49,Fiktive_Dividende!A$3:AM$103,23,FALSE)/VLOOKUP(A49,Ergebnis_je_Aktie_verwässert!A$3:AK$103,17,FALSE))),""),"")</f>
        <v>0.7076271186440678</v>
      </c>
      <c r="R49" s="71">
        <f>IF(VLOOKUP(A49,Fiktive_Dividende!A$3:AM$103,24,FALSE)&lt;&gt;"",IF(VLOOKUP(A49,Ergebnis_je_Aktie_verwässert!A$3:AK$103,18,FALSE)&lt;&gt;"",IF(VLOOKUP(A49,Ergebnis_je_Aktie_verwässert!A$3:AK$103,18,FALSE)&lt;=0,2,IF(VLOOKUP(A49,Fiktive_Dividende!A$3:AM$103,24,FALSE)/VLOOKUP(A49,Ergebnis_je_Aktie_verwässert!A$3:AK$103,18,FALSE)&gt;=2,2,VLOOKUP(A49,Fiktive_Dividende!A$3:AM$103,24,FALSE)/VLOOKUP(A49,Ergebnis_je_Aktie_verwässert!A$3:AK$103,18,FALSE))),""),"")</f>
        <v>0.78640776699029125</v>
      </c>
      <c r="S49" s="105">
        <f t="shared" si="7"/>
        <v>0.74013854469268214</v>
      </c>
      <c r="T49" s="71">
        <f>IF(VLOOKUP(A49,Dividende_je_Aktie!A$3:AM$103,6,FALSE)&lt;&gt;"",IF(VLOOKUP(A49,Ergebnis_je_Aktie_verwässert!A$3:AK$103,6,FALSE)&lt;&gt;"",IF(VLOOKUP(A49,Ergebnis_je_Aktie_verwässert!A$3:AK$103,6,FALSE)&lt;=0,2,IF(VLOOKUP(A49,Dividende_je_Aktie!A$3:AM$103,6,FALSE)/VLOOKUP(A49,Ergebnis_je_Aktie_verwässert!A$3:AK$103,6,FALSE)&gt;=2,2,VLOOKUP(A49,Dividende_je_Aktie!A$3:AM$103,6,FALSE)/VLOOKUP(A49,Ergebnis_je_Aktie_verwässert!A$3:AK$103,6,FALSE))),""),"")</f>
        <v>0.57932692307692313</v>
      </c>
      <c r="U49" s="71">
        <f>IF(VLOOKUP(A49,Dividende_je_Aktie!A$3:AM$103,7,FALSE)&lt;&gt;"",IF(VLOOKUP(A49,Ergebnis_je_Aktie_verwässert!A$3:AK$103,7,FALSE)&lt;&gt;"",IF(VLOOKUP(A49,Ergebnis_je_Aktie_verwässert!A$3:AK$103,7,FALSE)&lt;=0,2,IF(VLOOKUP(A49,Dividende_je_Aktie!A$3:AM$103,7,FALSE)/VLOOKUP(A49,Ergebnis_je_Aktie_verwässert!A$3:AK$103,7,FALSE)&gt;=2,2,VLOOKUP(A49,Dividende_je_Aktie!A$3:AM$103,7,FALSE)/VLOOKUP(A49,Ergebnis_je_Aktie_verwässert!A$3:AK$103,7,FALSE))),""),"")</f>
        <v>0.57493857493857481</v>
      </c>
      <c r="V49" s="71">
        <f>IF(VLOOKUP(A49,Dividende_je_Aktie!A$3:AM$103,8,FALSE)&lt;&gt;"",IF(VLOOKUP(A49,Ergebnis_je_Aktie_verwässert!A$3:AK$103,8,FALSE)&lt;&gt;"",IF(VLOOKUP(A49,Ergebnis_je_Aktie_verwässert!A$3:AK$103,8,FALSE)&lt;=0,2,IF(VLOOKUP(A49,Dividende_je_Aktie!A$3:AM$103,8,FALSE)/VLOOKUP(A49,Ergebnis_je_Aktie_verwässert!A$3:AK$103,8,FALSE)&gt;=2,2,VLOOKUP(A49,Dividende_je_Aktie!A$3:AM$103,8,FALSE)/VLOOKUP(A49,Ergebnis_je_Aktie_verwässert!A$3:AK$103,8,FALSE))),""),"")</f>
        <v>0.5685785536159601</v>
      </c>
      <c r="W49" s="71">
        <f>IF(VLOOKUP(A49,Dividende_je_Aktie!A$3:AM$103,9,FALSE)&lt;&gt;"",IF(VLOOKUP(A49,Ergebnis_je_Aktie_verwässert!A$3:AK$103,9,FALSE)&lt;&gt;"",IF(VLOOKUP(A49,Ergebnis_je_Aktie_verwässert!A$3:AK$103,9,FALSE)&lt;=0,2,IF(VLOOKUP(A49,Dividende_je_Aktie!A$3:AM$103,9,FALSE)/VLOOKUP(A49,Ergebnis_je_Aktie_verwässert!A$3:AK$103,9,FALSE)&gt;=2,2,VLOOKUP(A49,Dividende_je_Aktie!A$3:AM$103,9,FALSE)/VLOOKUP(A49,Ergebnis_je_Aktie_verwässert!A$3:AK$103,9,FALSE))),""),"")</f>
        <v>0.55889724310776934</v>
      </c>
      <c r="X49" s="71">
        <f>IF(VLOOKUP(A49,Dividende_je_Aktie!A$3:AM$103,10,FALSE)&lt;&gt;"",IF(VLOOKUP(A49,Ergebnis_je_Aktie_verwässert!A$3:AK$103,10,FALSE)&lt;&gt;"",IF(VLOOKUP(A49,Ergebnis_je_Aktie_verwässert!A$3:AK$103,10,FALSE)&lt;=0,2,IF(VLOOKUP(A49,Dividende_je_Aktie!A$3:AM$103,10,FALSE)/VLOOKUP(A49,Ergebnis_je_Aktie_verwässert!A$3:AK$103,10,FALSE)&gt;=2,2,VLOOKUP(A49,Dividende_je_Aktie!A$3:AM$103,10,FALSE)/VLOOKUP(A49,Ergebnis_je_Aktie_verwässert!A$3:AK$103,10,FALSE))),""),"")</f>
        <v>0.64477611940298507</v>
      </c>
      <c r="Y49" s="71">
        <f>IF(VLOOKUP(A49,Dividende_je_Aktie!A$3:AM$103,11,FALSE)&lt;&gt;"",IF(VLOOKUP(A49,Ergebnis_je_Aktie_verwässert!A$3:AK$103,11,FALSE)&lt;&gt;"",IF(VLOOKUP(A49,Ergebnis_je_Aktie_verwässert!A$3:AK$103,11,FALSE)&lt;=0,2,IF(VLOOKUP(A49,Dividende_je_Aktie!A$3:AM$103,11,FALSE)/VLOOKUP(A49,Ergebnis_je_Aktie_verwässert!A$3:AK$103,11,FALSE)&gt;=2,2,VLOOKUP(A49,Dividende_je_Aktie!A$3:AM$103,11,FALSE)/VLOOKUP(A49,Ergebnis_je_Aktie_verwässert!A$3:AK$103,11,FALSE))),""),"")</f>
        <v>0.7359154929577465</v>
      </c>
      <c r="Z49" s="71">
        <f>IF(VLOOKUP(A49,Dividende_je_Aktie!A$3:AM$103,12,FALSE)&lt;&gt;"",IF(VLOOKUP(A49,Ergebnis_je_Aktie_verwässert!A$3:AK$103,12,FALSE)&lt;&gt;"",IF(VLOOKUP(A49,Ergebnis_je_Aktie_verwässert!A$3:AK$103,12,FALSE)&lt;=0,2,IF(VLOOKUP(A49,Dividende_je_Aktie!A$3:AM$103,12,FALSE)/VLOOKUP(A49,Ergebnis_je_Aktie_verwässert!A$3:AK$103,12,FALSE)&gt;=2,2,VLOOKUP(A49,Dividende_je_Aktie!A$3:AM$103,12,FALSE)/VLOOKUP(A49,Ergebnis_je_Aktie_verwässert!A$3:AK$103,12,FALSE))),""),"")</f>
        <v>0.90624999999999978</v>
      </c>
      <c r="AA49" s="71">
        <f>IF(VLOOKUP(A49,Dividende_je_Aktie!A$3:AM$103,13,FALSE)&lt;&gt;"",IF(VLOOKUP(A49,Ergebnis_je_Aktie_verwässert!A$3:AK$103,13,FALSE)&lt;&gt;"",IF(VLOOKUP(A49,Ergebnis_je_Aktie_verwässert!A$3:AK$103,13,FALSE)&lt;=0,2,IF(VLOOKUP(A49,Dividende_je_Aktie!A$3:AM$103,13,FALSE)/VLOOKUP(A49,Ergebnis_je_Aktie_verwässert!A$3:AK$103,13,FALSE)&gt;=2,2,VLOOKUP(A49,Dividende_je_Aktie!A$3:AM$103,13,FALSE)/VLOOKUP(A49,Ergebnis_je_Aktie_verwässert!A$3:AK$103,13,FALSE))),""),"")</f>
        <v>0.92093023255813955</v>
      </c>
      <c r="AB49" s="71">
        <f>IF(VLOOKUP(A49,Dividende_je_Aktie!A$3:AM$103,14,FALSE)&lt;&gt;"",IF(VLOOKUP(A49,Ergebnis_je_Aktie_verwässert!A$3:AK$103,14,FALSE)&lt;&gt;"",IF(VLOOKUP(A49,Ergebnis_je_Aktie_verwässert!A$3:AK$103,14,FALSE)&lt;=0,2,IF(VLOOKUP(A49,Dividende_je_Aktie!A$3:AM$103,14,FALSE)/VLOOKUP(A49,Ergebnis_je_Aktie_verwässert!A$3:AK$103,14,FALSE)&gt;=2,2,VLOOKUP(A49,Dividende_je_Aktie!A$3:AM$103,14,FALSE)/VLOOKUP(A49,Ergebnis_je_Aktie_verwässert!A$3:AK$103,14,FALSE))),""),"")</f>
        <v>0.92788461538461531</v>
      </c>
      <c r="AC49" s="71">
        <f>IF(VLOOKUP(A49,Dividende_je_Aktie!A$3:AM$103,15,FALSE)&lt;&gt;"",IF(VLOOKUP(A49,Ergebnis_je_Aktie_verwässert!A$3:AK$103,15,FALSE)&lt;&gt;"",IF(VLOOKUP(A49,Ergebnis_je_Aktie_verwässert!A$3:AK$103,15,FALSE)&lt;=0,2,IF(VLOOKUP(A49,Dividende_je_Aktie!A$3:AM$103,15,FALSE)/VLOOKUP(A49,Ergebnis_je_Aktie_verwässert!A$3:AK$103,15,FALSE)&gt;=2,2,VLOOKUP(A49,Dividende_je_Aktie!A$3:AM$103,15,FALSE)/VLOOKUP(A49,Ergebnis_je_Aktie_verwässert!A$3:AK$103,15,FALSE))),""),"")</f>
        <v>0.77916666666666679</v>
      </c>
      <c r="AD49" s="71">
        <f>IF(VLOOKUP(A49,Dividende_je_Aktie!A$3:AM$103,16,FALSE)&lt;&gt;"",IF(VLOOKUP(A49,Ergebnis_je_Aktie_verwässert!A$3:AK$103,16,FALSE)&lt;&gt;"",IF(VLOOKUP(A49,Ergebnis_je_Aktie_verwässert!A$3:AK$103,16,FALSE)&lt;=0,2,IF(VLOOKUP(A49,Dividende_je_Aktie!A$3:AM$103,16,FALSE)/VLOOKUP(A49,Ergebnis_je_Aktie_verwässert!A$3:AK$103,16,FALSE)&gt;=2,2,VLOOKUP(A49,Dividende_je_Aktie!A$3:AM$103,16,FALSE)/VLOOKUP(A49,Ergebnis_je_Aktie_verwässert!A$3:AK$103,16,FALSE))),""),"")</f>
        <v>0.70078740157480313</v>
      </c>
      <c r="AE49" s="71">
        <f>IF(VLOOKUP(A49,Dividende_je_Aktie!A$3:AM$103,17,FALSE)&lt;&gt;"",IF(VLOOKUP(A49,Ergebnis_je_Aktie_verwässert!A$3:AK$103,17,FALSE)&lt;&gt;"",IF(VLOOKUP(A49,Ergebnis_je_Aktie_verwässert!A$3:AK$103,17,FALSE)&lt;=0,2,IF(VLOOKUP(A49,Dividende_je_Aktie!A$3:AM$103,17,FALSE)/VLOOKUP(A49,Ergebnis_je_Aktie_verwässert!A$3:AK$103,17,FALSE)&gt;=2,2,VLOOKUP(A49,Dividende_je_Aktie!A$3:AM$103,17,FALSE)/VLOOKUP(A49,Ergebnis_je_Aktie_verwässert!A$3:AK$103,17,FALSE))),""),"")</f>
        <v>0.7076271186440678</v>
      </c>
      <c r="AF49" s="71">
        <f>IF(VLOOKUP(A49,Dividende_je_Aktie!A$3:AM$103,18,FALSE)&lt;&gt;"",IF(VLOOKUP(A49,Ergebnis_je_Aktie_verwässert!A$3:AK$103,18,FALSE)&lt;&gt;"",IF(VLOOKUP(A49,Ergebnis_je_Aktie_verwässert!A$3:AK$103,18,FALSE)&lt;=0,2,IF(VLOOKUP(A49,Dividende_je_Aktie!A$3:AM$103,18,FALSE)/VLOOKUP(A49,Ergebnis_je_Aktie_verwässert!A$3:AK$103,18,FALSE)&gt;=2,2,VLOOKUP(A49,Dividende_je_Aktie!A$3:AM$103,18,FALSE)/VLOOKUP(A49,Ergebnis_je_Aktie_verwässert!A$3:AK$103,18,FALSE))),""),"")</f>
        <v>0.78640776699029125</v>
      </c>
      <c r="AG49" s="105">
        <f t="shared" si="8"/>
        <v>0.72242205453219543</v>
      </c>
      <c r="AH49" s="4">
        <f t="shared" ca="1" si="9"/>
        <v>0</v>
      </c>
      <c r="AI49" s="4">
        <f t="shared" ca="1" si="10"/>
        <v>108</v>
      </c>
      <c r="AJ49" s="4">
        <f t="shared" ca="1" si="11"/>
        <v>252</v>
      </c>
      <c r="AK49" s="10">
        <f t="shared" ca="1" si="12"/>
        <v>0.57048656001274456</v>
      </c>
      <c r="AL49" s="5">
        <f t="shared" ca="1" si="13"/>
        <v>-0.21031403120415082</v>
      </c>
    </row>
    <row r="50" spans="1:38">
      <c r="A50" t="s">
        <v>260</v>
      </c>
      <c r="B50" t="s">
        <v>265</v>
      </c>
      <c r="C50" s="60">
        <v>30</v>
      </c>
      <c r="D50" s="60">
        <v>9</v>
      </c>
      <c r="E50" s="60">
        <v>2016</v>
      </c>
      <c r="F50" s="71">
        <f>IF(VLOOKUP(A50,Dividende_je_Aktie!A$3:AM$103,6,FALSE)&lt;&gt;"",IF(VLOOKUP(A50,Ergebnis_je_Aktie_verwässert!A$3:AK$103,6,FALSE)&lt;&gt;"",IF(VLOOKUP(A50,Ergebnis_je_Aktie_verwässert!A$3:AK$103,6,FALSE)&lt;=0,2,IF(VLOOKUP(A50,Dividende_je_Aktie!A$3:AM$103,6,FALSE)/VLOOKUP(A50,Ergebnis_je_Aktie_verwässert!A$3:AK$103,6,FALSE)&gt;=2,2,VLOOKUP(A50,Dividende_je_Aktie!A$3:AM$103,6,FALSE)/VLOOKUP(A50,Ergebnis_je_Aktie_verwässert!A$3:AK$103,6,FALSE))),""),"")</f>
        <v>0.18393782383419688</v>
      </c>
      <c r="G50" s="71">
        <f>IF(VLOOKUP(A50,Dividende_je_Aktie!A$3:AM$103,7,FALSE)&lt;&gt;"",IF(VLOOKUP(A50,Ergebnis_je_Aktie_verwässert!A$3:AK$103,7,FALSE)&lt;&gt;"",IF(VLOOKUP(A50,Ergebnis_je_Aktie_verwässert!A$3:AK$103,7,FALSE)&lt;=0,2,IF(VLOOKUP(A50,Dividende_je_Aktie!A$3:AM$103,7,FALSE)/VLOOKUP(A50,Ergebnis_je_Aktie_verwässert!A$3:AK$103,7,FALSE)&gt;=2,2,VLOOKUP(A50,Dividende_je_Aktie!A$3:AM$103,7,FALSE)/VLOOKUP(A50,Ergebnis_je_Aktie_verwässert!A$3:AK$103,7,FALSE))),""),"")</f>
        <v>0.19504643962848298</v>
      </c>
      <c r="H50" s="71">
        <f>IF(VLOOKUP(A50,Fiktive_Dividende!A$3:AM$103,14,FALSE)&lt;&gt;"",IF(VLOOKUP(A50,Ergebnis_je_Aktie_verwässert!A$3:AK$103,8,FALSE)&lt;&gt;"",IF(VLOOKUP(A50,Ergebnis_je_Aktie_verwässert!A$3:AK$103,8,FALSE)&lt;=0,2,IF(VLOOKUP(A50,Fiktive_Dividende!A$3:AM$103,14,FALSE)/VLOOKUP(A50,Ergebnis_je_Aktie_verwässert!A$3:AK$103,8,FALSE)&gt;=2,2,VLOOKUP(A50,Fiktive_Dividende!A$3:AM$103,14,FALSE)/VLOOKUP(A50,Ergebnis_je_Aktie_verwässert!A$3:AK$103,8,FALSE))),""),"")</f>
        <v>0.19298245614035089</v>
      </c>
      <c r="I50" s="71">
        <f>IF(VLOOKUP(A50,Fiktive_Dividende!A$3:AM$103,15,FALSE)&lt;&gt;"",IF(VLOOKUP(A50,Ergebnis_je_Aktie_verwässert!A$3:AK$103,9,FALSE)&lt;&gt;"",IF(VLOOKUP(A50,Ergebnis_je_Aktie_verwässert!A$3:AK$103,9,FALSE)&lt;=0,2,IF(VLOOKUP(A50,Fiktive_Dividende!A$3:AM$103,15,FALSE)/VLOOKUP(A50,Ergebnis_je_Aktie_verwässert!A$3:AK$103,9,FALSE)&gt;=2,2,VLOOKUP(A50,Fiktive_Dividende!A$3:AM$103,15,FALSE)/VLOOKUP(A50,Ergebnis_je_Aktie_verwässert!A$3:AK$103,9,FALSE))),""),"")</f>
        <v>2</v>
      </c>
      <c r="J50" s="71">
        <f>IF(VLOOKUP(A50,Fiktive_Dividende!A$3:AM$103,16,FALSE)&lt;&gt;"",IF(VLOOKUP(A50,Ergebnis_je_Aktie_verwässert!A$3:AK$103,10,FALSE)&lt;&gt;"",IF(VLOOKUP(A50,Ergebnis_je_Aktie_verwässert!A$3:AK$103,10,FALSE)&lt;=0,2,IF(VLOOKUP(A50,Fiktive_Dividende!A$3:AM$103,16,FALSE)/VLOOKUP(A50,Ergebnis_je_Aktie_verwässert!A$3:AK$103,10,FALSE)&gt;=2,2,VLOOKUP(A50,Fiktive_Dividende!A$3:AM$103,16,FALSE)/VLOOKUP(A50,Ergebnis_je_Aktie_verwässert!A$3:AK$103,10,FALSE))),""),"")</f>
        <v>0.186046511627907</v>
      </c>
      <c r="K50" s="71">
        <f>IF(VLOOKUP(A50,Fiktive_Dividende!A$3:AM$103,17,FALSE)&lt;&gt;"",IF(VLOOKUP(A50,Ergebnis_je_Aktie_verwässert!A$3:AK$103,11,FALSE)&lt;&gt;"",IF(VLOOKUP(A50,Ergebnis_je_Aktie_verwässert!A$3:AK$103,11,FALSE)&lt;=0,2,IF(VLOOKUP(A50,Fiktive_Dividende!A$3:AM$103,17,FALSE)/VLOOKUP(A50,Ergebnis_je_Aktie_verwässert!A$3:AK$103,11,FALSE)&gt;=2,2,VLOOKUP(A50,Fiktive_Dividende!A$3:AM$103,17,FALSE)/VLOOKUP(A50,Ergebnis_je_Aktie_verwässert!A$3:AK$103,11,FALSE))),""),"")</f>
        <v>1.1835526315789473</v>
      </c>
      <c r="L50" s="71">
        <f>IF(VLOOKUP(A50,Fiktive_Dividende!A$3:AM$103,18,FALSE)&lt;&gt;"",IF(VLOOKUP(A50,Ergebnis_je_Aktie_verwässert!A$3:AK$103,12,FALSE)&lt;&gt;"",IF(VLOOKUP(A50,Ergebnis_je_Aktie_verwässert!A$3:AK$103,12,FALSE)&lt;=0,2,IF(VLOOKUP(A50,Fiktive_Dividende!A$3:AM$103,18,FALSE)/VLOOKUP(A50,Ergebnis_je_Aktie_verwässert!A$3:AK$103,12,FALSE)&gt;=2,2,VLOOKUP(A50,Fiktive_Dividende!A$3:AM$103,18,FALSE)/VLOOKUP(A50,Ergebnis_je_Aktie_verwässert!A$3:AK$103,12,FALSE))),""),"")</f>
        <v>0.51176197415408264</v>
      </c>
      <c r="M50" s="71">
        <f>IF(VLOOKUP(A50,Fiktive_Dividende!A$3:AM$103,19,FALSE)&lt;&gt;"",IF(VLOOKUP(A50,Ergebnis_je_Aktie_verwässert!A$3:AK$103,13,FALSE)&lt;&gt;"",IF(VLOOKUP(A50,Ergebnis_je_Aktie_verwässert!A$3:AK$103,13,FALSE)&lt;=0,2,IF(VLOOKUP(A50,Fiktive_Dividende!A$3:AM$103,19,FALSE)/VLOOKUP(A50,Ergebnis_je_Aktie_verwässert!A$3:AK$103,13,FALSE)&gt;=2,2,VLOOKUP(A50,Fiktive_Dividende!A$3:AM$103,19,FALSE)/VLOOKUP(A50,Ergebnis_je_Aktie_verwässert!A$3:AK$103,13,FALSE))),""),"")</f>
        <v>0.33804658688944078</v>
      </c>
      <c r="N50" s="71">
        <f>IF(VLOOKUP(A50,Fiktive_Dividende!A$3:AM$103,20,FALSE)&lt;&gt;"",IF(VLOOKUP(A50,Ergebnis_je_Aktie_verwässert!A$3:AK$103,14,FALSE)&lt;&gt;"",IF(VLOOKUP(A50,Ergebnis_je_Aktie_verwässert!A$3:AK$103,14,FALSE)&lt;=0,2,IF(VLOOKUP(A50,Fiktive_Dividende!A$3:AM$103,20,FALSE)/VLOOKUP(A50,Ergebnis_je_Aktie_verwässert!A$3:AK$103,14,FALSE)&gt;=2,2,VLOOKUP(A50,Fiktive_Dividende!A$3:AM$103,20,FALSE)/VLOOKUP(A50,Ergebnis_je_Aktie_verwässert!A$3:AK$103,14,FALSE))),""),"")</f>
        <v>0.13</v>
      </c>
      <c r="O50" s="71">
        <f>IF(VLOOKUP(A50,Fiktive_Dividende!A$3:AM$103,21,FALSE)&lt;&gt;"",IF(VLOOKUP(A50,Ergebnis_je_Aktie_verwässert!A$3:AK$103,15,FALSE)&lt;&gt;"",IF(VLOOKUP(A50,Ergebnis_je_Aktie_verwässert!A$3:AK$103,15,FALSE)&lt;=0,2,IF(VLOOKUP(A50,Fiktive_Dividende!A$3:AM$103,21,FALSE)/VLOOKUP(A50,Ergebnis_je_Aktie_verwässert!A$3:AK$103,15,FALSE)&gt;=2,2,VLOOKUP(A50,Fiktive_Dividende!A$3:AM$103,21,FALSE)/VLOOKUP(A50,Ergebnis_je_Aktie_verwässert!A$3:AK$103,15,FALSE))),""),"")</f>
        <v>0.14102564102564102</v>
      </c>
      <c r="P50" s="71">
        <f>IF(VLOOKUP(A50,Fiktive_Dividende!A$3:AM$103,22,FALSE)&lt;&gt;"",IF(VLOOKUP(A50,Ergebnis_je_Aktie_verwässert!A$3:AK$103,16,FALSE)&lt;&gt;"",IF(VLOOKUP(A50,Ergebnis_je_Aktie_verwässert!A$3:AK$103,16,FALSE)&lt;=0,2,IF(VLOOKUP(A50,Fiktive_Dividende!A$3:AM$103,22,FALSE)/VLOOKUP(A50,Ergebnis_je_Aktie_verwässert!A$3:AK$103,16,FALSE)&gt;=2,2,VLOOKUP(A50,Fiktive_Dividende!A$3:AM$103,22,FALSE)/VLOOKUP(A50,Ergebnis_je_Aktie_verwässert!A$3:AK$103,16,FALSE))),""),"")</f>
        <v>0.10833333333333334</v>
      </c>
      <c r="Q50" s="71" t="str">
        <f>IF(VLOOKUP(A50,Fiktive_Dividende!A$3:AM$103,23,FALSE)&lt;&gt;"",IF(VLOOKUP(A50,Ergebnis_je_Aktie_verwässert!A$3:AK$103,17,FALSE)&lt;&gt;"",IF(VLOOKUP(A50,Ergebnis_je_Aktie_verwässert!A$3:AK$103,17,FALSE)&lt;=0,2,IF(VLOOKUP(A50,Fiktive_Dividende!A$3:AM$103,23,FALSE)/VLOOKUP(A50,Ergebnis_je_Aktie_verwässert!A$3:AK$103,17,FALSE)&gt;=2,2,VLOOKUP(A50,Fiktive_Dividende!A$3:AM$103,23,FALSE)/VLOOKUP(A50,Ergebnis_je_Aktie_verwässert!A$3:AK$103,17,FALSE))),""),"")</f>
        <v/>
      </c>
      <c r="R50" s="71" t="str">
        <f>IF(VLOOKUP(A50,Fiktive_Dividende!A$3:AM$103,24,FALSE)&lt;&gt;"",IF(VLOOKUP(A50,Ergebnis_je_Aktie_verwässert!A$3:AK$103,18,FALSE)&lt;&gt;"",IF(VLOOKUP(A50,Ergebnis_je_Aktie_verwässert!A$3:AK$103,18,FALSE)&lt;=0,2,IF(VLOOKUP(A50,Fiktive_Dividende!A$3:AM$103,24,FALSE)/VLOOKUP(A50,Ergebnis_je_Aktie_verwässert!A$3:AK$103,18,FALSE)&gt;=2,2,VLOOKUP(A50,Fiktive_Dividende!A$3:AM$103,24,FALSE)/VLOOKUP(A50,Ergebnis_je_Aktie_verwässert!A$3:AK$103,18,FALSE))),""),"")</f>
        <v/>
      </c>
      <c r="S50" s="105">
        <f t="shared" si="7"/>
        <v>0.47006667256476203</v>
      </c>
      <c r="T50" s="71">
        <f>IF(VLOOKUP(A50,Dividende_je_Aktie!A$3:AM$103,6,FALSE)&lt;&gt;"",IF(VLOOKUP(A50,Ergebnis_je_Aktie_verwässert!A$3:AK$103,6,FALSE)&lt;&gt;"",IF(VLOOKUP(A50,Ergebnis_je_Aktie_verwässert!A$3:AK$103,6,FALSE)&lt;=0,2,IF(VLOOKUP(A50,Dividende_je_Aktie!A$3:AM$103,6,FALSE)/VLOOKUP(A50,Ergebnis_je_Aktie_verwässert!A$3:AK$103,6,FALSE)&gt;=2,2,VLOOKUP(A50,Dividende_je_Aktie!A$3:AM$103,6,FALSE)/VLOOKUP(A50,Ergebnis_je_Aktie_verwässert!A$3:AK$103,6,FALSE))),""),"")</f>
        <v>0.18393782383419688</v>
      </c>
      <c r="U50" s="71">
        <f>IF(VLOOKUP(A50,Dividende_je_Aktie!A$3:AM$103,7,FALSE)&lt;&gt;"",IF(VLOOKUP(A50,Ergebnis_je_Aktie_verwässert!A$3:AK$103,7,FALSE)&lt;&gt;"",IF(VLOOKUP(A50,Ergebnis_je_Aktie_verwässert!A$3:AK$103,7,FALSE)&lt;=0,2,IF(VLOOKUP(A50,Dividende_je_Aktie!A$3:AM$103,7,FALSE)/VLOOKUP(A50,Ergebnis_je_Aktie_verwässert!A$3:AK$103,7,FALSE)&gt;=2,2,VLOOKUP(A50,Dividende_je_Aktie!A$3:AM$103,7,FALSE)/VLOOKUP(A50,Ergebnis_je_Aktie_verwässert!A$3:AK$103,7,FALSE))),""),"")</f>
        <v>0.19504643962848298</v>
      </c>
      <c r="V50" s="71">
        <f>IF(VLOOKUP(A50,Dividende_je_Aktie!A$3:AM$103,8,FALSE)&lt;&gt;"",IF(VLOOKUP(A50,Ergebnis_je_Aktie_verwässert!A$3:AK$103,8,FALSE)&lt;&gt;"",IF(VLOOKUP(A50,Ergebnis_je_Aktie_verwässert!A$3:AK$103,8,FALSE)&lt;=0,2,IF(VLOOKUP(A50,Dividende_je_Aktie!A$3:AM$103,8,FALSE)/VLOOKUP(A50,Ergebnis_je_Aktie_verwässert!A$3:AK$103,8,FALSE)&gt;=2,2,VLOOKUP(A50,Dividende_je_Aktie!A$3:AM$103,8,FALSE)/VLOOKUP(A50,Ergebnis_je_Aktie_verwässert!A$3:AK$103,8,FALSE))),""),"")</f>
        <v>0.19298245614035089</v>
      </c>
      <c r="W50" s="71">
        <f>IF(VLOOKUP(A50,Dividende_je_Aktie!A$3:AM$103,9,FALSE)&lt;&gt;"",IF(VLOOKUP(A50,Ergebnis_je_Aktie_verwässert!A$3:AK$103,9,FALSE)&lt;&gt;"",IF(VLOOKUP(A50,Ergebnis_je_Aktie_verwässert!A$3:AK$103,9,FALSE)&lt;=0,2,IF(VLOOKUP(A50,Dividende_je_Aktie!A$3:AM$103,9,FALSE)/VLOOKUP(A50,Ergebnis_je_Aktie_verwässert!A$3:AK$103,9,FALSE)&gt;=2,2,VLOOKUP(A50,Dividende_je_Aktie!A$3:AM$103,9,FALSE)/VLOOKUP(A50,Ergebnis_je_Aktie_verwässert!A$3:AK$103,9,FALSE))),""),"")</f>
        <v>0.18604651162790697</v>
      </c>
      <c r="X50" s="71">
        <f>IF(VLOOKUP(A50,Dividende_je_Aktie!A$3:AM$103,10,FALSE)&lt;&gt;"",IF(VLOOKUP(A50,Ergebnis_je_Aktie_verwässert!A$3:AK$103,10,FALSE)&lt;&gt;"",IF(VLOOKUP(A50,Ergebnis_je_Aktie_verwässert!A$3:AK$103,10,FALSE)&lt;=0,2,IF(VLOOKUP(A50,Dividende_je_Aktie!A$3:AM$103,10,FALSE)/VLOOKUP(A50,Ergebnis_je_Aktie_verwässert!A$3:AK$103,10,FALSE)&gt;=2,2,VLOOKUP(A50,Dividende_je_Aktie!A$3:AM$103,10,FALSE)/VLOOKUP(A50,Ergebnis_je_Aktie_verwässert!A$3:AK$103,10,FALSE))),""),"")</f>
        <v>0.186046511627907</v>
      </c>
      <c r="Y50" s="71">
        <f>IF(VLOOKUP(A50,Dividende_je_Aktie!A$3:AM$103,11,FALSE)&lt;&gt;"",IF(VLOOKUP(A50,Ergebnis_je_Aktie_verwässert!A$3:AK$103,11,FALSE)&lt;&gt;"",IF(VLOOKUP(A50,Ergebnis_je_Aktie_verwässert!A$3:AK$103,11,FALSE)&lt;=0,2,IF(VLOOKUP(A50,Dividende_je_Aktie!A$3:AM$103,11,FALSE)/VLOOKUP(A50,Ergebnis_je_Aktie_verwässert!A$3:AK$103,11,FALSE)&gt;=2,2,VLOOKUP(A50,Dividende_je_Aktie!A$3:AM$103,11,FALSE)/VLOOKUP(A50,Ergebnis_je_Aktie_verwässert!A$3:AK$103,11,FALSE))),""),"")</f>
        <v>0.18421052631578946</v>
      </c>
      <c r="Z50" s="71">
        <f>IF(VLOOKUP(A50,Dividende_je_Aktie!A$3:AM$103,12,FALSE)&lt;&gt;"",IF(VLOOKUP(A50,Ergebnis_je_Aktie_verwässert!A$3:AK$103,12,FALSE)&lt;&gt;"",IF(VLOOKUP(A50,Ergebnis_je_Aktie_verwässert!A$3:AK$103,12,FALSE)&lt;=0,2,IF(VLOOKUP(A50,Dividende_je_Aktie!A$3:AM$103,12,FALSE)/VLOOKUP(A50,Ergebnis_je_Aktie_verwässert!A$3:AK$103,12,FALSE)&gt;=2,2,VLOOKUP(A50,Dividende_je_Aktie!A$3:AM$103,12,FALSE)/VLOOKUP(A50,Ergebnis_je_Aktie_verwässert!A$3:AK$103,12,FALSE))),""),"")</f>
        <v>0.16233766233766234</v>
      </c>
      <c r="AA50" s="71">
        <f>IF(VLOOKUP(A50,Dividende_je_Aktie!A$3:AM$103,13,FALSE)&lt;&gt;"",IF(VLOOKUP(A50,Ergebnis_je_Aktie_verwässert!A$3:AK$103,13,FALSE)&lt;&gt;"",IF(VLOOKUP(A50,Ergebnis_je_Aktie_verwässert!A$3:AK$103,13,FALSE)&lt;=0,2,IF(VLOOKUP(A50,Dividende_je_Aktie!A$3:AM$103,13,FALSE)/VLOOKUP(A50,Ergebnis_je_Aktie_verwässert!A$3:AK$103,13,FALSE)&gt;=2,2,VLOOKUP(A50,Dividende_je_Aktie!A$3:AM$103,13,FALSE)/VLOOKUP(A50,Ergebnis_je_Aktie_verwässert!A$3:AK$103,13,FALSE))),""),"")</f>
        <v>0.11627906976744186</v>
      </c>
      <c r="AB50" s="71">
        <f>IF(VLOOKUP(A50,Dividende_je_Aktie!A$3:AM$103,14,FALSE)&lt;&gt;"",IF(VLOOKUP(A50,Ergebnis_je_Aktie_verwässert!A$3:AK$103,14,FALSE)&lt;&gt;"",IF(VLOOKUP(A50,Ergebnis_je_Aktie_verwässert!A$3:AK$103,14,FALSE)&lt;=0,2,IF(VLOOKUP(A50,Dividende_je_Aktie!A$3:AM$103,14,FALSE)/VLOOKUP(A50,Ergebnis_je_Aktie_verwässert!A$3:AK$103,14,FALSE)&gt;=2,2,VLOOKUP(A50,Dividende_je_Aktie!A$3:AM$103,14,FALSE)/VLOOKUP(A50,Ergebnis_je_Aktie_verwässert!A$3:AK$103,14,FALSE))),""),"")</f>
        <v>0.13</v>
      </c>
      <c r="AC50" s="71">
        <f>IF(VLOOKUP(A50,Dividende_je_Aktie!A$3:AM$103,15,FALSE)&lt;&gt;"",IF(VLOOKUP(A50,Ergebnis_je_Aktie_verwässert!A$3:AK$103,15,FALSE)&lt;&gt;"",IF(VLOOKUP(A50,Ergebnis_je_Aktie_verwässert!A$3:AK$103,15,FALSE)&lt;=0,2,IF(VLOOKUP(A50,Dividende_je_Aktie!A$3:AM$103,15,FALSE)/VLOOKUP(A50,Ergebnis_je_Aktie_verwässert!A$3:AK$103,15,FALSE)&gt;=2,2,VLOOKUP(A50,Dividende_je_Aktie!A$3:AM$103,15,FALSE)/VLOOKUP(A50,Ergebnis_je_Aktie_verwässert!A$3:AK$103,15,FALSE))),""),"")</f>
        <v>0.14102564102564102</v>
      </c>
      <c r="AD50" s="71">
        <f>IF(VLOOKUP(A50,Dividende_je_Aktie!A$3:AM$103,16,FALSE)&lt;&gt;"",IF(VLOOKUP(A50,Ergebnis_je_Aktie_verwässert!A$3:AK$103,16,FALSE)&lt;&gt;"",IF(VLOOKUP(A50,Ergebnis_je_Aktie_verwässert!A$3:AK$103,16,FALSE)&lt;=0,2,IF(VLOOKUP(A50,Dividende_je_Aktie!A$3:AM$103,16,FALSE)/VLOOKUP(A50,Ergebnis_je_Aktie_verwässert!A$3:AK$103,16,FALSE)&gt;=2,2,VLOOKUP(A50,Dividende_je_Aktie!A$3:AM$103,16,FALSE)/VLOOKUP(A50,Ergebnis_je_Aktie_verwässert!A$3:AK$103,16,FALSE))),""),"")</f>
        <v>0.10833333333333334</v>
      </c>
      <c r="AE50" s="71" t="str">
        <f>IF(VLOOKUP(A50,Dividende_je_Aktie!A$3:AM$103,17,FALSE)&lt;&gt;"",IF(VLOOKUP(A50,Ergebnis_je_Aktie_verwässert!A$3:AK$103,17,FALSE)&lt;&gt;"",IF(VLOOKUP(A50,Ergebnis_je_Aktie_verwässert!A$3:AK$103,17,FALSE)&lt;=0,2,IF(VLOOKUP(A50,Dividende_je_Aktie!A$3:AM$103,17,FALSE)/VLOOKUP(A50,Ergebnis_je_Aktie_verwässert!A$3:AK$103,17,FALSE)&gt;=2,2,VLOOKUP(A50,Dividende_je_Aktie!A$3:AM$103,17,FALSE)/VLOOKUP(A50,Ergebnis_je_Aktie_verwässert!A$3:AK$103,17,FALSE))),""),"")</f>
        <v/>
      </c>
      <c r="AF50" s="71" t="str">
        <f>IF(VLOOKUP(A50,Dividende_je_Aktie!A$3:AM$103,18,FALSE)&lt;&gt;"",IF(VLOOKUP(A50,Ergebnis_je_Aktie_verwässert!A$3:AK$103,18,FALSE)&lt;&gt;"",IF(VLOOKUP(A50,Ergebnis_je_Aktie_verwässert!A$3:AK$103,18,FALSE)&lt;=0,2,IF(VLOOKUP(A50,Dividende_je_Aktie!A$3:AM$103,18,FALSE)/VLOOKUP(A50,Ergebnis_je_Aktie_verwässert!A$3:AK$103,18,FALSE)&gt;=2,2,VLOOKUP(A50,Dividende_je_Aktie!A$3:AM$103,18,FALSE)/VLOOKUP(A50,Ergebnis_je_Aktie_verwässert!A$3:AK$103,18,FALSE))),""),"")</f>
        <v/>
      </c>
      <c r="AG50" s="105">
        <f t="shared" si="8"/>
        <v>0.16238599778533755</v>
      </c>
      <c r="AH50" s="4">
        <f t="shared" ca="1" si="9"/>
        <v>0</v>
      </c>
      <c r="AI50" s="4">
        <f t="shared" ca="1" si="10"/>
        <v>199</v>
      </c>
      <c r="AJ50" s="4">
        <f t="shared" ca="1" si="11"/>
        <v>161</v>
      </c>
      <c r="AK50" s="10">
        <f t="shared" ca="1" si="12"/>
        <v>0.19412338034629059</v>
      </c>
      <c r="AL50" s="5">
        <f t="shared" ca="1" si="13"/>
        <v>0.195444083811386</v>
      </c>
    </row>
    <row r="51" spans="1:38">
      <c r="A51" t="s">
        <v>72</v>
      </c>
      <c r="B51" t="s">
        <v>73</v>
      </c>
      <c r="C51" s="60">
        <v>31</v>
      </c>
      <c r="D51" s="60">
        <v>1</v>
      </c>
      <c r="E51" s="60">
        <v>2016</v>
      </c>
      <c r="F51" s="71">
        <f>IF(VLOOKUP(A51,Dividende_je_Aktie!A$3:AM$103,6,FALSE)&lt;&gt;"",IF(VLOOKUP(A51,Ergebnis_je_Aktie_verwässert!A$3:AK$103,6,FALSE)&lt;&gt;"",IF(VLOOKUP(A51,Ergebnis_je_Aktie_verwässert!A$3:AK$103,6,FALSE)&lt;=0,2,IF(VLOOKUP(A51,Dividende_je_Aktie!A$3:AM$103,6,FALSE)/VLOOKUP(A51,Ergebnis_je_Aktie_verwässert!A$3:AK$103,6,FALSE)&gt;=2,2,VLOOKUP(A51,Dividende_je_Aktie!A$3:AM$103,6,FALSE)/VLOOKUP(A51,Ergebnis_je_Aktie_verwässert!A$3:AK$103,6,FALSE))),""),"")</f>
        <v>0.46938775510204078</v>
      </c>
      <c r="G51" s="71">
        <f>IF(VLOOKUP(A51,Dividende_je_Aktie!A$3:AM$103,7,FALSE)&lt;&gt;"",IF(VLOOKUP(A51,Ergebnis_je_Aktie_verwässert!A$3:AK$103,7,FALSE)&lt;&gt;"",IF(VLOOKUP(A51,Ergebnis_je_Aktie_verwässert!A$3:AK$103,7,FALSE)&lt;=0,2,IF(VLOOKUP(A51,Dividende_je_Aktie!A$3:AM$103,7,FALSE)/VLOOKUP(A51,Ergebnis_je_Aktie_verwässert!A$3:AK$103,7,FALSE)&gt;=2,2,VLOOKUP(A51,Dividende_je_Aktie!A$3:AM$103,7,FALSE)/VLOOKUP(A51,Ergebnis_je_Aktie_verwässert!A$3:AK$103,7,FALSE))),""),"")</f>
        <v>0.47732696897374699</v>
      </c>
      <c r="H51" s="71">
        <f>IF(VLOOKUP(A51,Fiktive_Dividende!A$3:AM$103,14,FALSE)&lt;&gt;"",IF(VLOOKUP(A51,Ergebnis_je_Aktie_verwässert!A$3:AK$103,8,FALSE)&lt;&gt;"",IF(VLOOKUP(A51,Ergebnis_je_Aktie_verwässert!A$3:AK$103,8,FALSE)&lt;=0,2,IF(VLOOKUP(A51,Fiktive_Dividende!A$3:AM$103,14,FALSE)/VLOOKUP(A51,Ergebnis_je_Aktie_verwässert!A$3:AK$103,8,FALSE)&gt;=2,2,VLOOKUP(A51,Fiktive_Dividende!A$3:AM$103,14,FALSE)/VLOOKUP(A51,Ergebnis_je_Aktie_verwässert!A$3:AK$103,8,FALSE))),""),"")</f>
        <v>0.7287850413199225</v>
      </c>
      <c r="I51" s="71">
        <f>IF(VLOOKUP(A51,Fiktive_Dividende!A$3:AM$103,15,FALSE)&lt;&gt;"",IF(VLOOKUP(A51,Ergebnis_je_Aktie_verwässert!A$3:AK$103,9,FALSE)&lt;&gt;"",IF(VLOOKUP(A51,Ergebnis_je_Aktie_verwässert!A$3:AK$103,9,FALSE)&lt;=0,2,IF(VLOOKUP(A51,Fiktive_Dividende!A$3:AM$103,15,FALSE)/VLOOKUP(A51,Ergebnis_je_Aktie_verwässert!A$3:AK$103,9,FALSE)&gt;=2,2,VLOOKUP(A51,Fiktive_Dividende!A$3:AM$103,15,FALSE)/VLOOKUP(A51,Ergebnis_je_Aktie_verwässert!A$3:AK$103,9,FALSE))),""),"")</f>
        <v>0.4046606492989106</v>
      </c>
      <c r="J51" s="71">
        <f>IF(VLOOKUP(A51,Fiktive_Dividende!A$3:AM$103,16,FALSE)&lt;&gt;"",IF(VLOOKUP(A51,Ergebnis_je_Aktie_verwässert!A$3:AK$103,10,FALSE)&lt;&gt;"",IF(VLOOKUP(A51,Ergebnis_je_Aktie_verwässert!A$3:AK$103,10,FALSE)&lt;=0,2,IF(VLOOKUP(A51,Fiktive_Dividende!A$3:AM$103,16,FALSE)/VLOOKUP(A51,Ergebnis_je_Aktie_verwässert!A$3:AK$103,10,FALSE)&gt;=2,2,VLOOKUP(A51,Fiktive_Dividende!A$3:AM$103,16,FALSE)/VLOOKUP(A51,Ergebnis_je_Aktie_verwässert!A$3:AK$103,10,FALSE))),""),"")</f>
        <v>0.73405917328818571</v>
      </c>
      <c r="K51" s="71">
        <f>IF(VLOOKUP(A51,Fiktive_Dividende!A$3:AM$103,17,FALSE)&lt;&gt;"",IF(VLOOKUP(A51,Ergebnis_je_Aktie_verwässert!A$3:AK$103,11,FALSE)&lt;&gt;"",IF(VLOOKUP(A51,Ergebnis_je_Aktie_verwässert!A$3:AK$103,11,FALSE)&lt;=0,2,IF(VLOOKUP(A51,Fiktive_Dividende!A$3:AM$103,17,FALSE)/VLOOKUP(A51,Ergebnis_je_Aktie_verwässert!A$3:AK$103,11,FALSE)&gt;=2,2,VLOOKUP(A51,Fiktive_Dividende!A$3:AM$103,17,FALSE)/VLOOKUP(A51,Ergebnis_je_Aktie_verwässert!A$3:AK$103,11,FALSE))),""),"")</f>
        <v>0.75401832621235043</v>
      </c>
      <c r="L51" s="71">
        <f>IF(VLOOKUP(A51,Fiktive_Dividende!A$3:AM$103,18,FALSE)&lt;&gt;"",IF(VLOOKUP(A51,Ergebnis_je_Aktie_verwässert!A$3:AK$103,12,FALSE)&lt;&gt;"",IF(VLOOKUP(A51,Ergebnis_je_Aktie_verwässert!A$3:AK$103,12,FALSE)&lt;=0,2,IF(VLOOKUP(A51,Fiktive_Dividende!A$3:AM$103,18,FALSE)/VLOOKUP(A51,Ergebnis_je_Aktie_verwässert!A$3:AK$103,12,FALSE)&gt;=2,2,VLOOKUP(A51,Fiktive_Dividende!A$3:AM$103,18,FALSE)/VLOOKUP(A51,Ergebnis_je_Aktie_verwässert!A$3:AK$103,12,FALSE))),""),"")</f>
        <v>0.71699283630094046</v>
      </c>
      <c r="M51" s="71">
        <f>IF(VLOOKUP(A51,Fiktive_Dividende!A$3:AM$103,19,FALSE)&lt;&gt;"",IF(VLOOKUP(A51,Ergebnis_je_Aktie_verwässert!A$3:AK$103,13,FALSE)&lt;&gt;"",IF(VLOOKUP(A51,Ergebnis_je_Aktie_verwässert!A$3:AK$103,13,FALSE)&lt;=0,2,IF(VLOOKUP(A51,Fiktive_Dividende!A$3:AM$103,19,FALSE)/VLOOKUP(A51,Ergebnis_je_Aktie_verwässert!A$3:AK$103,13,FALSE)&gt;=2,2,VLOOKUP(A51,Fiktive_Dividende!A$3:AM$103,19,FALSE)/VLOOKUP(A51,Ergebnis_je_Aktie_verwässert!A$3:AK$103,13,FALSE))),""),"")</f>
        <v>1.2494213884998866</v>
      </c>
      <c r="N51" s="71">
        <f>IF(VLOOKUP(A51,Fiktive_Dividende!A$3:AM$103,20,FALSE)&lt;&gt;"",IF(VLOOKUP(A51,Ergebnis_je_Aktie_verwässert!A$3:AK$103,14,FALSE)&lt;&gt;"",IF(VLOOKUP(A51,Ergebnis_je_Aktie_verwässert!A$3:AK$103,14,FALSE)&lt;=0,2,IF(VLOOKUP(A51,Fiktive_Dividende!A$3:AM$103,20,FALSE)/VLOOKUP(A51,Ergebnis_je_Aktie_verwässert!A$3:AK$103,14,FALSE)&gt;=2,2,VLOOKUP(A51,Fiktive_Dividende!A$3:AM$103,20,FALSE)/VLOOKUP(A51,Ergebnis_je_Aktie_verwässert!A$3:AK$103,14,FALSE))),""),"")</f>
        <v>0.94248775616116931</v>
      </c>
      <c r="O51" s="71">
        <f>IF(VLOOKUP(A51,Fiktive_Dividende!A$3:AM$103,21,FALSE)&lt;&gt;"",IF(VLOOKUP(A51,Ergebnis_je_Aktie_verwässert!A$3:AK$103,15,FALSE)&lt;&gt;"",IF(VLOOKUP(A51,Ergebnis_je_Aktie_verwässert!A$3:AK$103,15,FALSE)&lt;=0,2,IF(VLOOKUP(A51,Fiktive_Dividende!A$3:AM$103,21,FALSE)/VLOOKUP(A51,Ergebnis_je_Aktie_verwässert!A$3:AK$103,15,FALSE)&gt;=2,2,VLOOKUP(A51,Fiktive_Dividende!A$3:AM$103,21,FALSE)/VLOOKUP(A51,Ergebnis_je_Aktie_verwässert!A$3:AK$103,15,FALSE))),""),"")</f>
        <v>0.44627034677990091</v>
      </c>
      <c r="P51" s="71">
        <f>IF(VLOOKUP(A51,Fiktive_Dividende!A$3:AM$103,22,FALSE)&lt;&gt;"",IF(VLOOKUP(A51,Ergebnis_je_Aktie_verwässert!A$3:AK$103,16,FALSE)&lt;&gt;"",IF(VLOOKUP(A51,Ergebnis_je_Aktie_verwässert!A$3:AK$103,16,FALSE)&lt;=0,2,IF(VLOOKUP(A51,Fiktive_Dividende!A$3:AM$103,22,FALSE)/VLOOKUP(A51,Ergebnis_je_Aktie_verwässert!A$3:AK$103,16,FALSE)&gt;=2,2,VLOOKUP(A51,Fiktive_Dividende!A$3:AM$103,22,FALSE)/VLOOKUP(A51,Ergebnis_je_Aktie_verwässert!A$3:AK$103,16,FALSE))),""),"")</f>
        <v>0.92621199486308947</v>
      </c>
      <c r="Q51" s="71">
        <f>IF(VLOOKUP(A51,Fiktive_Dividende!A$3:AM$103,23,FALSE)&lt;&gt;"",IF(VLOOKUP(A51,Ergebnis_je_Aktie_verwässert!A$3:AK$103,17,FALSE)&lt;&gt;"",IF(VLOOKUP(A51,Ergebnis_je_Aktie_verwässert!A$3:AK$103,17,FALSE)&lt;=0,2,IF(VLOOKUP(A51,Fiktive_Dividende!A$3:AM$103,23,FALSE)/VLOOKUP(A51,Ergebnis_je_Aktie_verwässert!A$3:AK$103,17,FALSE)&gt;=2,2,VLOOKUP(A51,Fiktive_Dividende!A$3:AM$103,23,FALSE)/VLOOKUP(A51,Ergebnis_je_Aktie_verwässert!A$3:AK$103,17,FALSE))),""),"")</f>
        <v>0.39200947565031208</v>
      </c>
      <c r="R51" s="71">
        <f>IF(VLOOKUP(A51,Fiktive_Dividende!A$3:AM$103,24,FALSE)&lt;&gt;"",IF(VLOOKUP(A51,Ergebnis_je_Aktie_verwässert!A$3:AK$103,18,FALSE)&lt;&gt;"",IF(VLOOKUP(A51,Ergebnis_je_Aktie_verwässert!A$3:AK$103,18,FALSE)&lt;=0,2,IF(VLOOKUP(A51,Fiktive_Dividende!A$3:AM$103,24,FALSE)/VLOOKUP(A51,Ergebnis_je_Aktie_verwässert!A$3:AK$103,18,FALSE)&gt;=2,2,VLOOKUP(A51,Fiktive_Dividende!A$3:AM$103,24,FALSE)/VLOOKUP(A51,Ergebnis_je_Aktie_verwässert!A$3:AK$103,18,FALSE))),""),"")</f>
        <v>0.50891311748580026</v>
      </c>
      <c r="S51" s="105">
        <f t="shared" si="7"/>
        <v>0.6731188330720197</v>
      </c>
      <c r="T51" s="71">
        <f>IF(VLOOKUP(A51,Dividende_je_Aktie!A$3:AM$103,6,FALSE)&lt;&gt;"",IF(VLOOKUP(A51,Ergebnis_je_Aktie_verwässert!A$3:AK$103,6,FALSE)&lt;&gt;"",IF(VLOOKUP(A51,Ergebnis_je_Aktie_verwässert!A$3:AK$103,6,FALSE)&lt;=0,2,IF(VLOOKUP(A51,Dividende_je_Aktie!A$3:AM$103,6,FALSE)/VLOOKUP(A51,Ergebnis_je_Aktie_verwässert!A$3:AK$103,6,FALSE)&gt;=2,2,VLOOKUP(A51,Dividende_je_Aktie!A$3:AM$103,6,FALSE)/VLOOKUP(A51,Ergebnis_je_Aktie_verwässert!A$3:AK$103,6,FALSE))),""),"")</f>
        <v>0.46938775510204078</v>
      </c>
      <c r="U51" s="71">
        <f>IF(VLOOKUP(A51,Dividende_je_Aktie!A$3:AM$103,7,FALSE)&lt;&gt;"",IF(VLOOKUP(A51,Ergebnis_je_Aktie_verwässert!A$3:AK$103,7,FALSE)&lt;&gt;"",IF(VLOOKUP(A51,Ergebnis_je_Aktie_verwässert!A$3:AK$103,7,FALSE)&lt;=0,2,IF(VLOOKUP(A51,Dividende_je_Aktie!A$3:AM$103,7,FALSE)/VLOOKUP(A51,Ergebnis_je_Aktie_verwässert!A$3:AK$103,7,FALSE)&gt;=2,2,VLOOKUP(A51,Dividende_je_Aktie!A$3:AM$103,7,FALSE)/VLOOKUP(A51,Ergebnis_je_Aktie_verwässert!A$3:AK$103,7,FALSE))),""),"")</f>
        <v>0.47732696897374699</v>
      </c>
      <c r="V51" s="71">
        <f>IF(VLOOKUP(A51,Dividende_je_Aktie!A$3:AM$103,8,FALSE)&lt;&gt;"",IF(VLOOKUP(A51,Ergebnis_je_Aktie_verwässert!A$3:AK$103,8,FALSE)&lt;&gt;"",IF(VLOOKUP(A51,Ergebnis_je_Aktie_verwässert!A$3:AK$103,8,FALSE)&lt;=0,2,IF(VLOOKUP(A51,Dividende_je_Aktie!A$3:AM$103,8,FALSE)/VLOOKUP(A51,Ergebnis_je_Aktie_verwässert!A$3:AK$103,8,FALSE)&gt;=2,2,VLOOKUP(A51,Dividende_je_Aktie!A$3:AM$103,8,FALSE)/VLOOKUP(A51,Ergebnis_je_Aktie_verwässert!A$3:AK$103,8,FALSE))),""),"")</f>
        <v>0.42701525054466233</v>
      </c>
      <c r="W51" s="71">
        <f>IF(VLOOKUP(A51,Dividende_je_Aktie!A$3:AM$103,9,FALSE)&lt;&gt;"",IF(VLOOKUP(A51,Ergebnis_je_Aktie_verwässert!A$3:AK$103,9,FALSE)&lt;&gt;"",IF(VLOOKUP(A51,Ergebnis_je_Aktie_verwässert!A$3:AK$103,9,FALSE)&lt;=0,2,IF(VLOOKUP(A51,Dividende_je_Aktie!A$3:AM$103,9,FALSE)/VLOOKUP(A51,Ergebnis_je_Aktie_verwässert!A$3:AK$103,9,FALSE)&gt;=2,2,VLOOKUP(A51,Dividende_je_Aktie!A$3:AM$103,9,FALSE)/VLOOKUP(A51,Ergebnis_je_Aktie_verwässert!A$3:AK$103,9,FALSE))),""),"")</f>
        <v>0.378698224852071</v>
      </c>
      <c r="X51" s="71">
        <f>IF(VLOOKUP(A51,Dividende_je_Aktie!A$3:AM$103,10,FALSE)&lt;&gt;"",IF(VLOOKUP(A51,Ergebnis_je_Aktie_verwässert!A$3:AK$103,10,FALSE)&lt;&gt;"",IF(VLOOKUP(A51,Ergebnis_je_Aktie_verwässert!A$3:AK$103,10,FALSE)&lt;=0,2,IF(VLOOKUP(A51,Dividende_je_Aktie!A$3:AM$103,10,FALSE)/VLOOKUP(A51,Ergebnis_je_Aktie_verwässert!A$3:AK$103,10,FALSE)&gt;=2,2,VLOOKUP(A51,Dividende_je_Aktie!A$3:AM$103,10,FALSE)/VLOOKUP(A51,Ergebnis_je_Aktie_verwässert!A$3:AK$103,10,FALSE))),""),"")</f>
        <v>0.3679060665362035</v>
      </c>
      <c r="Y51" s="71">
        <f>IF(VLOOKUP(A51,Dividende_je_Aktie!A$3:AM$103,11,FALSE)&lt;&gt;"",IF(VLOOKUP(A51,Ergebnis_je_Aktie_verwässert!A$3:AK$103,11,FALSE)&lt;&gt;"",IF(VLOOKUP(A51,Ergebnis_je_Aktie_verwässert!A$3:AK$103,11,FALSE)&lt;=0,2,IF(VLOOKUP(A51,Dividende_je_Aktie!A$3:AM$103,11,FALSE)/VLOOKUP(A51,Ergebnis_je_Aktie_verwässert!A$3:AK$103,11,FALSE)&gt;=2,2,VLOOKUP(A51,Dividende_je_Aktie!A$3:AM$103,11,FALSE)/VLOOKUP(A51,Ergebnis_je_Aktie_verwässert!A$3:AK$103,11,FALSE))),""),"")</f>
        <v>0.31673306772908372</v>
      </c>
      <c r="Z51" s="71">
        <f>IF(VLOOKUP(A51,Dividende_je_Aktie!A$3:AM$103,12,FALSE)&lt;&gt;"",IF(VLOOKUP(A51,Ergebnis_je_Aktie_verwässert!A$3:AK$103,12,FALSE)&lt;&gt;"",IF(VLOOKUP(A51,Ergebnis_je_Aktie_verwässert!A$3:AK$103,12,FALSE)&lt;=0,2,IF(VLOOKUP(A51,Dividende_je_Aktie!A$3:AM$103,12,FALSE)/VLOOKUP(A51,Ergebnis_je_Aktie_verwässert!A$3:AK$103,12,FALSE)&gt;=2,2,VLOOKUP(A51,Dividende_je_Aktie!A$3:AM$103,12,FALSE)/VLOOKUP(A51,Ergebnis_je_Aktie_verwässert!A$3:AK$103,12,FALSE))),""),"")</f>
        <v>0.32516703786191536</v>
      </c>
      <c r="AA51" s="71">
        <f>IF(VLOOKUP(A51,Dividende_je_Aktie!A$3:AM$103,13,FALSE)&lt;&gt;"",IF(VLOOKUP(A51,Ergebnis_je_Aktie_verwässert!A$3:AK$103,13,FALSE)&lt;&gt;"",IF(VLOOKUP(A51,Ergebnis_je_Aktie_verwässert!A$3:AK$103,13,FALSE)&lt;=0,2,IF(VLOOKUP(A51,Dividende_je_Aktie!A$3:AM$103,13,FALSE)/VLOOKUP(A51,Ergebnis_je_Aktie_verwässert!A$3:AK$103,13,FALSE)&gt;=2,2,VLOOKUP(A51,Dividende_je_Aktie!A$3:AM$103,13,FALSE)/VLOOKUP(A51,Ergebnis_je_Aktie_verwässert!A$3:AK$103,13,FALSE))),""),"")</f>
        <v>0.29729729729729726</v>
      </c>
      <c r="AB51" s="71">
        <f>IF(VLOOKUP(A51,Dividende_je_Aktie!A$3:AM$103,14,FALSE)&lt;&gt;"",IF(VLOOKUP(A51,Ergebnis_je_Aktie_verwässert!A$3:AK$103,14,FALSE)&lt;&gt;"",IF(VLOOKUP(A51,Ergebnis_je_Aktie_verwässert!A$3:AK$103,14,FALSE)&lt;=0,2,IF(VLOOKUP(A51,Dividende_je_Aktie!A$3:AM$103,14,FALSE)/VLOOKUP(A51,Ergebnis_je_Aktie_verwässert!A$3:AK$103,14,FALSE)&gt;=2,2,VLOOKUP(A51,Dividende_je_Aktie!A$3:AM$103,14,FALSE)/VLOOKUP(A51,Ergebnis_je_Aktie_verwässert!A$3:AK$103,14,FALSE))),""),"")</f>
        <v>0.29781420765027322</v>
      </c>
      <c r="AC51" s="71">
        <f>IF(VLOOKUP(A51,Dividende_je_Aktie!A$3:AM$103,15,FALSE)&lt;&gt;"",IF(VLOOKUP(A51,Ergebnis_je_Aktie_verwässert!A$3:AK$103,15,FALSE)&lt;&gt;"",IF(VLOOKUP(A51,Ergebnis_je_Aktie_verwässert!A$3:AK$103,15,FALSE)&lt;=0,2,IF(VLOOKUP(A51,Dividende_je_Aktie!A$3:AM$103,15,FALSE)/VLOOKUP(A51,Ergebnis_je_Aktie_verwässert!A$3:AK$103,15,FALSE)&gt;=2,2,VLOOKUP(A51,Dividende_je_Aktie!A$3:AM$103,15,FALSE)/VLOOKUP(A51,Ergebnis_je_Aktie_verwässert!A$3:AK$103,15,FALSE))),""),"")</f>
        <v>0.27777777777777779</v>
      </c>
      <c r="AD51" s="71">
        <f>IF(VLOOKUP(A51,Dividende_je_Aktie!A$3:AM$103,16,FALSE)&lt;&gt;"",IF(VLOOKUP(A51,Ergebnis_je_Aktie_verwässert!A$3:AK$103,16,FALSE)&lt;&gt;"",IF(VLOOKUP(A51,Ergebnis_je_Aktie_verwässert!A$3:AK$103,16,FALSE)&lt;=0,2,IF(VLOOKUP(A51,Dividende_je_Aktie!A$3:AM$103,16,FALSE)/VLOOKUP(A51,Ergebnis_je_Aktie_verwässert!A$3:AK$103,16,FALSE)&gt;=2,2,VLOOKUP(A51,Dividende_je_Aktie!A$3:AM$103,16,FALSE)/VLOOKUP(A51,Ergebnis_je_Aktie_verwässert!A$3:AK$103,16,FALSE))),""),"")</f>
        <v>0.28115015974440893</v>
      </c>
      <c r="AE51" s="71">
        <f>IF(VLOOKUP(A51,Dividende_je_Aktie!A$3:AM$103,17,FALSE)&lt;&gt;"",IF(VLOOKUP(A51,Ergebnis_je_Aktie_verwässert!A$3:AK$103,17,FALSE)&lt;&gt;"",IF(VLOOKUP(A51,Ergebnis_je_Aktie_verwässert!A$3:AK$103,17,FALSE)&lt;=0,2,IF(VLOOKUP(A51,Dividende_je_Aktie!A$3:AM$103,17,FALSE)/VLOOKUP(A51,Ergebnis_je_Aktie_verwässert!A$3:AK$103,17,FALSE)&gt;=2,2,VLOOKUP(A51,Dividende_je_Aktie!A$3:AM$103,17,FALSE)/VLOOKUP(A51,Ergebnis_je_Aktie_verwässert!A$3:AK$103,17,FALSE))),""),"")</f>
        <v>0.24723247232472326</v>
      </c>
      <c r="AF51" s="71">
        <f>IF(VLOOKUP(A51,Dividende_je_Aktie!A$3:AM$103,18,FALSE)&lt;&gt;"",IF(VLOOKUP(A51,Ergebnis_je_Aktie_verwässert!A$3:AK$103,18,FALSE)&lt;&gt;"",IF(VLOOKUP(A51,Ergebnis_je_Aktie_verwässert!A$3:AK$103,18,FALSE)&lt;=0,2,IF(VLOOKUP(A51,Dividende_je_Aktie!A$3:AM$103,18,FALSE)/VLOOKUP(A51,Ergebnis_je_Aktie_verwässert!A$3:AK$103,18,FALSE)&gt;=2,2,VLOOKUP(A51,Dividende_je_Aktie!A$3:AM$103,18,FALSE)/VLOOKUP(A51,Ergebnis_je_Aktie_verwässert!A$3:AK$103,18,FALSE))),""),"")</f>
        <v>0.22388059701492535</v>
      </c>
      <c r="AG51" s="105">
        <f t="shared" si="8"/>
        <v>0.33749129872377925</v>
      </c>
      <c r="AH51" s="4">
        <f t="shared" ca="1" si="9"/>
        <v>78</v>
      </c>
      <c r="AI51" s="4">
        <f t="shared" ca="1" si="10"/>
        <v>282</v>
      </c>
      <c r="AJ51" s="4">
        <f t="shared" ca="1" si="11"/>
        <v>0</v>
      </c>
      <c r="AK51" s="10">
        <f t="shared" ca="1" si="12"/>
        <v>0.47560680596821059</v>
      </c>
      <c r="AL51" s="5">
        <f t="shared" ca="1" si="13"/>
        <v>0.40924168346477097</v>
      </c>
    </row>
    <row r="52" spans="1:38">
      <c r="A52" t="s">
        <v>74</v>
      </c>
      <c r="B52" t="s">
        <v>75</v>
      </c>
      <c r="C52" s="60">
        <v>31</v>
      </c>
      <c r="D52" s="60">
        <v>12</v>
      </c>
      <c r="E52" s="60">
        <v>2016</v>
      </c>
      <c r="F52" s="71">
        <f>IF(VLOOKUP(A52,Dividende_je_Aktie!A$3:AM$103,6,FALSE)&lt;&gt;"",IF(VLOOKUP(A52,Ergebnis_je_Aktie_verwässert!A$3:AK$103,6,FALSE)&lt;&gt;"",IF(VLOOKUP(A52,Ergebnis_je_Aktie_verwässert!A$3:AK$103,6,FALSE)&lt;=0,2,IF(VLOOKUP(A52,Dividende_je_Aktie!A$3:AM$103,6,FALSE)/VLOOKUP(A52,Ergebnis_je_Aktie_verwässert!A$3:AK$103,6,FALSE)&gt;=2,2,VLOOKUP(A52,Dividende_je_Aktie!A$3:AM$103,6,FALSE)/VLOOKUP(A52,Ergebnis_je_Aktie_verwässert!A$3:AK$103,6,FALSE))),""),"")</f>
        <v>0.85902255639097747</v>
      </c>
      <c r="G52" s="71">
        <f>IF(VLOOKUP(A52,Dividende_je_Aktie!A$3:AM$103,7,FALSE)&lt;&gt;"",IF(VLOOKUP(A52,Ergebnis_je_Aktie_verwässert!A$3:AK$103,7,FALSE)&lt;&gt;"",IF(VLOOKUP(A52,Ergebnis_je_Aktie_verwässert!A$3:AK$103,7,FALSE)&lt;=0,2,IF(VLOOKUP(A52,Dividende_je_Aktie!A$3:AM$103,7,FALSE)/VLOOKUP(A52,Ergebnis_je_Aktie_verwässert!A$3:AK$103,7,FALSE)&gt;=2,2,VLOOKUP(A52,Dividende_je_Aktie!A$3:AM$103,7,FALSE)/VLOOKUP(A52,Ergebnis_je_Aktie_verwässert!A$3:AK$103,7,FALSE))),""),"")</f>
        <v>0.81510934393638157</v>
      </c>
      <c r="H52" s="71">
        <f>IF(VLOOKUP(A52,Fiktive_Dividende!A$3:AM$103,14,FALSE)&lt;&gt;"",IF(VLOOKUP(A52,Ergebnis_je_Aktie_verwässert!A$3:AK$103,8,FALSE)&lt;&gt;"",IF(VLOOKUP(A52,Ergebnis_je_Aktie_verwässert!A$3:AK$103,8,FALSE)&lt;=0,2,IF(VLOOKUP(A52,Fiktive_Dividende!A$3:AM$103,14,FALSE)/VLOOKUP(A52,Ergebnis_je_Aktie_verwässert!A$3:AK$103,8,FALSE)&gt;=2,2,VLOOKUP(A52,Fiktive_Dividende!A$3:AM$103,14,FALSE)/VLOOKUP(A52,Ergebnis_je_Aktie_verwässert!A$3:AK$103,8,FALSE))),""),"")</f>
        <v>0.85454545454545439</v>
      </c>
      <c r="I52" s="71">
        <f>IF(VLOOKUP(A52,Fiktive_Dividende!A$3:AM$103,15,FALSE)&lt;&gt;"",IF(VLOOKUP(A52,Ergebnis_je_Aktie_verwässert!A$3:AK$103,9,FALSE)&lt;&gt;"",IF(VLOOKUP(A52,Ergebnis_je_Aktie_verwässert!A$3:AK$103,9,FALSE)&lt;=0,2,IF(VLOOKUP(A52,Fiktive_Dividende!A$3:AM$103,15,FALSE)/VLOOKUP(A52,Ergebnis_je_Aktie_verwässert!A$3:AK$103,9,FALSE)&gt;=2,2,VLOOKUP(A52,Fiktive_Dividende!A$3:AM$103,15,FALSE)/VLOOKUP(A52,Ergebnis_je_Aktie_verwässert!A$3:AK$103,9,FALSE))),""),"")</f>
        <v>0.72580645161290325</v>
      </c>
      <c r="J52" s="71">
        <f>IF(VLOOKUP(A52,Fiktive_Dividende!A$3:AM$103,16,FALSE)&lt;&gt;"",IF(VLOOKUP(A52,Ergebnis_je_Aktie_verwässert!A$3:AK$103,10,FALSE)&lt;&gt;"",IF(VLOOKUP(A52,Ergebnis_je_Aktie_verwässert!A$3:AK$103,10,FALSE)&lt;=0,2,IF(VLOOKUP(A52,Fiktive_Dividende!A$3:AM$103,16,FALSE)/VLOOKUP(A52,Ergebnis_je_Aktie_verwässert!A$3:AK$103,10,FALSE)&gt;=2,2,VLOOKUP(A52,Fiktive_Dividende!A$3:AM$103,16,FALSE)/VLOOKUP(A52,Ergebnis_je_Aktie_verwässert!A$3:AK$103,10,FALSE))),""),"")</f>
        <v>0.54151624548736466</v>
      </c>
      <c r="K52" s="71">
        <f>IF(VLOOKUP(A52,Fiktive_Dividende!A$3:AM$103,17,FALSE)&lt;&gt;"",IF(VLOOKUP(A52,Ergebnis_je_Aktie_verwässert!A$3:AK$103,11,FALSE)&lt;&gt;"",IF(VLOOKUP(A52,Ergebnis_je_Aktie_verwässert!A$3:AK$103,11,FALSE)&lt;=0,2,IF(VLOOKUP(A52,Fiktive_Dividende!A$3:AM$103,17,FALSE)/VLOOKUP(A52,Ergebnis_je_Aktie_verwässert!A$3:AK$103,11,FALSE)&gt;=2,2,VLOOKUP(A52,Fiktive_Dividende!A$3:AM$103,17,FALSE)/VLOOKUP(A52,Ergebnis_je_Aktie_verwässert!A$3:AK$103,11,FALSE))),""),"")</f>
        <v>0.41751527494908347</v>
      </c>
      <c r="L52" s="71">
        <f>IF(VLOOKUP(A52,Fiktive_Dividende!A$3:AM$103,18,FALSE)&lt;&gt;"",IF(VLOOKUP(A52,Ergebnis_je_Aktie_verwässert!A$3:AK$103,12,FALSE)&lt;&gt;"",IF(VLOOKUP(A52,Ergebnis_je_Aktie_verwässert!A$3:AK$103,12,FALSE)&lt;=0,2,IF(VLOOKUP(A52,Fiktive_Dividende!A$3:AM$103,18,FALSE)/VLOOKUP(A52,Ergebnis_je_Aktie_verwässert!A$3:AK$103,12,FALSE)&gt;=2,2,VLOOKUP(A52,Fiktive_Dividende!A$3:AM$103,18,FALSE)/VLOOKUP(A52,Ergebnis_je_Aktie_verwässert!A$3:AK$103,12,FALSE))),""),"")</f>
        <v>0.50112359550561791</v>
      </c>
      <c r="M52" s="71">
        <f>IF(VLOOKUP(A52,Fiktive_Dividende!A$3:AM$103,19,FALSE)&lt;&gt;"",IF(VLOOKUP(A52,Ergebnis_je_Aktie_verwässert!A$3:AK$103,13,FALSE)&lt;&gt;"",IF(VLOOKUP(A52,Ergebnis_je_Aktie_verwässert!A$3:AK$103,13,FALSE)&lt;=0,2,IF(VLOOKUP(A52,Fiktive_Dividende!A$3:AM$103,19,FALSE)/VLOOKUP(A52,Ergebnis_je_Aktie_verwässert!A$3:AK$103,13,FALSE)&gt;=2,2,VLOOKUP(A52,Fiktive_Dividende!A$3:AM$103,19,FALSE)/VLOOKUP(A52,Ergebnis_je_Aktie_verwässert!A$3:AK$103,13,FALSE))),""),"")</f>
        <v>0.4269972451790634</v>
      </c>
      <c r="N52" s="71">
        <f>IF(VLOOKUP(A52,Fiktive_Dividende!A$3:AM$103,20,FALSE)&lt;&gt;"",IF(VLOOKUP(A52,Ergebnis_je_Aktie_verwässert!A$3:AK$103,14,FALSE)&lt;&gt;"",IF(VLOOKUP(A52,Ergebnis_je_Aktie_verwässert!A$3:AK$103,14,FALSE)&lt;=0,2,IF(VLOOKUP(A52,Fiktive_Dividende!A$3:AM$103,20,FALSE)/VLOOKUP(A52,Ergebnis_je_Aktie_verwässert!A$3:AK$103,14,FALSE)&gt;=2,2,VLOOKUP(A52,Fiktive_Dividende!A$3:AM$103,20,FALSE)/VLOOKUP(A52,Ergebnis_je_Aktie_verwässert!A$3:AK$103,14,FALSE))),""),"")</f>
        <v>0.33753943217665616</v>
      </c>
      <c r="O52" s="71">
        <f>IF(VLOOKUP(A52,Fiktive_Dividende!A$3:AM$103,21,FALSE)&lt;&gt;"",IF(VLOOKUP(A52,Ergebnis_je_Aktie_verwässert!A$3:AK$103,15,FALSE)&lt;&gt;"",IF(VLOOKUP(A52,Ergebnis_je_Aktie_verwässert!A$3:AK$103,15,FALSE)&lt;=0,2,IF(VLOOKUP(A52,Fiktive_Dividende!A$3:AM$103,21,FALSE)/VLOOKUP(A52,Ergebnis_je_Aktie_verwässert!A$3:AK$103,15,FALSE)&gt;=2,2,VLOOKUP(A52,Fiktive_Dividende!A$3:AM$103,21,FALSE)/VLOOKUP(A52,Ergebnis_je_Aktie_verwässert!A$3:AK$103,15,FALSE))),""),"")</f>
        <v>0.22177419354838712</v>
      </c>
      <c r="P52" s="71">
        <f>IF(VLOOKUP(A52,Fiktive_Dividende!A$3:AM$103,22,FALSE)&lt;&gt;"",IF(VLOOKUP(A52,Ergebnis_je_Aktie_verwässert!A$3:AK$103,16,FALSE)&lt;&gt;"",IF(VLOOKUP(A52,Ergebnis_je_Aktie_verwässert!A$3:AK$103,16,FALSE)&lt;=0,2,IF(VLOOKUP(A52,Fiktive_Dividende!A$3:AM$103,22,FALSE)/VLOOKUP(A52,Ergebnis_je_Aktie_verwässert!A$3:AK$103,16,FALSE)&gt;=2,2,VLOOKUP(A52,Fiktive_Dividende!A$3:AM$103,22,FALSE)/VLOOKUP(A52,Ergebnis_je_Aktie_verwässert!A$3:AK$103,16,FALSE))),""),"")</f>
        <v>0.13944223107569723</v>
      </c>
      <c r="Q52" s="71">
        <f>IF(VLOOKUP(A52,Fiktive_Dividende!A$3:AM$103,23,FALSE)&lt;&gt;"",IF(VLOOKUP(A52,Ergebnis_je_Aktie_verwässert!A$3:AK$103,17,FALSE)&lt;&gt;"",IF(VLOOKUP(A52,Ergebnis_je_Aktie_verwässert!A$3:AK$103,17,FALSE)&lt;=0,2,IF(VLOOKUP(A52,Fiktive_Dividende!A$3:AM$103,23,FALSE)/VLOOKUP(A52,Ergebnis_je_Aktie_verwässert!A$3:AK$103,17,FALSE)&gt;=2,2,VLOOKUP(A52,Fiktive_Dividende!A$3:AM$103,23,FALSE)/VLOOKUP(A52,Ergebnis_je_Aktie_verwässert!A$3:AK$103,17,FALSE))),""),"")</f>
        <v>0.24904214559386975</v>
      </c>
      <c r="R52" s="71">
        <f>IF(VLOOKUP(A52,Fiktive_Dividende!A$3:AM$103,24,FALSE)&lt;&gt;"",IF(VLOOKUP(A52,Ergebnis_je_Aktie_verwässert!A$3:AK$103,18,FALSE)&lt;&gt;"",IF(VLOOKUP(A52,Ergebnis_je_Aktie_verwässert!A$3:AK$103,18,FALSE)&lt;=0,2,IF(VLOOKUP(A52,Fiktive_Dividende!A$3:AM$103,24,FALSE)/VLOOKUP(A52,Ergebnis_je_Aktie_verwässert!A$3:AK$103,18,FALSE)&gt;=2,2,VLOOKUP(A52,Fiktive_Dividende!A$3:AM$103,24,FALSE)/VLOOKUP(A52,Ergebnis_je_Aktie_verwässert!A$3:AK$103,18,FALSE))),""),"")</f>
        <v>0.48469387755102039</v>
      </c>
      <c r="S52" s="105">
        <f t="shared" si="7"/>
        <v>0.50570215750403669</v>
      </c>
      <c r="T52" s="71">
        <f>IF(VLOOKUP(A52,Dividende_je_Aktie!A$3:AM$103,6,FALSE)&lt;&gt;"",IF(VLOOKUP(A52,Ergebnis_je_Aktie_verwässert!A$3:AK$103,6,FALSE)&lt;&gt;"",IF(VLOOKUP(A52,Ergebnis_je_Aktie_verwässert!A$3:AK$103,6,FALSE)&lt;=0,2,IF(VLOOKUP(A52,Dividende_je_Aktie!A$3:AM$103,6,FALSE)/VLOOKUP(A52,Ergebnis_je_Aktie_verwässert!A$3:AK$103,6,FALSE)&gt;=2,2,VLOOKUP(A52,Dividende_je_Aktie!A$3:AM$103,6,FALSE)/VLOOKUP(A52,Ergebnis_je_Aktie_verwässert!A$3:AK$103,6,FALSE))),""),"")</f>
        <v>0.85902255639097747</v>
      </c>
      <c r="U52" s="71">
        <f>IF(VLOOKUP(A52,Dividende_je_Aktie!A$3:AM$103,7,FALSE)&lt;&gt;"",IF(VLOOKUP(A52,Ergebnis_je_Aktie_verwässert!A$3:AK$103,7,FALSE)&lt;&gt;"",IF(VLOOKUP(A52,Ergebnis_je_Aktie_verwässert!A$3:AK$103,7,FALSE)&lt;=0,2,IF(VLOOKUP(A52,Dividende_je_Aktie!A$3:AM$103,7,FALSE)/VLOOKUP(A52,Ergebnis_je_Aktie_verwässert!A$3:AK$103,7,FALSE)&gt;=2,2,VLOOKUP(A52,Dividende_je_Aktie!A$3:AM$103,7,FALSE)/VLOOKUP(A52,Ergebnis_je_Aktie_verwässert!A$3:AK$103,7,FALSE))),""),"")</f>
        <v>0.81510934393638157</v>
      </c>
      <c r="V52" s="71">
        <f>IF(VLOOKUP(A52,Dividende_je_Aktie!A$3:AM$103,8,FALSE)&lt;&gt;"",IF(VLOOKUP(A52,Ergebnis_je_Aktie_verwässert!A$3:AK$103,8,FALSE)&lt;&gt;"",IF(VLOOKUP(A52,Ergebnis_je_Aktie_verwässert!A$3:AK$103,8,FALSE)&lt;=0,2,IF(VLOOKUP(A52,Dividende_je_Aktie!A$3:AM$103,8,FALSE)/VLOOKUP(A52,Ergebnis_je_Aktie_verwässert!A$3:AK$103,8,FALSE)&gt;=2,2,VLOOKUP(A52,Dividende_je_Aktie!A$3:AM$103,8,FALSE)/VLOOKUP(A52,Ergebnis_je_Aktie_verwässert!A$3:AK$103,8,FALSE))),""),"")</f>
        <v>0.85454545454545439</v>
      </c>
      <c r="W52" s="71">
        <f>IF(VLOOKUP(A52,Dividende_je_Aktie!A$3:AM$103,9,FALSE)&lt;&gt;"",IF(VLOOKUP(A52,Ergebnis_je_Aktie_verwässert!A$3:AK$103,9,FALSE)&lt;&gt;"",IF(VLOOKUP(A52,Ergebnis_je_Aktie_verwässert!A$3:AK$103,9,FALSE)&lt;=0,2,IF(VLOOKUP(A52,Dividende_je_Aktie!A$3:AM$103,9,FALSE)/VLOOKUP(A52,Ergebnis_je_Aktie_verwässert!A$3:AK$103,9,FALSE)&gt;=2,2,VLOOKUP(A52,Dividende_je_Aktie!A$3:AM$103,9,FALSE)/VLOOKUP(A52,Ergebnis_je_Aktie_verwässert!A$3:AK$103,9,FALSE))),""),"")</f>
        <v>0.72580645161290325</v>
      </c>
      <c r="X52" s="71">
        <f>IF(VLOOKUP(A52,Dividende_je_Aktie!A$3:AM$103,10,FALSE)&lt;&gt;"",IF(VLOOKUP(A52,Ergebnis_je_Aktie_verwässert!A$3:AK$103,10,FALSE)&lt;&gt;"",IF(VLOOKUP(A52,Ergebnis_je_Aktie_verwässert!A$3:AK$103,10,FALSE)&lt;=0,2,IF(VLOOKUP(A52,Dividende_je_Aktie!A$3:AM$103,10,FALSE)/VLOOKUP(A52,Ergebnis_je_Aktie_verwässert!A$3:AK$103,10,FALSE)&gt;=2,2,VLOOKUP(A52,Dividende_je_Aktie!A$3:AM$103,10,FALSE)/VLOOKUP(A52,Ergebnis_je_Aktie_verwässert!A$3:AK$103,10,FALSE))),""),"")</f>
        <v>0.54151624548736466</v>
      </c>
      <c r="Y52" s="71">
        <f>IF(VLOOKUP(A52,Dividende_je_Aktie!A$3:AM$103,11,FALSE)&lt;&gt;"",IF(VLOOKUP(A52,Ergebnis_je_Aktie_verwässert!A$3:AK$103,11,FALSE)&lt;&gt;"",IF(VLOOKUP(A52,Ergebnis_je_Aktie_verwässert!A$3:AK$103,11,FALSE)&lt;=0,2,IF(VLOOKUP(A52,Dividende_je_Aktie!A$3:AM$103,11,FALSE)/VLOOKUP(A52,Ergebnis_je_Aktie_verwässert!A$3:AK$103,11,FALSE)&gt;=2,2,VLOOKUP(A52,Dividende_je_Aktie!A$3:AM$103,11,FALSE)/VLOOKUP(A52,Ergebnis_je_Aktie_verwässert!A$3:AK$103,11,FALSE))),""),"")</f>
        <v>0.41751527494908347</v>
      </c>
      <c r="Z52" s="71">
        <f>IF(VLOOKUP(A52,Dividende_je_Aktie!A$3:AM$103,12,FALSE)&lt;&gt;"",IF(VLOOKUP(A52,Ergebnis_je_Aktie_verwässert!A$3:AK$103,12,FALSE)&lt;&gt;"",IF(VLOOKUP(A52,Ergebnis_je_Aktie_verwässert!A$3:AK$103,12,FALSE)&lt;=0,2,IF(VLOOKUP(A52,Dividende_je_Aktie!A$3:AM$103,12,FALSE)/VLOOKUP(A52,Ergebnis_je_Aktie_verwässert!A$3:AK$103,12,FALSE)&gt;=2,2,VLOOKUP(A52,Dividende_je_Aktie!A$3:AM$103,12,FALSE)/VLOOKUP(A52,Ergebnis_je_Aktie_verwässert!A$3:AK$103,12,FALSE))),""),"")</f>
        <v>0.50112359550561791</v>
      </c>
      <c r="AA52" s="71">
        <f>IF(VLOOKUP(A52,Dividende_je_Aktie!A$3:AM$103,13,FALSE)&lt;&gt;"",IF(VLOOKUP(A52,Ergebnis_je_Aktie_verwässert!A$3:AK$103,13,FALSE)&lt;&gt;"",IF(VLOOKUP(A52,Ergebnis_je_Aktie_verwässert!A$3:AK$103,13,FALSE)&lt;=0,2,IF(VLOOKUP(A52,Dividende_je_Aktie!A$3:AM$103,13,FALSE)/VLOOKUP(A52,Ergebnis_je_Aktie_verwässert!A$3:AK$103,13,FALSE)&gt;=2,2,VLOOKUP(A52,Dividende_je_Aktie!A$3:AM$103,13,FALSE)/VLOOKUP(A52,Ergebnis_je_Aktie_verwässert!A$3:AK$103,13,FALSE))),""),"")</f>
        <v>0.4269972451790634</v>
      </c>
      <c r="AB52" s="71">
        <f>IF(VLOOKUP(A52,Dividende_je_Aktie!A$3:AM$103,14,FALSE)&lt;&gt;"",IF(VLOOKUP(A52,Ergebnis_je_Aktie_verwässert!A$3:AK$103,14,FALSE)&lt;&gt;"",IF(VLOOKUP(A52,Ergebnis_je_Aktie_verwässert!A$3:AK$103,14,FALSE)&lt;=0,2,IF(VLOOKUP(A52,Dividende_je_Aktie!A$3:AM$103,14,FALSE)/VLOOKUP(A52,Ergebnis_je_Aktie_verwässert!A$3:AK$103,14,FALSE)&gt;=2,2,VLOOKUP(A52,Dividende_je_Aktie!A$3:AM$103,14,FALSE)/VLOOKUP(A52,Ergebnis_je_Aktie_verwässert!A$3:AK$103,14,FALSE))),""),"")</f>
        <v>0.33753943217665616</v>
      </c>
      <c r="AC52" s="71">
        <f>IF(VLOOKUP(A52,Dividende_je_Aktie!A$3:AM$103,15,FALSE)&lt;&gt;"",IF(VLOOKUP(A52,Ergebnis_je_Aktie_verwässert!A$3:AK$103,15,FALSE)&lt;&gt;"",IF(VLOOKUP(A52,Ergebnis_je_Aktie_verwässert!A$3:AK$103,15,FALSE)&lt;=0,2,IF(VLOOKUP(A52,Dividende_je_Aktie!A$3:AM$103,15,FALSE)/VLOOKUP(A52,Ergebnis_je_Aktie_verwässert!A$3:AK$103,15,FALSE)&gt;=2,2,VLOOKUP(A52,Dividende_je_Aktie!A$3:AM$103,15,FALSE)/VLOOKUP(A52,Ergebnis_je_Aktie_verwässert!A$3:AK$103,15,FALSE))),""),"")</f>
        <v>0.22177419354838712</v>
      </c>
      <c r="AD52" s="71">
        <f>IF(VLOOKUP(A52,Dividende_je_Aktie!A$3:AM$103,16,FALSE)&lt;&gt;"",IF(VLOOKUP(A52,Ergebnis_je_Aktie_verwässert!A$3:AK$103,16,FALSE)&lt;&gt;"",IF(VLOOKUP(A52,Ergebnis_je_Aktie_verwässert!A$3:AK$103,16,FALSE)&lt;=0,2,IF(VLOOKUP(A52,Dividende_je_Aktie!A$3:AM$103,16,FALSE)/VLOOKUP(A52,Ergebnis_je_Aktie_verwässert!A$3:AK$103,16,FALSE)&gt;=2,2,VLOOKUP(A52,Dividende_je_Aktie!A$3:AM$103,16,FALSE)/VLOOKUP(A52,Ergebnis_je_Aktie_verwässert!A$3:AK$103,16,FALSE))),""),"")</f>
        <v>0.13944223107569723</v>
      </c>
      <c r="AE52" s="71">
        <f>IF(VLOOKUP(A52,Dividende_je_Aktie!A$3:AM$103,17,FALSE)&lt;&gt;"",IF(VLOOKUP(A52,Ergebnis_je_Aktie_verwässert!A$3:AK$103,17,FALSE)&lt;&gt;"",IF(VLOOKUP(A52,Ergebnis_je_Aktie_verwässert!A$3:AK$103,17,FALSE)&lt;=0,2,IF(VLOOKUP(A52,Dividende_je_Aktie!A$3:AM$103,17,FALSE)/VLOOKUP(A52,Ergebnis_je_Aktie_verwässert!A$3:AK$103,17,FALSE)&gt;=2,2,VLOOKUP(A52,Dividende_je_Aktie!A$3:AM$103,17,FALSE)/VLOOKUP(A52,Ergebnis_je_Aktie_verwässert!A$3:AK$103,17,FALSE))),""),"")</f>
        <v>0.24904214559386975</v>
      </c>
      <c r="AF52" s="71">
        <f>IF(VLOOKUP(A52,Dividende_je_Aktie!A$3:AM$103,18,FALSE)&lt;&gt;"",IF(VLOOKUP(A52,Ergebnis_je_Aktie_verwässert!A$3:AK$103,18,FALSE)&lt;&gt;"",IF(VLOOKUP(A52,Ergebnis_je_Aktie_verwässert!A$3:AK$103,18,FALSE)&lt;=0,2,IF(VLOOKUP(A52,Dividende_je_Aktie!A$3:AM$103,18,FALSE)/VLOOKUP(A52,Ergebnis_je_Aktie_verwässert!A$3:AK$103,18,FALSE)&gt;=2,2,VLOOKUP(A52,Dividende_je_Aktie!A$3:AM$103,18,FALSE)/VLOOKUP(A52,Ergebnis_je_Aktie_verwässert!A$3:AK$103,18,FALSE))),""),"")</f>
        <v>0.48469387755102039</v>
      </c>
      <c r="AG52" s="105">
        <f t="shared" si="8"/>
        <v>0.50570215750403669</v>
      </c>
      <c r="AH52" s="4">
        <f t="shared" ca="1" si="9"/>
        <v>0</v>
      </c>
      <c r="AI52" s="4">
        <f t="shared" ca="1" si="10"/>
        <v>108</v>
      </c>
      <c r="AJ52" s="4">
        <f t="shared" ca="1" si="11"/>
        <v>252</v>
      </c>
      <c r="AK52" s="10">
        <f t="shared" ca="1" si="12"/>
        <v>0.84271462136273256</v>
      </c>
      <c r="AL52" s="5">
        <f t="shared" ca="1" si="13"/>
        <v>0.66642480926335712</v>
      </c>
    </row>
    <row r="53" spans="1:38">
      <c r="A53" t="s">
        <v>76</v>
      </c>
      <c r="B53" t="s">
        <v>77</v>
      </c>
      <c r="C53" s="60">
        <v>31</v>
      </c>
      <c r="D53" s="60">
        <v>12</v>
      </c>
      <c r="E53" s="60">
        <v>2016</v>
      </c>
      <c r="F53" s="71">
        <f>IF(VLOOKUP(A53,Dividende_je_Aktie!A$3:AM$103,6,FALSE)&lt;&gt;"",IF(VLOOKUP(A53,Ergebnis_je_Aktie_verwässert!A$3:AK$103,6,FALSE)&lt;&gt;"",IF(VLOOKUP(A53,Ergebnis_je_Aktie_verwässert!A$3:AK$103,6,FALSE)&lt;=0,2,IF(VLOOKUP(A53,Dividende_je_Aktie!A$3:AM$103,6,FALSE)/VLOOKUP(A53,Ergebnis_je_Aktie_verwässert!A$3:AK$103,6,FALSE)&gt;=2,2,VLOOKUP(A53,Dividende_je_Aktie!A$3:AM$103,6,FALSE)/VLOOKUP(A53,Ergebnis_je_Aktie_verwässert!A$3:AK$103,6,FALSE))),""),"")</f>
        <v>0.42153110047846892</v>
      </c>
      <c r="G53" s="71">
        <f>IF(VLOOKUP(A53,Dividende_je_Aktie!A$3:AM$103,7,FALSE)&lt;&gt;"",IF(VLOOKUP(A53,Ergebnis_je_Aktie_verwässert!A$3:AK$103,7,FALSE)&lt;&gt;"",IF(VLOOKUP(A53,Ergebnis_je_Aktie_verwässert!A$3:AK$103,7,FALSE)&lt;=0,2,IF(VLOOKUP(A53,Dividende_je_Aktie!A$3:AM$103,7,FALSE)/VLOOKUP(A53,Ergebnis_je_Aktie_verwässert!A$3:AK$103,7,FALSE)&gt;=2,2,VLOOKUP(A53,Dividende_je_Aktie!A$3:AM$103,7,FALSE)/VLOOKUP(A53,Ergebnis_je_Aktie_verwässert!A$3:AK$103,7,FALSE))),""),"")</f>
        <v>0.431301652892562</v>
      </c>
      <c r="H53" s="71">
        <f>IF(VLOOKUP(A53,Fiktive_Dividende!A$3:AM$103,14,FALSE)&lt;&gt;"",IF(VLOOKUP(A53,Ergebnis_je_Aktie_verwässert!A$3:AK$103,8,FALSE)&lt;&gt;"",IF(VLOOKUP(A53,Ergebnis_je_Aktie_verwässert!A$3:AK$103,8,FALSE)&lt;=0,2,IF(VLOOKUP(A53,Fiktive_Dividende!A$3:AM$103,14,FALSE)/VLOOKUP(A53,Ergebnis_je_Aktie_verwässert!A$3:AK$103,8,FALSE)&gt;=2,2,VLOOKUP(A53,Fiktive_Dividende!A$3:AM$103,14,FALSE)/VLOOKUP(A53,Ergebnis_je_Aktie_verwässert!A$3:AK$103,8,FALSE))),""),"")</f>
        <v>0.44633730834752983</v>
      </c>
      <c r="I53" s="71">
        <f>IF(VLOOKUP(A53,Fiktive_Dividende!A$3:AM$103,15,FALSE)&lt;&gt;"",IF(VLOOKUP(A53,Ergebnis_je_Aktie_verwässert!A$3:AK$103,9,FALSE)&lt;&gt;"",IF(VLOOKUP(A53,Ergebnis_je_Aktie_verwässert!A$3:AK$103,9,FALSE)&lt;=0,2,IF(VLOOKUP(A53,Fiktive_Dividende!A$3:AM$103,15,FALSE)/VLOOKUP(A53,Ergebnis_je_Aktie_verwässert!A$3:AK$103,9,FALSE)&gt;=2,2,VLOOKUP(A53,Fiktive_Dividende!A$3:AM$103,15,FALSE)/VLOOKUP(A53,Ergebnis_je_Aktie_verwässert!A$3:AK$103,9,FALSE))),""),"")</f>
        <v>0.49627791563275436</v>
      </c>
      <c r="J53" s="71">
        <f>IF(VLOOKUP(A53,Fiktive_Dividende!A$3:AM$103,16,FALSE)&lt;&gt;"",IF(VLOOKUP(A53,Ergebnis_je_Aktie_verwässert!A$3:AK$103,10,FALSE)&lt;&gt;"",IF(VLOOKUP(A53,Ergebnis_je_Aktie_verwässert!A$3:AK$103,10,FALSE)&lt;=0,2,IF(VLOOKUP(A53,Fiktive_Dividende!A$3:AM$103,16,FALSE)/VLOOKUP(A53,Ergebnis_je_Aktie_verwässert!A$3:AK$103,10,FALSE)&gt;=2,2,VLOOKUP(A53,Fiktive_Dividende!A$3:AM$103,16,FALSE)/VLOOKUP(A53,Ergebnis_je_Aktie_verwässert!A$3:AK$103,10,FALSE))),""),"")</f>
        <v>0.49657534246575341</v>
      </c>
      <c r="K53" s="71">
        <f>IF(VLOOKUP(A53,Fiktive_Dividende!A$3:AM$103,17,FALSE)&lt;&gt;"",IF(VLOOKUP(A53,Ergebnis_je_Aktie_verwässert!A$3:AK$103,11,FALSE)&lt;&gt;"",IF(VLOOKUP(A53,Ergebnis_je_Aktie_verwässert!A$3:AK$103,11,FALSE)&lt;=0,2,IF(VLOOKUP(A53,Fiktive_Dividende!A$3:AM$103,17,FALSE)/VLOOKUP(A53,Ergebnis_je_Aktie_verwässert!A$3:AK$103,11,FALSE)&gt;=2,2,VLOOKUP(A53,Fiktive_Dividende!A$3:AM$103,17,FALSE)/VLOOKUP(A53,Ergebnis_je_Aktie_verwässert!A$3:AK$103,11,FALSE))),""),"")</f>
        <v>0.49467275494672752</v>
      </c>
      <c r="L53" s="71">
        <f>IF(VLOOKUP(A53,Fiktive_Dividende!A$3:AM$103,18,FALSE)&lt;&gt;"",IF(VLOOKUP(A53,Ergebnis_je_Aktie_verwässert!A$3:AK$103,12,FALSE)&lt;&gt;"",IF(VLOOKUP(A53,Ergebnis_je_Aktie_verwässert!A$3:AK$103,12,FALSE)&lt;=0,2,IF(VLOOKUP(A53,Fiktive_Dividende!A$3:AM$103,18,FALSE)/VLOOKUP(A53,Ergebnis_je_Aktie_verwässert!A$3:AK$103,12,FALSE)&gt;=2,2,VLOOKUP(A53,Fiktive_Dividende!A$3:AM$103,18,FALSE)/VLOOKUP(A53,Ergebnis_je_Aktie_verwässert!A$3:AK$103,12,FALSE))),""),"")</f>
        <v>0.48441449031171019</v>
      </c>
      <c r="M53" s="71">
        <f>IF(VLOOKUP(A53,Fiktive_Dividende!A$3:AM$103,19,FALSE)&lt;&gt;"",IF(VLOOKUP(A53,Ergebnis_je_Aktie_verwässert!A$3:AK$103,13,FALSE)&lt;&gt;"",IF(VLOOKUP(A53,Ergebnis_je_Aktie_verwässert!A$3:AK$103,13,FALSE)&lt;=0,2,IF(VLOOKUP(A53,Fiktive_Dividende!A$3:AM$103,19,FALSE)/VLOOKUP(A53,Ergebnis_je_Aktie_verwässert!A$3:AK$103,13,FALSE)&gt;=2,2,VLOOKUP(A53,Fiktive_Dividende!A$3:AM$103,19,FALSE)/VLOOKUP(A53,Ergebnis_je_Aktie_verwässert!A$3:AK$103,13,FALSE))),""),"")</f>
        <v>0.46382189239332094</v>
      </c>
      <c r="N53" s="71">
        <f>IF(VLOOKUP(A53,Fiktive_Dividende!A$3:AM$103,20,FALSE)&lt;&gt;"",IF(VLOOKUP(A53,Ergebnis_je_Aktie_verwässert!A$3:AK$103,14,FALSE)&lt;&gt;"",IF(VLOOKUP(A53,Ergebnis_je_Aktie_verwässert!A$3:AK$103,14,FALSE)&lt;=0,2,IF(VLOOKUP(A53,Fiktive_Dividende!A$3:AM$103,20,FALSE)/VLOOKUP(A53,Ergebnis_je_Aktie_verwässert!A$3:AK$103,14,FALSE)&gt;=2,2,VLOOKUP(A53,Fiktive_Dividende!A$3:AM$103,20,FALSE)/VLOOKUP(A53,Ergebnis_je_Aktie_verwässert!A$3:AK$103,14,FALSE))),""),"")</f>
        <v>0.42654028436018959</v>
      </c>
      <c r="O53" s="71">
        <f>IF(VLOOKUP(A53,Fiktive_Dividende!A$3:AM$103,21,FALSE)&lt;&gt;"",IF(VLOOKUP(A53,Ergebnis_je_Aktie_verwässert!A$3:AK$103,15,FALSE)&lt;&gt;"",IF(VLOOKUP(A53,Ergebnis_je_Aktie_verwässert!A$3:AK$103,15,FALSE)&lt;=0,2,IF(VLOOKUP(A53,Fiktive_Dividende!A$3:AM$103,21,FALSE)/VLOOKUP(A53,Ergebnis_je_Aktie_verwässert!A$3:AK$103,15,FALSE)&gt;=2,2,VLOOKUP(A53,Fiktive_Dividende!A$3:AM$103,21,FALSE)/VLOOKUP(A53,Ergebnis_je_Aktie_verwässert!A$3:AK$103,15,FALSE))),""),"")</f>
        <v>0.47009049241979084</v>
      </c>
      <c r="P53" s="71">
        <f>IF(VLOOKUP(A53,Fiktive_Dividende!A$3:AM$103,22,FALSE)&lt;&gt;"",IF(VLOOKUP(A53,Ergebnis_je_Aktie_verwässert!A$3:AK$103,16,FALSE)&lt;&gt;"",IF(VLOOKUP(A53,Ergebnis_je_Aktie_verwässert!A$3:AK$103,16,FALSE)&lt;=0,2,IF(VLOOKUP(A53,Fiktive_Dividende!A$3:AM$103,22,FALSE)/VLOOKUP(A53,Ergebnis_je_Aktie_verwässert!A$3:AK$103,16,FALSE)&gt;=2,2,VLOOKUP(A53,Fiktive_Dividende!A$3:AM$103,22,FALSE)/VLOOKUP(A53,Ergebnis_je_Aktie_verwässert!A$3:AK$103,16,FALSE))),""),"")</f>
        <v>0.31578947368421051</v>
      </c>
      <c r="Q53" s="71">
        <f>IF(VLOOKUP(A53,Fiktive_Dividende!A$3:AM$103,23,FALSE)&lt;&gt;"",IF(VLOOKUP(A53,Ergebnis_je_Aktie_verwässert!A$3:AK$103,17,FALSE)&lt;&gt;"",IF(VLOOKUP(A53,Ergebnis_je_Aktie_verwässert!A$3:AK$103,17,FALSE)&lt;=0,2,IF(VLOOKUP(A53,Fiktive_Dividende!A$3:AM$103,23,FALSE)/VLOOKUP(A53,Ergebnis_je_Aktie_verwässert!A$3:AK$103,17,FALSE)&gt;=2,2,VLOOKUP(A53,Fiktive_Dividende!A$3:AM$103,23,FALSE)/VLOOKUP(A53,Ergebnis_je_Aktie_verwässert!A$3:AK$103,17,FALSE))),""),"")</f>
        <v>0.30247479376718606</v>
      </c>
      <c r="R53" s="71">
        <f>IF(VLOOKUP(A53,Fiktive_Dividende!A$3:AM$103,24,FALSE)&lt;&gt;"",IF(VLOOKUP(A53,Ergebnis_je_Aktie_verwässert!A$3:AK$103,18,FALSE)&lt;&gt;"",IF(VLOOKUP(A53,Ergebnis_je_Aktie_verwässert!A$3:AK$103,18,FALSE)&lt;=0,2,IF(VLOOKUP(A53,Fiktive_Dividende!A$3:AM$103,24,FALSE)/VLOOKUP(A53,Ergebnis_je_Aktie_verwässert!A$3:AK$103,18,FALSE)&gt;=2,2,VLOOKUP(A53,Fiktive_Dividende!A$3:AM$103,24,FALSE)/VLOOKUP(A53,Ergebnis_je_Aktie_verwässert!A$3:AK$103,18,FALSE))),""),"")</f>
        <v>0.29852366478506293</v>
      </c>
      <c r="S53" s="105">
        <f t="shared" si="7"/>
        <v>0.42679624357578977</v>
      </c>
      <c r="T53" s="71">
        <f>IF(VLOOKUP(A53,Dividende_je_Aktie!A$3:AM$103,6,FALSE)&lt;&gt;"",IF(VLOOKUP(A53,Ergebnis_je_Aktie_verwässert!A$3:AK$103,6,FALSE)&lt;&gt;"",IF(VLOOKUP(A53,Ergebnis_je_Aktie_verwässert!A$3:AK$103,6,FALSE)&lt;=0,2,IF(VLOOKUP(A53,Dividende_je_Aktie!A$3:AM$103,6,FALSE)/VLOOKUP(A53,Ergebnis_je_Aktie_verwässert!A$3:AK$103,6,FALSE)&gt;=2,2,VLOOKUP(A53,Dividende_je_Aktie!A$3:AM$103,6,FALSE)/VLOOKUP(A53,Ergebnis_je_Aktie_verwässert!A$3:AK$103,6,FALSE))),""),"")</f>
        <v>0.42153110047846892</v>
      </c>
      <c r="U53" s="71">
        <f>IF(VLOOKUP(A53,Dividende_je_Aktie!A$3:AM$103,7,FALSE)&lt;&gt;"",IF(VLOOKUP(A53,Ergebnis_je_Aktie_verwässert!A$3:AK$103,7,FALSE)&lt;&gt;"",IF(VLOOKUP(A53,Ergebnis_je_Aktie_verwässert!A$3:AK$103,7,FALSE)&lt;=0,2,IF(VLOOKUP(A53,Dividende_je_Aktie!A$3:AM$103,7,FALSE)/VLOOKUP(A53,Ergebnis_je_Aktie_verwässert!A$3:AK$103,7,FALSE)&gt;=2,2,VLOOKUP(A53,Dividende_je_Aktie!A$3:AM$103,7,FALSE)/VLOOKUP(A53,Ergebnis_je_Aktie_verwässert!A$3:AK$103,7,FALSE))),""),"")</f>
        <v>0.431301652892562</v>
      </c>
      <c r="V53" s="71">
        <f>IF(VLOOKUP(A53,Dividende_je_Aktie!A$3:AM$103,8,FALSE)&lt;&gt;"",IF(VLOOKUP(A53,Ergebnis_je_Aktie_verwässert!A$3:AK$103,8,FALSE)&lt;&gt;"",IF(VLOOKUP(A53,Ergebnis_je_Aktie_verwässert!A$3:AK$103,8,FALSE)&lt;=0,2,IF(VLOOKUP(A53,Dividende_je_Aktie!A$3:AM$103,8,FALSE)/VLOOKUP(A53,Ergebnis_je_Aktie_verwässert!A$3:AK$103,8,FALSE)&gt;=2,2,VLOOKUP(A53,Dividende_je_Aktie!A$3:AM$103,8,FALSE)/VLOOKUP(A53,Ergebnis_je_Aktie_verwässert!A$3:AK$103,8,FALSE))),""),"")</f>
        <v>0.44633730834752983</v>
      </c>
      <c r="W53" s="71">
        <f>IF(VLOOKUP(A53,Dividende_je_Aktie!A$3:AM$103,9,FALSE)&lt;&gt;"",IF(VLOOKUP(A53,Ergebnis_je_Aktie_verwässert!A$3:AK$103,9,FALSE)&lt;&gt;"",IF(VLOOKUP(A53,Ergebnis_je_Aktie_verwässert!A$3:AK$103,9,FALSE)&lt;=0,2,IF(VLOOKUP(A53,Dividende_je_Aktie!A$3:AM$103,9,FALSE)/VLOOKUP(A53,Ergebnis_je_Aktie_verwässert!A$3:AK$103,9,FALSE)&gt;=2,2,VLOOKUP(A53,Dividende_je_Aktie!A$3:AM$103,9,FALSE)/VLOOKUP(A53,Ergebnis_je_Aktie_verwässert!A$3:AK$103,9,FALSE))),""),"")</f>
        <v>0.49627791563275436</v>
      </c>
      <c r="X53" s="71">
        <f>IF(VLOOKUP(A53,Dividende_je_Aktie!A$3:AM$103,10,FALSE)&lt;&gt;"",IF(VLOOKUP(A53,Ergebnis_je_Aktie_verwässert!A$3:AK$103,10,FALSE)&lt;&gt;"",IF(VLOOKUP(A53,Ergebnis_je_Aktie_verwässert!A$3:AK$103,10,FALSE)&lt;=0,2,IF(VLOOKUP(A53,Dividende_je_Aktie!A$3:AM$103,10,FALSE)/VLOOKUP(A53,Ergebnis_je_Aktie_verwässert!A$3:AK$103,10,FALSE)&gt;=2,2,VLOOKUP(A53,Dividende_je_Aktie!A$3:AM$103,10,FALSE)/VLOOKUP(A53,Ergebnis_je_Aktie_verwässert!A$3:AK$103,10,FALSE))),""),"")</f>
        <v>0.49657534246575341</v>
      </c>
      <c r="Y53" s="71">
        <f>IF(VLOOKUP(A53,Dividende_je_Aktie!A$3:AM$103,11,FALSE)&lt;&gt;"",IF(VLOOKUP(A53,Ergebnis_je_Aktie_verwässert!A$3:AK$103,11,FALSE)&lt;&gt;"",IF(VLOOKUP(A53,Ergebnis_je_Aktie_verwässert!A$3:AK$103,11,FALSE)&lt;=0,2,IF(VLOOKUP(A53,Dividende_je_Aktie!A$3:AM$103,11,FALSE)/VLOOKUP(A53,Ergebnis_je_Aktie_verwässert!A$3:AK$103,11,FALSE)&gt;=2,2,VLOOKUP(A53,Dividende_je_Aktie!A$3:AM$103,11,FALSE)/VLOOKUP(A53,Ergebnis_je_Aktie_verwässert!A$3:AK$103,11,FALSE))),""),"")</f>
        <v>0.49467275494672752</v>
      </c>
      <c r="Z53" s="71">
        <f>IF(VLOOKUP(A53,Dividende_je_Aktie!A$3:AM$103,12,FALSE)&lt;&gt;"",IF(VLOOKUP(A53,Ergebnis_je_Aktie_verwässert!A$3:AK$103,12,FALSE)&lt;&gt;"",IF(VLOOKUP(A53,Ergebnis_je_Aktie_verwässert!A$3:AK$103,12,FALSE)&lt;=0,2,IF(VLOOKUP(A53,Dividende_je_Aktie!A$3:AM$103,12,FALSE)/VLOOKUP(A53,Ergebnis_je_Aktie_verwässert!A$3:AK$103,12,FALSE)&gt;=2,2,VLOOKUP(A53,Dividende_je_Aktie!A$3:AM$103,12,FALSE)/VLOOKUP(A53,Ergebnis_je_Aktie_verwässert!A$3:AK$103,12,FALSE))),""),"")</f>
        <v>0.48441449031171019</v>
      </c>
      <c r="AA53" s="71">
        <f>IF(VLOOKUP(A53,Dividende_je_Aktie!A$3:AM$103,13,FALSE)&lt;&gt;"",IF(VLOOKUP(A53,Ergebnis_je_Aktie_verwässert!A$3:AK$103,13,FALSE)&lt;&gt;"",IF(VLOOKUP(A53,Ergebnis_je_Aktie_verwässert!A$3:AK$103,13,FALSE)&lt;=0,2,IF(VLOOKUP(A53,Dividende_je_Aktie!A$3:AM$103,13,FALSE)/VLOOKUP(A53,Ergebnis_je_Aktie_verwässert!A$3:AK$103,13,FALSE)&gt;=2,2,VLOOKUP(A53,Dividende_je_Aktie!A$3:AM$103,13,FALSE)/VLOOKUP(A53,Ergebnis_je_Aktie_verwässert!A$3:AK$103,13,FALSE))),""),"")</f>
        <v>0.46382189239332094</v>
      </c>
      <c r="AB53" s="71">
        <f>IF(VLOOKUP(A53,Dividende_je_Aktie!A$3:AM$103,14,FALSE)&lt;&gt;"",IF(VLOOKUP(A53,Ergebnis_je_Aktie_verwässert!A$3:AK$103,14,FALSE)&lt;&gt;"",IF(VLOOKUP(A53,Ergebnis_je_Aktie_verwässert!A$3:AK$103,14,FALSE)&lt;=0,2,IF(VLOOKUP(A53,Dividende_je_Aktie!A$3:AM$103,14,FALSE)/VLOOKUP(A53,Ergebnis_je_Aktie_verwässert!A$3:AK$103,14,FALSE)&gt;=2,2,VLOOKUP(A53,Dividende_je_Aktie!A$3:AM$103,14,FALSE)/VLOOKUP(A53,Ergebnis_je_Aktie_verwässert!A$3:AK$103,14,FALSE))),""),"")</f>
        <v>0.42654028436018959</v>
      </c>
      <c r="AC53" s="71">
        <f>IF(VLOOKUP(A53,Dividende_je_Aktie!A$3:AM$103,15,FALSE)&lt;&gt;"",IF(VLOOKUP(A53,Ergebnis_je_Aktie_verwässert!A$3:AK$103,15,FALSE)&lt;&gt;"",IF(VLOOKUP(A53,Ergebnis_je_Aktie_verwässert!A$3:AK$103,15,FALSE)&lt;=0,2,IF(VLOOKUP(A53,Dividende_je_Aktie!A$3:AM$103,15,FALSE)/VLOOKUP(A53,Ergebnis_je_Aktie_verwässert!A$3:AK$103,15,FALSE)&gt;=2,2,VLOOKUP(A53,Dividende_je_Aktie!A$3:AM$103,15,FALSE)/VLOOKUP(A53,Ergebnis_je_Aktie_verwässert!A$3:AK$103,15,FALSE))),""),"")</f>
        <v>0.47009049241979084</v>
      </c>
      <c r="AD53" s="71">
        <f>IF(VLOOKUP(A53,Dividende_je_Aktie!A$3:AM$103,16,FALSE)&lt;&gt;"",IF(VLOOKUP(A53,Ergebnis_je_Aktie_verwässert!A$3:AK$103,16,FALSE)&lt;&gt;"",IF(VLOOKUP(A53,Ergebnis_je_Aktie_verwässert!A$3:AK$103,16,FALSE)&lt;=0,2,IF(VLOOKUP(A53,Dividende_je_Aktie!A$3:AM$103,16,FALSE)/VLOOKUP(A53,Ergebnis_je_Aktie_verwässert!A$3:AK$103,16,FALSE)&gt;=2,2,VLOOKUP(A53,Dividende_je_Aktie!A$3:AM$103,16,FALSE)/VLOOKUP(A53,Ergebnis_je_Aktie_verwässert!A$3:AK$103,16,FALSE))),""),"")</f>
        <v>0.31578947368421051</v>
      </c>
      <c r="AE53" s="71">
        <f>IF(VLOOKUP(A53,Dividende_je_Aktie!A$3:AM$103,17,FALSE)&lt;&gt;"",IF(VLOOKUP(A53,Ergebnis_je_Aktie_verwässert!A$3:AK$103,17,FALSE)&lt;&gt;"",IF(VLOOKUP(A53,Ergebnis_je_Aktie_verwässert!A$3:AK$103,17,FALSE)&lt;=0,2,IF(VLOOKUP(A53,Dividende_je_Aktie!A$3:AM$103,17,FALSE)/VLOOKUP(A53,Ergebnis_je_Aktie_verwässert!A$3:AK$103,17,FALSE)&gt;=2,2,VLOOKUP(A53,Dividende_je_Aktie!A$3:AM$103,17,FALSE)/VLOOKUP(A53,Ergebnis_je_Aktie_verwässert!A$3:AK$103,17,FALSE))),""),"")</f>
        <v>0.30247479376718606</v>
      </c>
      <c r="AF53" s="71">
        <f>IF(VLOOKUP(A53,Dividende_je_Aktie!A$3:AM$103,18,FALSE)&lt;&gt;"",IF(VLOOKUP(A53,Ergebnis_je_Aktie_verwässert!A$3:AK$103,18,FALSE)&lt;&gt;"",IF(VLOOKUP(A53,Ergebnis_je_Aktie_verwässert!A$3:AK$103,18,FALSE)&lt;=0,2,IF(VLOOKUP(A53,Dividende_je_Aktie!A$3:AM$103,18,FALSE)/VLOOKUP(A53,Ergebnis_je_Aktie_verwässert!A$3:AK$103,18,FALSE)&gt;=2,2,VLOOKUP(A53,Dividende_je_Aktie!A$3:AM$103,18,FALSE)/VLOOKUP(A53,Ergebnis_je_Aktie_verwässert!A$3:AK$103,18,FALSE))),""),"")</f>
        <v>0.29852366478506293</v>
      </c>
      <c r="AG53" s="105">
        <f t="shared" si="8"/>
        <v>0.42679624357578977</v>
      </c>
      <c r="AH53" s="4">
        <f t="shared" ca="1" si="9"/>
        <v>0</v>
      </c>
      <c r="AI53" s="4">
        <f t="shared" ca="1" si="10"/>
        <v>108</v>
      </c>
      <c r="AJ53" s="4">
        <f t="shared" ca="1" si="11"/>
        <v>252</v>
      </c>
      <c r="AK53" s="10">
        <f t="shared" ca="1" si="12"/>
        <v>0.44182661171103954</v>
      </c>
      <c r="AL53" s="5">
        <f t="shared" ca="1" si="13"/>
        <v>3.521673014111415E-2</v>
      </c>
    </row>
    <row r="54" spans="1:38">
      <c r="A54" t="s">
        <v>79</v>
      </c>
      <c r="B54" t="s">
        <v>80</v>
      </c>
      <c r="C54" s="60">
        <v>31</v>
      </c>
      <c r="D54" s="60">
        <v>12</v>
      </c>
      <c r="E54" s="60">
        <v>2016</v>
      </c>
      <c r="F54" s="71">
        <f>IF(VLOOKUP(A54,Dividende_je_Aktie!A$3:AM$103,6,FALSE)&lt;&gt;"",IF(VLOOKUP(A54,Ergebnis_je_Aktie_verwässert!A$3:AK$103,6,FALSE)&lt;&gt;"",IF(VLOOKUP(A54,Ergebnis_je_Aktie_verwässert!A$3:AK$103,6,FALSE)&lt;=0,2,IF(VLOOKUP(A54,Dividende_je_Aktie!A$3:AM$103,6,FALSE)/VLOOKUP(A54,Ergebnis_je_Aktie_verwässert!A$3:AK$103,6,FALSE)&gt;=2,2,VLOOKUP(A54,Dividende_je_Aktie!A$3:AM$103,6,FALSE)/VLOOKUP(A54,Ergebnis_je_Aktie_verwässert!A$3:AK$103,6,FALSE))),""),"")</f>
        <v>0.32553956834532377</v>
      </c>
      <c r="G54" s="71">
        <f>IF(VLOOKUP(A54,Dividende_je_Aktie!A$3:AM$103,7,FALSE)&lt;&gt;"",IF(VLOOKUP(A54,Ergebnis_je_Aktie_verwässert!A$3:AK$103,7,FALSE)&lt;&gt;"",IF(VLOOKUP(A54,Ergebnis_je_Aktie_verwässert!A$3:AK$103,7,FALSE)&lt;=0,2,IF(VLOOKUP(A54,Dividende_je_Aktie!A$3:AM$103,7,FALSE)/VLOOKUP(A54,Ergebnis_je_Aktie_verwässert!A$3:AK$103,7,FALSE)&gt;=2,2,VLOOKUP(A54,Dividende_je_Aktie!A$3:AM$103,7,FALSE)/VLOOKUP(A54,Ergebnis_je_Aktie_verwässert!A$3:AK$103,7,FALSE))),""),"")</f>
        <v>0.32884615384615384</v>
      </c>
      <c r="H54" s="71">
        <f>IF(VLOOKUP(A54,Fiktive_Dividende!A$3:AM$103,14,FALSE)&lt;&gt;"",IF(VLOOKUP(A54,Ergebnis_je_Aktie_verwässert!A$3:AK$103,8,FALSE)&lt;&gt;"",IF(VLOOKUP(A54,Ergebnis_je_Aktie_verwässert!A$3:AK$103,8,FALSE)&lt;=0,2,IF(VLOOKUP(A54,Fiktive_Dividende!A$3:AM$103,14,FALSE)/VLOOKUP(A54,Ergebnis_je_Aktie_verwässert!A$3:AK$103,8,FALSE)&gt;=2,2,VLOOKUP(A54,Fiktive_Dividende!A$3:AM$103,14,FALSE)/VLOOKUP(A54,Ergebnis_je_Aktie_verwässert!A$3:AK$103,8,FALSE))),""),"")</f>
        <v>0.32371134020618558</v>
      </c>
      <c r="I54" s="71">
        <f>IF(VLOOKUP(A54,Fiktive_Dividende!A$3:AM$103,15,FALSE)&lt;&gt;"",IF(VLOOKUP(A54,Ergebnis_je_Aktie_verwässert!A$3:AK$103,9,FALSE)&lt;&gt;"",IF(VLOOKUP(A54,Ergebnis_je_Aktie_verwässert!A$3:AK$103,9,FALSE)&lt;=0,2,IF(VLOOKUP(A54,Fiktive_Dividende!A$3:AM$103,15,FALSE)/VLOOKUP(A54,Ergebnis_je_Aktie_verwässert!A$3:AK$103,9,FALSE)&gt;=2,2,VLOOKUP(A54,Fiktive_Dividende!A$3:AM$103,15,FALSE)/VLOOKUP(A54,Ergebnis_je_Aktie_verwässert!A$3:AK$103,9,FALSE))),""),"")</f>
        <v>0.30122950819672129</v>
      </c>
      <c r="J54" s="71">
        <f>IF(VLOOKUP(A54,Fiktive_Dividende!A$3:AM$103,16,FALSE)&lt;&gt;"",IF(VLOOKUP(A54,Ergebnis_je_Aktie_verwässert!A$3:AK$103,10,FALSE)&lt;&gt;"",IF(VLOOKUP(A54,Ergebnis_je_Aktie_verwässert!A$3:AK$103,10,FALSE)&lt;=0,2,IF(VLOOKUP(A54,Fiktive_Dividende!A$3:AM$103,16,FALSE)/VLOOKUP(A54,Ergebnis_je_Aktie_verwässert!A$3:AK$103,10,FALSE)&gt;=2,2,VLOOKUP(A54,Fiktive_Dividende!A$3:AM$103,16,FALSE)/VLOOKUP(A54,Ergebnis_je_Aktie_verwässert!A$3:AK$103,10,FALSE))),""),"")</f>
        <v>0.29908675799086759</v>
      </c>
      <c r="K54" s="71">
        <f>IF(VLOOKUP(A54,Fiktive_Dividende!A$3:AM$103,17,FALSE)&lt;&gt;"",IF(VLOOKUP(A54,Ergebnis_je_Aktie_verwässert!A$3:AK$103,11,FALSE)&lt;&gt;"",IF(VLOOKUP(A54,Ergebnis_je_Aktie_verwässert!A$3:AK$103,11,FALSE)&lt;=0,2,IF(VLOOKUP(A54,Fiktive_Dividende!A$3:AM$103,17,FALSE)/VLOOKUP(A54,Ergebnis_je_Aktie_verwässert!A$3:AK$103,11,FALSE)&gt;=2,2,VLOOKUP(A54,Fiktive_Dividende!A$3:AM$103,17,FALSE)/VLOOKUP(A54,Ergebnis_je_Aktie_verwässert!A$3:AK$103,11,FALSE))),""),"")</f>
        <v>0.29975429975429974</v>
      </c>
      <c r="L54" s="71">
        <f>IF(VLOOKUP(A54,Fiktive_Dividende!A$3:AM$103,18,FALSE)&lt;&gt;"",IF(VLOOKUP(A54,Ergebnis_je_Aktie_verwässert!A$3:AK$103,12,FALSE)&lt;&gt;"",IF(VLOOKUP(A54,Ergebnis_je_Aktie_verwässert!A$3:AK$103,12,FALSE)&lt;=0,2,IF(VLOOKUP(A54,Fiktive_Dividende!A$3:AM$103,18,FALSE)/VLOOKUP(A54,Ergebnis_je_Aktie_verwässert!A$3:AK$103,12,FALSE)&gt;=2,2,VLOOKUP(A54,Fiktive_Dividende!A$3:AM$103,18,FALSE)/VLOOKUP(A54,Ergebnis_je_Aktie_verwässert!A$3:AK$103,12,FALSE))),""),"")</f>
        <v>0.26327297082617285</v>
      </c>
      <c r="M54" s="71">
        <f>IF(VLOOKUP(A54,Fiktive_Dividende!A$3:AM$103,19,FALSE)&lt;&gt;"",IF(VLOOKUP(A54,Ergebnis_je_Aktie_verwässert!A$3:AK$103,13,FALSE)&lt;&gt;"",IF(VLOOKUP(A54,Ergebnis_je_Aktie_verwässert!A$3:AK$103,13,FALSE)&lt;=0,2,IF(VLOOKUP(A54,Fiktive_Dividende!A$3:AM$103,19,FALSE)/VLOOKUP(A54,Ergebnis_je_Aktie_verwässert!A$3:AK$103,13,FALSE)&gt;=2,2,VLOOKUP(A54,Fiktive_Dividende!A$3:AM$103,19,FALSE)/VLOOKUP(A54,Ergebnis_je_Aktie_verwässert!A$3:AK$103,13,FALSE))),""),"")</f>
        <v>0.25477707006369427</v>
      </c>
      <c r="N54" s="71">
        <f>IF(VLOOKUP(A54,Fiktive_Dividende!A$3:AM$103,20,FALSE)&lt;&gt;"",IF(VLOOKUP(A54,Ergebnis_je_Aktie_verwässert!A$3:AK$103,14,FALSE)&lt;&gt;"",IF(VLOOKUP(A54,Ergebnis_je_Aktie_verwässert!A$3:AK$103,14,FALSE)&lt;=0,2,IF(VLOOKUP(A54,Fiktive_Dividende!A$3:AM$103,20,FALSE)/VLOOKUP(A54,Ergebnis_je_Aktie_verwässert!A$3:AK$103,14,FALSE)&gt;=2,2,VLOOKUP(A54,Fiktive_Dividende!A$3:AM$103,20,FALSE)/VLOOKUP(A54,Ergebnis_je_Aktie_verwässert!A$3:AK$103,14,FALSE))),""),"")</f>
        <v>0.25531914893617019</v>
      </c>
      <c r="O54" s="71">
        <f>IF(VLOOKUP(A54,Fiktive_Dividende!A$3:AM$103,21,FALSE)&lt;&gt;"",IF(VLOOKUP(A54,Ergebnis_je_Aktie_verwässert!A$3:AK$103,15,FALSE)&lt;&gt;"",IF(VLOOKUP(A54,Ergebnis_je_Aktie_verwässert!A$3:AK$103,15,FALSE)&lt;=0,2,IF(VLOOKUP(A54,Fiktive_Dividende!A$3:AM$103,21,FALSE)/VLOOKUP(A54,Ergebnis_je_Aktie_verwässert!A$3:AK$103,15,FALSE)&gt;=2,2,VLOOKUP(A54,Fiktive_Dividende!A$3:AM$103,21,FALSE)/VLOOKUP(A54,Ergebnis_je_Aktie_verwässert!A$3:AK$103,15,FALSE))),""),"")</f>
        <v>0.27748691099476441</v>
      </c>
      <c r="P54" s="71">
        <f>IF(VLOOKUP(A54,Fiktive_Dividende!A$3:AM$103,22,FALSE)&lt;&gt;"",IF(VLOOKUP(A54,Ergebnis_je_Aktie_verwässert!A$3:AK$103,16,FALSE)&lt;&gt;"",IF(VLOOKUP(A54,Ergebnis_je_Aktie_verwässert!A$3:AK$103,16,FALSE)&lt;=0,2,IF(VLOOKUP(A54,Fiktive_Dividende!A$3:AM$103,22,FALSE)/VLOOKUP(A54,Ergebnis_je_Aktie_verwässert!A$3:AK$103,16,FALSE)&gt;=2,2,VLOOKUP(A54,Fiktive_Dividende!A$3:AM$103,22,FALSE)/VLOOKUP(A54,Ergebnis_je_Aktie_verwässert!A$3:AK$103,16,FALSE))),""),"")</f>
        <v>0.24200913242009134</v>
      </c>
      <c r="Q54" s="71">
        <f>IF(VLOOKUP(A54,Fiktive_Dividende!A$3:AM$103,23,FALSE)&lt;&gt;"",IF(VLOOKUP(A54,Ergebnis_je_Aktie_verwässert!A$3:AK$103,17,FALSE)&lt;&gt;"",IF(VLOOKUP(A54,Ergebnis_je_Aktie_verwässert!A$3:AK$103,17,FALSE)&lt;=0,2,IF(VLOOKUP(A54,Fiktive_Dividende!A$3:AM$103,23,FALSE)/VLOOKUP(A54,Ergebnis_je_Aktie_verwässert!A$3:AK$103,17,FALSE)&gt;=2,2,VLOOKUP(A54,Fiktive_Dividende!A$3:AM$103,23,FALSE)/VLOOKUP(A54,Ergebnis_je_Aktie_verwässert!A$3:AK$103,17,FALSE))),""),"")</f>
        <v>0.24200913242009134</v>
      </c>
      <c r="R54" s="71">
        <f>IF(VLOOKUP(A54,Fiktive_Dividende!A$3:AM$103,24,FALSE)&lt;&gt;"",IF(VLOOKUP(A54,Ergebnis_je_Aktie_verwässert!A$3:AK$103,18,FALSE)&lt;&gt;"",IF(VLOOKUP(A54,Ergebnis_je_Aktie_verwässert!A$3:AK$103,18,FALSE)&lt;=0,2,IF(VLOOKUP(A54,Fiktive_Dividende!A$3:AM$103,24,FALSE)/VLOOKUP(A54,Ergebnis_je_Aktie_verwässert!A$3:AK$103,18,FALSE)&gt;=2,2,VLOOKUP(A54,Fiktive_Dividende!A$3:AM$103,24,FALSE)/VLOOKUP(A54,Ergebnis_je_Aktie_verwässert!A$3:AK$103,18,FALSE))),""),"")</f>
        <v>0.25125628140703515</v>
      </c>
      <c r="S54" s="105">
        <f t="shared" si="7"/>
        <v>0.28186909810827471</v>
      </c>
      <c r="T54" s="71">
        <f>IF(VLOOKUP(A54,Dividende_je_Aktie!A$3:AM$103,6,FALSE)&lt;&gt;"",IF(VLOOKUP(A54,Ergebnis_je_Aktie_verwässert!A$3:AK$103,6,FALSE)&lt;&gt;"",IF(VLOOKUP(A54,Ergebnis_je_Aktie_verwässert!A$3:AK$103,6,FALSE)&lt;=0,2,IF(VLOOKUP(A54,Dividende_je_Aktie!A$3:AM$103,6,FALSE)/VLOOKUP(A54,Ergebnis_je_Aktie_verwässert!A$3:AK$103,6,FALSE)&gt;=2,2,VLOOKUP(A54,Dividende_je_Aktie!A$3:AM$103,6,FALSE)/VLOOKUP(A54,Ergebnis_je_Aktie_verwässert!A$3:AK$103,6,FALSE))),""),"")</f>
        <v>0.32553956834532377</v>
      </c>
      <c r="U54" s="71">
        <f>IF(VLOOKUP(A54,Dividende_je_Aktie!A$3:AM$103,7,FALSE)&lt;&gt;"",IF(VLOOKUP(A54,Ergebnis_je_Aktie_verwässert!A$3:AK$103,7,FALSE)&lt;&gt;"",IF(VLOOKUP(A54,Ergebnis_je_Aktie_verwässert!A$3:AK$103,7,FALSE)&lt;=0,2,IF(VLOOKUP(A54,Dividende_je_Aktie!A$3:AM$103,7,FALSE)/VLOOKUP(A54,Ergebnis_je_Aktie_verwässert!A$3:AK$103,7,FALSE)&gt;=2,2,VLOOKUP(A54,Dividende_je_Aktie!A$3:AM$103,7,FALSE)/VLOOKUP(A54,Ergebnis_je_Aktie_verwässert!A$3:AK$103,7,FALSE))),""),"")</f>
        <v>0.32884615384615384</v>
      </c>
      <c r="V54" s="71">
        <f>IF(VLOOKUP(A54,Dividende_je_Aktie!A$3:AM$103,8,FALSE)&lt;&gt;"",IF(VLOOKUP(A54,Ergebnis_je_Aktie_verwässert!A$3:AK$103,8,FALSE)&lt;&gt;"",IF(VLOOKUP(A54,Ergebnis_je_Aktie_verwässert!A$3:AK$103,8,FALSE)&lt;=0,2,IF(VLOOKUP(A54,Dividende_je_Aktie!A$3:AM$103,8,FALSE)/VLOOKUP(A54,Ergebnis_je_Aktie_verwässert!A$3:AK$103,8,FALSE)&gt;=2,2,VLOOKUP(A54,Dividende_je_Aktie!A$3:AM$103,8,FALSE)/VLOOKUP(A54,Ergebnis_je_Aktie_verwässert!A$3:AK$103,8,FALSE))),""),"")</f>
        <v>0.32371134020618558</v>
      </c>
      <c r="W54" s="71">
        <f>IF(VLOOKUP(A54,Dividende_je_Aktie!A$3:AM$103,9,FALSE)&lt;&gt;"",IF(VLOOKUP(A54,Ergebnis_je_Aktie_verwässert!A$3:AK$103,9,FALSE)&lt;&gt;"",IF(VLOOKUP(A54,Ergebnis_je_Aktie_verwässert!A$3:AK$103,9,FALSE)&lt;=0,2,IF(VLOOKUP(A54,Dividende_je_Aktie!A$3:AM$103,9,FALSE)/VLOOKUP(A54,Ergebnis_je_Aktie_verwässert!A$3:AK$103,9,FALSE)&gt;=2,2,VLOOKUP(A54,Dividende_je_Aktie!A$3:AM$103,9,FALSE)/VLOOKUP(A54,Ergebnis_je_Aktie_verwässert!A$3:AK$103,9,FALSE))),""),"")</f>
        <v>0.30122950819672129</v>
      </c>
      <c r="X54" s="71">
        <f>IF(VLOOKUP(A54,Dividende_je_Aktie!A$3:AM$103,10,FALSE)&lt;&gt;"",IF(VLOOKUP(A54,Ergebnis_je_Aktie_verwässert!A$3:AK$103,10,FALSE)&lt;&gt;"",IF(VLOOKUP(A54,Ergebnis_je_Aktie_verwässert!A$3:AK$103,10,FALSE)&lt;=0,2,IF(VLOOKUP(A54,Dividende_je_Aktie!A$3:AM$103,10,FALSE)/VLOOKUP(A54,Ergebnis_je_Aktie_verwässert!A$3:AK$103,10,FALSE)&gt;=2,2,VLOOKUP(A54,Dividende_je_Aktie!A$3:AM$103,10,FALSE)/VLOOKUP(A54,Ergebnis_je_Aktie_verwässert!A$3:AK$103,10,FALSE))),""),"")</f>
        <v>0.29908675799086759</v>
      </c>
      <c r="Y54" s="71">
        <f>IF(VLOOKUP(A54,Dividende_je_Aktie!A$3:AM$103,11,FALSE)&lt;&gt;"",IF(VLOOKUP(A54,Ergebnis_je_Aktie_verwässert!A$3:AK$103,11,FALSE)&lt;&gt;"",IF(VLOOKUP(A54,Ergebnis_je_Aktie_verwässert!A$3:AK$103,11,FALSE)&lt;=0,2,IF(VLOOKUP(A54,Dividende_je_Aktie!A$3:AM$103,11,FALSE)/VLOOKUP(A54,Ergebnis_je_Aktie_verwässert!A$3:AK$103,11,FALSE)&gt;=2,2,VLOOKUP(A54,Dividende_je_Aktie!A$3:AM$103,11,FALSE)/VLOOKUP(A54,Ergebnis_je_Aktie_verwässert!A$3:AK$103,11,FALSE))),""),"")</f>
        <v>0.29975429975429974</v>
      </c>
      <c r="Z54" s="71">
        <f>IF(VLOOKUP(A54,Dividende_je_Aktie!A$3:AM$103,12,FALSE)&lt;&gt;"",IF(VLOOKUP(A54,Ergebnis_je_Aktie_verwässert!A$3:AK$103,12,FALSE)&lt;&gt;"",IF(VLOOKUP(A54,Ergebnis_je_Aktie_verwässert!A$3:AK$103,12,FALSE)&lt;=0,2,IF(VLOOKUP(A54,Dividende_je_Aktie!A$3:AM$103,12,FALSE)/VLOOKUP(A54,Ergebnis_je_Aktie_verwässert!A$3:AK$103,12,FALSE)&gt;=2,2,VLOOKUP(A54,Dividende_je_Aktie!A$3:AM$103,12,FALSE)/VLOOKUP(A54,Ergebnis_je_Aktie_verwässert!A$3:AK$103,12,FALSE))),""),"")</f>
        <v>0.26170798898071623</v>
      </c>
      <c r="AA54" s="71">
        <f>IF(VLOOKUP(A54,Dividende_je_Aktie!A$3:AM$103,13,FALSE)&lt;&gt;"",IF(VLOOKUP(A54,Ergebnis_je_Aktie_verwässert!A$3:AK$103,13,FALSE)&lt;&gt;"",IF(VLOOKUP(A54,Ergebnis_je_Aktie_verwässert!A$3:AK$103,13,FALSE)&lt;=0,2,IF(VLOOKUP(A54,Dividende_je_Aktie!A$3:AM$103,13,FALSE)/VLOOKUP(A54,Ergebnis_je_Aktie_verwässert!A$3:AK$103,13,FALSE)&gt;=2,2,VLOOKUP(A54,Dividende_je_Aktie!A$3:AM$103,13,FALSE)/VLOOKUP(A54,Ergebnis_je_Aktie_verwässert!A$3:AK$103,13,FALSE))),""),"")</f>
        <v>0.25477707006369427</v>
      </c>
      <c r="AB54" s="71">
        <f>IF(VLOOKUP(A54,Dividende_je_Aktie!A$3:AM$103,14,FALSE)&lt;&gt;"",IF(VLOOKUP(A54,Ergebnis_je_Aktie_verwässert!A$3:AK$103,14,FALSE)&lt;&gt;"",IF(VLOOKUP(A54,Ergebnis_je_Aktie_verwässert!A$3:AK$103,14,FALSE)&lt;=0,2,IF(VLOOKUP(A54,Dividende_je_Aktie!A$3:AM$103,14,FALSE)/VLOOKUP(A54,Ergebnis_je_Aktie_verwässert!A$3:AK$103,14,FALSE)&gt;=2,2,VLOOKUP(A54,Dividende_je_Aktie!A$3:AM$103,14,FALSE)/VLOOKUP(A54,Ergebnis_je_Aktie_verwässert!A$3:AK$103,14,FALSE))),""),"")</f>
        <v>0.25531914893617019</v>
      </c>
      <c r="AC54" s="71">
        <f>IF(VLOOKUP(A54,Dividende_je_Aktie!A$3:AM$103,15,FALSE)&lt;&gt;"",IF(VLOOKUP(A54,Ergebnis_je_Aktie_verwässert!A$3:AK$103,15,FALSE)&lt;&gt;"",IF(VLOOKUP(A54,Ergebnis_je_Aktie_verwässert!A$3:AK$103,15,FALSE)&lt;=0,2,IF(VLOOKUP(A54,Dividende_je_Aktie!A$3:AM$103,15,FALSE)/VLOOKUP(A54,Ergebnis_je_Aktie_verwässert!A$3:AK$103,15,FALSE)&gt;=2,2,VLOOKUP(A54,Dividende_je_Aktie!A$3:AM$103,15,FALSE)/VLOOKUP(A54,Ergebnis_je_Aktie_verwässert!A$3:AK$103,15,FALSE))),""),"")</f>
        <v>0.27748691099476441</v>
      </c>
      <c r="AD54" s="71">
        <f>IF(VLOOKUP(A54,Dividende_je_Aktie!A$3:AM$103,16,FALSE)&lt;&gt;"",IF(VLOOKUP(A54,Ergebnis_je_Aktie_verwässert!A$3:AK$103,16,FALSE)&lt;&gt;"",IF(VLOOKUP(A54,Ergebnis_je_Aktie_verwässert!A$3:AK$103,16,FALSE)&lt;=0,2,IF(VLOOKUP(A54,Dividende_je_Aktie!A$3:AM$103,16,FALSE)/VLOOKUP(A54,Ergebnis_je_Aktie_verwässert!A$3:AK$103,16,FALSE)&gt;=2,2,VLOOKUP(A54,Dividende_je_Aktie!A$3:AM$103,16,FALSE)/VLOOKUP(A54,Ergebnis_je_Aktie_verwässert!A$3:AK$103,16,FALSE))),""),"")</f>
        <v>0.24200913242009134</v>
      </c>
      <c r="AE54" s="71">
        <f>IF(VLOOKUP(A54,Dividende_je_Aktie!A$3:AM$103,17,FALSE)&lt;&gt;"",IF(VLOOKUP(A54,Ergebnis_je_Aktie_verwässert!A$3:AK$103,17,FALSE)&lt;&gt;"",IF(VLOOKUP(A54,Ergebnis_je_Aktie_verwässert!A$3:AK$103,17,FALSE)&lt;=0,2,IF(VLOOKUP(A54,Dividende_je_Aktie!A$3:AM$103,17,FALSE)/VLOOKUP(A54,Ergebnis_je_Aktie_verwässert!A$3:AK$103,17,FALSE)&gt;=2,2,VLOOKUP(A54,Dividende_je_Aktie!A$3:AM$103,17,FALSE)/VLOOKUP(A54,Ergebnis_je_Aktie_verwässert!A$3:AK$103,17,FALSE))),""),"")</f>
        <v>0.24200913242009134</v>
      </c>
      <c r="AF54" s="71">
        <f>IF(VLOOKUP(A54,Dividende_je_Aktie!A$3:AM$103,18,FALSE)&lt;&gt;"",IF(VLOOKUP(A54,Ergebnis_je_Aktie_verwässert!A$3:AK$103,18,FALSE)&lt;&gt;"",IF(VLOOKUP(A54,Ergebnis_je_Aktie_verwässert!A$3:AK$103,18,FALSE)&lt;=0,2,IF(VLOOKUP(A54,Dividende_je_Aktie!A$3:AM$103,18,FALSE)/VLOOKUP(A54,Ergebnis_je_Aktie_verwässert!A$3:AK$103,18,FALSE)&gt;=2,2,VLOOKUP(A54,Dividende_je_Aktie!A$3:AM$103,18,FALSE)/VLOOKUP(A54,Ergebnis_je_Aktie_verwässert!A$3:AK$103,18,FALSE))),""),"")</f>
        <v>0.25125628140703515</v>
      </c>
      <c r="AG54" s="105">
        <f t="shared" si="8"/>
        <v>0.2817487148893934</v>
      </c>
      <c r="AH54" s="4">
        <f t="shared" ca="1" si="9"/>
        <v>0</v>
      </c>
      <c r="AI54" s="4">
        <f t="shared" ca="1" si="10"/>
        <v>108</v>
      </c>
      <c r="AJ54" s="4">
        <f t="shared" ca="1" si="11"/>
        <v>252</v>
      </c>
      <c r="AK54" s="10">
        <f t="shared" ca="1" si="12"/>
        <v>0.32525178429817603</v>
      </c>
      <c r="AL54" s="5">
        <f t="shared" ca="1" si="13"/>
        <v>0.15440379000791782</v>
      </c>
    </row>
    <row r="55" spans="1:38">
      <c r="A55" t="s">
        <v>266</v>
      </c>
      <c r="B55" t="s">
        <v>270</v>
      </c>
      <c r="C55" s="60">
        <v>31</v>
      </c>
      <c r="D55" s="60">
        <v>12</v>
      </c>
      <c r="E55" s="60">
        <v>2016</v>
      </c>
      <c r="F55" s="71">
        <f>IF(VLOOKUP(A55,Dividende_je_Aktie!A$3:AM$103,6,FALSE)&lt;&gt;"",IF(VLOOKUP(A55,Ergebnis_je_Aktie_verwässert!A$3:AK$103,6,FALSE)&lt;&gt;"",IF(VLOOKUP(A55,Ergebnis_je_Aktie_verwässert!A$3:AK$103,6,FALSE)&lt;=0,2,IF(VLOOKUP(A55,Dividende_je_Aktie!A$3:AM$103,6,FALSE)/VLOOKUP(A55,Ergebnis_je_Aktie_verwässert!A$3:AK$103,6,FALSE)&gt;=2,2,VLOOKUP(A55,Dividende_je_Aktie!A$3:AM$103,6,FALSE)/VLOOKUP(A55,Ergebnis_je_Aktie_verwässert!A$3:AK$103,6,FALSE))),""),"")</f>
        <v>0.48310387984981223</v>
      </c>
      <c r="G55" s="71">
        <f>IF(VLOOKUP(A55,Dividende_je_Aktie!A$3:AM$103,7,FALSE)&lt;&gt;"",IF(VLOOKUP(A55,Ergebnis_je_Aktie_verwässert!A$3:AK$103,7,FALSE)&lt;&gt;"",IF(VLOOKUP(A55,Ergebnis_je_Aktie_verwässert!A$3:AK$103,7,FALSE)&lt;=0,2,IF(VLOOKUP(A55,Dividende_je_Aktie!A$3:AM$103,7,FALSE)/VLOOKUP(A55,Ergebnis_je_Aktie_verwässert!A$3:AK$103,7,FALSE)&gt;=2,2,VLOOKUP(A55,Dividende_je_Aktie!A$3:AM$103,7,FALSE)/VLOOKUP(A55,Ergebnis_je_Aktie_verwässert!A$3:AK$103,7,FALSE))),""),"")</f>
        <v>0.50810810810810803</v>
      </c>
      <c r="H55" s="71">
        <f>IF(VLOOKUP(A55,Fiktive_Dividende!A$3:AM$103,14,FALSE)&lt;&gt;"",IF(VLOOKUP(A55,Ergebnis_je_Aktie_verwässert!A$3:AK$103,8,FALSE)&lt;&gt;"",IF(VLOOKUP(A55,Ergebnis_je_Aktie_verwässert!A$3:AK$103,8,FALSE)&lt;=0,2,IF(VLOOKUP(A55,Fiktive_Dividende!A$3:AM$103,14,FALSE)/VLOOKUP(A55,Ergebnis_je_Aktie_verwässert!A$3:AK$103,8,FALSE)&gt;=2,2,VLOOKUP(A55,Fiktive_Dividende!A$3:AM$103,14,FALSE)/VLOOKUP(A55,Ergebnis_je_Aktie_verwässert!A$3:AK$103,8,FALSE))),""),"")</f>
        <v>0.51598837209302328</v>
      </c>
      <c r="I55" s="71">
        <f>IF(VLOOKUP(A55,Fiktive_Dividende!A$3:AM$103,15,FALSE)&lt;&gt;"",IF(VLOOKUP(A55,Ergebnis_je_Aktie_verwässert!A$3:AK$103,9,FALSE)&lt;&gt;"",IF(VLOOKUP(A55,Ergebnis_je_Aktie_verwässert!A$3:AK$103,9,FALSE)&lt;=0,2,IF(VLOOKUP(A55,Fiktive_Dividende!A$3:AM$103,15,FALSE)/VLOOKUP(A55,Ergebnis_je_Aktie_verwässert!A$3:AK$103,9,FALSE)&gt;=2,2,VLOOKUP(A55,Fiktive_Dividende!A$3:AM$103,15,FALSE)/VLOOKUP(A55,Ergebnis_je_Aktie_verwässert!A$3:AK$103,9,FALSE))),""),"")</f>
        <v>0.5582524271844661</v>
      </c>
      <c r="J55" s="71">
        <f>IF(VLOOKUP(A55,Fiktive_Dividende!A$3:AM$103,16,FALSE)&lt;&gt;"",IF(VLOOKUP(A55,Ergebnis_je_Aktie_verwässert!A$3:AK$103,10,FALSE)&lt;&gt;"",IF(VLOOKUP(A55,Ergebnis_je_Aktie_verwässert!A$3:AK$103,10,FALSE)&lt;=0,2,IF(VLOOKUP(A55,Fiktive_Dividende!A$3:AM$103,16,FALSE)/VLOOKUP(A55,Ergebnis_je_Aktie_verwässert!A$3:AK$103,10,FALSE)&gt;=2,2,VLOOKUP(A55,Fiktive_Dividende!A$3:AM$103,16,FALSE)/VLOOKUP(A55,Ergebnis_je_Aktie_verwässert!A$3:AK$103,10,FALSE))),""),"")</f>
        <v>0.44179523141654981</v>
      </c>
      <c r="K55" s="71">
        <f>IF(VLOOKUP(A55,Fiktive_Dividende!A$3:AM$103,17,FALSE)&lt;&gt;"",IF(VLOOKUP(A55,Ergebnis_je_Aktie_verwässert!A$3:AK$103,11,FALSE)&lt;&gt;"",IF(VLOOKUP(A55,Ergebnis_je_Aktie_verwässert!A$3:AK$103,11,FALSE)&lt;=0,2,IF(VLOOKUP(A55,Fiktive_Dividende!A$3:AM$103,17,FALSE)/VLOOKUP(A55,Ergebnis_je_Aktie_verwässert!A$3:AK$103,11,FALSE)&gt;=2,2,VLOOKUP(A55,Fiktive_Dividende!A$3:AM$103,17,FALSE)/VLOOKUP(A55,Ergebnis_je_Aktie_verwässert!A$3:AK$103,11,FALSE))),""),"")</f>
        <v>0.42253521126760568</v>
      </c>
      <c r="L55" s="71">
        <f>IF(VLOOKUP(A55,Fiktive_Dividende!A$3:AM$103,18,FALSE)&lt;&gt;"",IF(VLOOKUP(A55,Ergebnis_je_Aktie_verwässert!A$3:AK$103,12,FALSE)&lt;&gt;"",IF(VLOOKUP(A55,Ergebnis_je_Aktie_verwässert!A$3:AK$103,12,FALSE)&lt;=0,2,IF(VLOOKUP(A55,Fiktive_Dividende!A$3:AM$103,18,FALSE)/VLOOKUP(A55,Ergebnis_je_Aktie_verwässert!A$3:AK$103,12,FALSE)&gt;=2,2,VLOOKUP(A55,Fiktive_Dividende!A$3:AM$103,18,FALSE)/VLOOKUP(A55,Ergebnis_je_Aktie_verwässert!A$3:AK$103,12,FALSE))),""),"")</f>
        <v>0.34220532319391639</v>
      </c>
      <c r="M55" s="71">
        <f>IF(VLOOKUP(A55,Fiktive_Dividende!A$3:AM$103,19,FALSE)&lt;&gt;"",IF(VLOOKUP(A55,Ergebnis_je_Aktie_verwässert!A$3:AK$103,13,FALSE)&lt;&gt;"",IF(VLOOKUP(A55,Ergebnis_je_Aktie_verwässert!A$3:AK$103,13,FALSE)&lt;=0,2,IF(VLOOKUP(A55,Fiktive_Dividende!A$3:AM$103,19,FALSE)/VLOOKUP(A55,Ergebnis_je_Aktie_verwässert!A$3:AK$103,13,FALSE)&gt;=2,2,VLOOKUP(A55,Fiktive_Dividende!A$3:AM$103,19,FALSE)/VLOOKUP(A55,Ergebnis_je_Aktie_verwässert!A$3:AK$103,13,FALSE))),""),"")</f>
        <v>0.32425421530479898</v>
      </c>
      <c r="N55" s="71">
        <f>IF(VLOOKUP(A55,Fiktive_Dividende!A$3:AM$103,20,FALSE)&lt;&gt;"",IF(VLOOKUP(A55,Ergebnis_je_Aktie_verwässert!A$3:AK$103,14,FALSE)&lt;&gt;"",IF(VLOOKUP(A55,Ergebnis_je_Aktie_verwässert!A$3:AK$103,14,FALSE)&lt;=0,2,IF(VLOOKUP(A55,Fiktive_Dividende!A$3:AM$103,20,FALSE)/VLOOKUP(A55,Ergebnis_je_Aktie_verwässert!A$3:AK$103,14,FALSE)&gt;=2,2,VLOOKUP(A55,Fiktive_Dividende!A$3:AM$103,20,FALSE)/VLOOKUP(A55,Ergebnis_je_Aktie_verwässert!A$3:AK$103,14,FALSE))),""),"")</f>
        <v>0.31930333817126272</v>
      </c>
      <c r="O55" s="71">
        <f>IF(VLOOKUP(A55,Fiktive_Dividende!A$3:AM$103,21,FALSE)&lt;&gt;"",IF(VLOOKUP(A55,Ergebnis_je_Aktie_verwässert!A$3:AK$103,15,FALSE)&lt;&gt;"",IF(VLOOKUP(A55,Ergebnis_je_Aktie_verwässert!A$3:AK$103,15,FALSE)&lt;=0,2,IF(VLOOKUP(A55,Fiktive_Dividende!A$3:AM$103,21,FALSE)/VLOOKUP(A55,Ergebnis_je_Aktie_verwässert!A$3:AK$103,15,FALSE)&gt;=2,2,VLOOKUP(A55,Fiktive_Dividende!A$3:AM$103,21,FALSE)/VLOOKUP(A55,Ergebnis_je_Aktie_verwässert!A$3:AK$103,15,FALSE))),""),"")</f>
        <v>0.39301310043668125</v>
      </c>
      <c r="P55" s="71">
        <f>IF(VLOOKUP(A55,Fiktive_Dividende!A$3:AM$103,22,FALSE)&lt;&gt;"",IF(VLOOKUP(A55,Ergebnis_je_Aktie_verwässert!A$3:AK$103,16,FALSE)&lt;&gt;"",IF(VLOOKUP(A55,Ergebnis_je_Aktie_verwässert!A$3:AK$103,16,FALSE)&lt;=0,2,IF(VLOOKUP(A55,Fiktive_Dividende!A$3:AM$103,22,FALSE)/VLOOKUP(A55,Ergebnis_je_Aktie_verwässert!A$3:AK$103,16,FALSE)&gt;=2,2,VLOOKUP(A55,Fiktive_Dividende!A$3:AM$103,22,FALSE)/VLOOKUP(A55,Ergebnis_je_Aktie_verwässert!A$3:AK$103,16,FALSE))),""),"")</f>
        <v>0.32967032967032966</v>
      </c>
      <c r="Q55" s="71">
        <f>IF(VLOOKUP(A55,Fiktive_Dividende!A$3:AM$103,23,FALSE)&lt;&gt;"",IF(VLOOKUP(A55,Ergebnis_je_Aktie_verwässert!A$3:AK$103,17,FALSE)&lt;&gt;"",IF(VLOOKUP(A55,Ergebnis_je_Aktie_verwässert!A$3:AK$103,17,FALSE)&lt;=0,2,IF(VLOOKUP(A55,Fiktive_Dividende!A$3:AM$103,23,FALSE)/VLOOKUP(A55,Ergebnis_je_Aktie_verwässert!A$3:AK$103,17,FALSE)&gt;=2,2,VLOOKUP(A55,Fiktive_Dividende!A$3:AM$103,23,FALSE)/VLOOKUP(A55,Ergebnis_je_Aktie_verwässert!A$3:AK$103,17,FALSE))),""),"")</f>
        <v>0.33864541832669326</v>
      </c>
      <c r="R55" s="71">
        <f>IF(VLOOKUP(A55,Fiktive_Dividende!A$3:AM$103,24,FALSE)&lt;&gt;"",IF(VLOOKUP(A55,Ergebnis_je_Aktie_verwässert!A$3:AK$103,18,FALSE)&lt;&gt;"",IF(VLOOKUP(A55,Ergebnis_je_Aktie_verwässert!A$3:AK$103,18,FALSE)&lt;=0,2,IF(VLOOKUP(A55,Fiktive_Dividende!A$3:AM$103,24,FALSE)/VLOOKUP(A55,Ergebnis_je_Aktie_verwässert!A$3:AK$103,18,FALSE)&gt;=2,2,VLOOKUP(A55,Fiktive_Dividende!A$3:AM$103,24,FALSE)/VLOOKUP(A55,Ergebnis_je_Aktie_verwässert!A$3:AK$103,18,FALSE))),""),"")</f>
        <v>0.32188841201716739</v>
      </c>
      <c r="S55" s="105">
        <f t="shared" si="7"/>
        <v>0.40759718208003187</v>
      </c>
      <c r="T55" s="71">
        <f>IF(VLOOKUP(A55,Dividende_je_Aktie!A$3:AM$103,6,FALSE)&lt;&gt;"",IF(VLOOKUP(A55,Ergebnis_je_Aktie_verwässert!A$3:AK$103,6,FALSE)&lt;&gt;"",IF(VLOOKUP(A55,Ergebnis_je_Aktie_verwässert!A$3:AK$103,6,FALSE)&lt;=0,2,IF(VLOOKUP(A55,Dividende_je_Aktie!A$3:AM$103,6,FALSE)/VLOOKUP(A55,Ergebnis_je_Aktie_verwässert!A$3:AK$103,6,FALSE)&gt;=2,2,VLOOKUP(A55,Dividende_je_Aktie!A$3:AM$103,6,FALSE)/VLOOKUP(A55,Ergebnis_je_Aktie_verwässert!A$3:AK$103,6,FALSE))),""),"")</f>
        <v>0.48310387984981223</v>
      </c>
      <c r="U55" s="71">
        <f>IF(VLOOKUP(A55,Dividende_je_Aktie!A$3:AM$103,7,FALSE)&lt;&gt;"",IF(VLOOKUP(A55,Ergebnis_je_Aktie_verwässert!A$3:AK$103,7,FALSE)&lt;&gt;"",IF(VLOOKUP(A55,Ergebnis_je_Aktie_verwässert!A$3:AK$103,7,FALSE)&lt;=0,2,IF(VLOOKUP(A55,Dividende_je_Aktie!A$3:AM$103,7,FALSE)/VLOOKUP(A55,Ergebnis_je_Aktie_verwässert!A$3:AK$103,7,FALSE)&gt;=2,2,VLOOKUP(A55,Dividende_je_Aktie!A$3:AM$103,7,FALSE)/VLOOKUP(A55,Ergebnis_je_Aktie_verwässert!A$3:AK$103,7,FALSE))),""),"")</f>
        <v>0.50810810810810803</v>
      </c>
      <c r="V55" s="71">
        <f>IF(VLOOKUP(A55,Dividende_je_Aktie!A$3:AM$103,8,FALSE)&lt;&gt;"",IF(VLOOKUP(A55,Ergebnis_je_Aktie_verwässert!A$3:AK$103,8,FALSE)&lt;&gt;"",IF(VLOOKUP(A55,Ergebnis_je_Aktie_verwässert!A$3:AK$103,8,FALSE)&lt;=0,2,IF(VLOOKUP(A55,Dividende_je_Aktie!A$3:AM$103,8,FALSE)/VLOOKUP(A55,Ergebnis_je_Aktie_verwässert!A$3:AK$103,8,FALSE)&gt;=2,2,VLOOKUP(A55,Dividende_je_Aktie!A$3:AM$103,8,FALSE)/VLOOKUP(A55,Ergebnis_je_Aktie_verwässert!A$3:AK$103,8,FALSE))),""),"")</f>
        <v>0.51598837209302328</v>
      </c>
      <c r="W55" s="71">
        <f>IF(VLOOKUP(A55,Dividende_je_Aktie!A$3:AM$103,9,FALSE)&lt;&gt;"",IF(VLOOKUP(A55,Ergebnis_je_Aktie_verwässert!A$3:AK$103,9,FALSE)&lt;&gt;"",IF(VLOOKUP(A55,Ergebnis_je_Aktie_verwässert!A$3:AK$103,9,FALSE)&lt;=0,2,IF(VLOOKUP(A55,Dividende_je_Aktie!A$3:AM$103,9,FALSE)/VLOOKUP(A55,Ergebnis_je_Aktie_verwässert!A$3:AK$103,9,FALSE)&gt;=2,2,VLOOKUP(A55,Dividende_je_Aktie!A$3:AM$103,9,FALSE)/VLOOKUP(A55,Ergebnis_je_Aktie_verwässert!A$3:AK$103,9,FALSE))),""),"")</f>
        <v>0.5582524271844661</v>
      </c>
      <c r="X55" s="71">
        <f>IF(VLOOKUP(A55,Dividende_je_Aktie!A$3:AM$103,10,FALSE)&lt;&gt;"",IF(VLOOKUP(A55,Ergebnis_je_Aktie_verwässert!A$3:AK$103,10,FALSE)&lt;&gt;"",IF(VLOOKUP(A55,Ergebnis_je_Aktie_verwässert!A$3:AK$103,10,FALSE)&lt;=0,2,IF(VLOOKUP(A55,Dividende_je_Aktie!A$3:AM$103,10,FALSE)/VLOOKUP(A55,Ergebnis_je_Aktie_verwässert!A$3:AK$103,10,FALSE)&gt;=2,2,VLOOKUP(A55,Dividende_je_Aktie!A$3:AM$103,10,FALSE)/VLOOKUP(A55,Ergebnis_je_Aktie_verwässert!A$3:AK$103,10,FALSE))),""),"")</f>
        <v>0.44179523141654981</v>
      </c>
      <c r="Y55" s="71">
        <f>IF(VLOOKUP(A55,Dividende_je_Aktie!A$3:AM$103,11,FALSE)&lt;&gt;"",IF(VLOOKUP(A55,Ergebnis_je_Aktie_verwässert!A$3:AK$103,11,FALSE)&lt;&gt;"",IF(VLOOKUP(A55,Ergebnis_je_Aktie_verwässert!A$3:AK$103,11,FALSE)&lt;=0,2,IF(VLOOKUP(A55,Dividende_je_Aktie!A$3:AM$103,11,FALSE)/VLOOKUP(A55,Ergebnis_je_Aktie_verwässert!A$3:AK$103,11,FALSE)&gt;=2,2,VLOOKUP(A55,Dividende_je_Aktie!A$3:AM$103,11,FALSE)/VLOOKUP(A55,Ergebnis_je_Aktie_verwässert!A$3:AK$103,11,FALSE))),""),"")</f>
        <v>0.42253521126760568</v>
      </c>
      <c r="Z55" s="71">
        <f>IF(VLOOKUP(A55,Dividende_je_Aktie!A$3:AM$103,12,FALSE)&lt;&gt;"",IF(VLOOKUP(A55,Ergebnis_je_Aktie_verwässert!A$3:AK$103,12,FALSE)&lt;&gt;"",IF(VLOOKUP(A55,Ergebnis_je_Aktie_verwässert!A$3:AK$103,12,FALSE)&lt;=0,2,IF(VLOOKUP(A55,Dividende_je_Aktie!A$3:AM$103,12,FALSE)/VLOOKUP(A55,Ergebnis_je_Aktie_verwässert!A$3:AK$103,12,FALSE)&gt;=2,2,VLOOKUP(A55,Dividende_je_Aktie!A$3:AM$103,12,FALSE)/VLOOKUP(A55,Ergebnis_je_Aktie_verwässert!A$3:AK$103,12,FALSE))),""),"")</f>
        <v>0.34220532319391639</v>
      </c>
      <c r="AA55" s="71">
        <f>IF(VLOOKUP(A55,Dividende_je_Aktie!A$3:AM$103,13,FALSE)&lt;&gt;"",IF(VLOOKUP(A55,Ergebnis_je_Aktie_verwässert!A$3:AK$103,13,FALSE)&lt;&gt;"",IF(VLOOKUP(A55,Ergebnis_je_Aktie_verwässert!A$3:AK$103,13,FALSE)&lt;=0,2,IF(VLOOKUP(A55,Dividende_je_Aktie!A$3:AM$103,13,FALSE)/VLOOKUP(A55,Ergebnis_je_Aktie_verwässert!A$3:AK$103,13,FALSE)&gt;=2,2,VLOOKUP(A55,Dividende_je_Aktie!A$3:AM$103,13,FALSE)/VLOOKUP(A55,Ergebnis_je_Aktie_verwässert!A$3:AK$103,13,FALSE))),""),"")</f>
        <v>0.32425421530479898</v>
      </c>
      <c r="AB55" s="71">
        <f>IF(VLOOKUP(A55,Dividende_je_Aktie!A$3:AM$103,14,FALSE)&lt;&gt;"",IF(VLOOKUP(A55,Ergebnis_je_Aktie_verwässert!A$3:AK$103,14,FALSE)&lt;&gt;"",IF(VLOOKUP(A55,Ergebnis_je_Aktie_verwässert!A$3:AK$103,14,FALSE)&lt;=0,2,IF(VLOOKUP(A55,Dividende_je_Aktie!A$3:AM$103,14,FALSE)/VLOOKUP(A55,Ergebnis_je_Aktie_verwässert!A$3:AK$103,14,FALSE)&gt;=2,2,VLOOKUP(A55,Dividende_je_Aktie!A$3:AM$103,14,FALSE)/VLOOKUP(A55,Ergebnis_je_Aktie_verwässert!A$3:AK$103,14,FALSE))),""),"")</f>
        <v>0.31930333817126272</v>
      </c>
      <c r="AC55" s="71">
        <f>IF(VLOOKUP(A55,Dividende_je_Aktie!A$3:AM$103,15,FALSE)&lt;&gt;"",IF(VLOOKUP(A55,Ergebnis_je_Aktie_verwässert!A$3:AK$103,15,FALSE)&lt;&gt;"",IF(VLOOKUP(A55,Ergebnis_je_Aktie_verwässert!A$3:AK$103,15,FALSE)&lt;=0,2,IF(VLOOKUP(A55,Dividende_je_Aktie!A$3:AM$103,15,FALSE)/VLOOKUP(A55,Ergebnis_je_Aktie_verwässert!A$3:AK$103,15,FALSE)&gt;=2,2,VLOOKUP(A55,Dividende_je_Aktie!A$3:AM$103,15,FALSE)/VLOOKUP(A55,Ergebnis_je_Aktie_verwässert!A$3:AK$103,15,FALSE))),""),"")</f>
        <v>0.39301310043668125</v>
      </c>
      <c r="AD55" s="71">
        <f>IF(VLOOKUP(A55,Dividende_je_Aktie!A$3:AM$103,16,FALSE)&lt;&gt;"",IF(VLOOKUP(A55,Ergebnis_je_Aktie_verwässert!A$3:AK$103,16,FALSE)&lt;&gt;"",IF(VLOOKUP(A55,Ergebnis_je_Aktie_verwässert!A$3:AK$103,16,FALSE)&lt;=0,2,IF(VLOOKUP(A55,Dividende_je_Aktie!A$3:AM$103,16,FALSE)/VLOOKUP(A55,Ergebnis_je_Aktie_verwässert!A$3:AK$103,16,FALSE)&gt;=2,2,VLOOKUP(A55,Dividende_je_Aktie!A$3:AM$103,16,FALSE)/VLOOKUP(A55,Ergebnis_je_Aktie_verwässert!A$3:AK$103,16,FALSE))),""),"")</f>
        <v>0.32967032967032966</v>
      </c>
      <c r="AE55" s="71">
        <f>IF(VLOOKUP(A55,Dividende_je_Aktie!A$3:AM$103,17,FALSE)&lt;&gt;"",IF(VLOOKUP(A55,Ergebnis_je_Aktie_verwässert!A$3:AK$103,17,FALSE)&lt;&gt;"",IF(VLOOKUP(A55,Ergebnis_je_Aktie_verwässert!A$3:AK$103,17,FALSE)&lt;=0,2,IF(VLOOKUP(A55,Dividende_je_Aktie!A$3:AM$103,17,FALSE)/VLOOKUP(A55,Ergebnis_je_Aktie_verwässert!A$3:AK$103,17,FALSE)&gt;=2,2,VLOOKUP(A55,Dividende_je_Aktie!A$3:AM$103,17,FALSE)/VLOOKUP(A55,Ergebnis_je_Aktie_verwässert!A$3:AK$103,17,FALSE))),""),"")</f>
        <v>0.33864541832669326</v>
      </c>
      <c r="AF55" s="71">
        <f>IF(VLOOKUP(A55,Dividende_je_Aktie!A$3:AM$103,18,FALSE)&lt;&gt;"",IF(VLOOKUP(A55,Ergebnis_je_Aktie_verwässert!A$3:AK$103,18,FALSE)&lt;&gt;"",IF(VLOOKUP(A55,Ergebnis_je_Aktie_verwässert!A$3:AK$103,18,FALSE)&lt;=0,2,IF(VLOOKUP(A55,Dividende_je_Aktie!A$3:AM$103,18,FALSE)/VLOOKUP(A55,Ergebnis_je_Aktie_verwässert!A$3:AK$103,18,FALSE)&gt;=2,2,VLOOKUP(A55,Dividende_je_Aktie!A$3:AM$103,18,FALSE)/VLOOKUP(A55,Ergebnis_je_Aktie_verwässert!A$3:AK$103,18,FALSE))),""),"")</f>
        <v>0.32188841201716739</v>
      </c>
      <c r="AG55" s="105">
        <f t="shared" si="8"/>
        <v>0.40759718208003187</v>
      </c>
      <c r="AH55" s="4">
        <f t="shared" ca="1" si="9"/>
        <v>0</v>
      </c>
      <c r="AI55" s="4">
        <f t="shared" ca="1" si="10"/>
        <v>108</v>
      </c>
      <c r="AJ55" s="4">
        <f t="shared" ca="1" si="11"/>
        <v>252</v>
      </c>
      <c r="AK55" s="10">
        <f t="shared" ca="1" si="12"/>
        <v>0.51362429289754874</v>
      </c>
      <c r="AL55" s="5">
        <f t="shared" ca="1" si="13"/>
        <v>0.26012719292229658</v>
      </c>
    </row>
    <row r="56" spans="1:38">
      <c r="A56" t="s">
        <v>320</v>
      </c>
      <c r="B56" t="s">
        <v>321</v>
      </c>
      <c r="C56" s="60">
        <v>31</v>
      </c>
      <c r="D56" s="60">
        <v>8</v>
      </c>
      <c r="E56" s="60">
        <v>2016</v>
      </c>
      <c r="F56" s="71">
        <f>IF(VLOOKUP(A56,Dividende_je_Aktie!A$3:AM$103,6,FALSE)&lt;&gt;"",IF(VLOOKUP(A56,Ergebnis_je_Aktie_verwässert!A$3:AK$103,6,FALSE)&lt;&gt;"",IF(VLOOKUP(A56,Ergebnis_je_Aktie_verwässert!A$3:AK$103,6,FALSE)&lt;=0,2,IF(VLOOKUP(A56,Dividende_je_Aktie!A$3:AM$103,6,FALSE)/VLOOKUP(A56,Ergebnis_je_Aktie_verwässert!A$3:AK$103,6,FALSE)&gt;=2,2,VLOOKUP(A56,Dividende_je_Aktie!A$3:AM$103,6,FALSE)/VLOOKUP(A56,Ergebnis_je_Aktie_verwässert!A$3:AK$103,6,FALSE))),""),"")</f>
        <v>0.50642201834862377</v>
      </c>
      <c r="G56" s="71">
        <f>IF(VLOOKUP(A56,Dividende_je_Aktie!A$3:AM$103,7,FALSE)&lt;&gt;"",IF(VLOOKUP(A56,Ergebnis_je_Aktie_verwässert!A$3:AK$103,7,FALSE)&lt;&gt;"",IF(VLOOKUP(A56,Ergebnis_je_Aktie_verwässert!A$3:AK$103,7,FALSE)&lt;=0,2,IF(VLOOKUP(A56,Dividende_je_Aktie!A$3:AM$103,7,FALSE)/VLOOKUP(A56,Ergebnis_je_Aktie_verwässert!A$3:AK$103,7,FALSE)&gt;=2,2,VLOOKUP(A56,Dividende_je_Aktie!A$3:AM$103,7,FALSE)/VLOOKUP(A56,Ergebnis_je_Aktie_verwässert!A$3:AK$103,7,FALSE))),""),"")</f>
        <v>0.52765957446808509</v>
      </c>
      <c r="H56" s="71">
        <f>IF(VLOOKUP(A56,Fiktive_Dividende!A$3:AM$103,14,FALSE)&lt;&gt;"",IF(VLOOKUP(A56,Ergebnis_je_Aktie_verwässert!A$3:AK$103,8,FALSE)&lt;&gt;"",IF(VLOOKUP(A56,Ergebnis_je_Aktie_verwässert!A$3:AK$103,8,FALSE)&lt;=0,2,IF(VLOOKUP(A56,Fiktive_Dividende!A$3:AM$103,14,FALSE)/VLOOKUP(A56,Ergebnis_je_Aktie_verwässert!A$3:AK$103,8,FALSE)&gt;=2,2,VLOOKUP(A56,Fiktive_Dividende!A$3:AM$103,14,FALSE)/VLOOKUP(A56,Ergebnis_je_Aktie_verwässert!A$3:AK$103,8,FALSE))),""),"")</f>
        <v>0.53132250580046414</v>
      </c>
      <c r="I56" s="71">
        <f>IF(VLOOKUP(A56,Fiktive_Dividende!A$3:AM$103,15,FALSE)&lt;&gt;"",IF(VLOOKUP(A56,Ergebnis_je_Aktie_verwässert!A$3:AK$103,9,FALSE)&lt;&gt;"",IF(VLOOKUP(A56,Ergebnis_je_Aktie_verwässert!A$3:AK$103,9,FALSE)&lt;=0,2,IF(VLOOKUP(A56,Fiktive_Dividende!A$3:AM$103,15,FALSE)/VLOOKUP(A56,Ergebnis_je_Aktie_verwässert!A$3:AK$103,9,FALSE)&gt;=2,2,VLOOKUP(A56,Fiktive_Dividende!A$3:AM$103,15,FALSE)/VLOOKUP(A56,Ergebnis_je_Aktie_verwässert!A$3:AK$103,9,FALSE))),""),"")</f>
        <v>0.47826086956521746</v>
      </c>
      <c r="J56" s="71">
        <f>IF(VLOOKUP(A56,Fiktive_Dividende!A$3:AM$103,16,FALSE)&lt;&gt;"",IF(VLOOKUP(A56,Ergebnis_je_Aktie_verwässert!A$3:AK$103,10,FALSE)&lt;&gt;"",IF(VLOOKUP(A56,Ergebnis_je_Aktie_verwässert!A$3:AK$103,10,FALSE)&lt;=0,2,IF(VLOOKUP(A56,Fiktive_Dividende!A$3:AM$103,16,FALSE)/VLOOKUP(A56,Ergebnis_je_Aktie_verwässert!A$3:AK$103,10,FALSE)&gt;=2,2,VLOOKUP(A56,Fiktive_Dividende!A$3:AM$103,16,FALSE)/VLOOKUP(A56,Ergebnis_je_Aktie_verwässert!A$3:AK$103,10,FALSE))),""),"")</f>
        <v>0.53843852826802274</v>
      </c>
      <c r="K56" s="71">
        <f>IF(VLOOKUP(A56,Fiktive_Dividende!A$3:AM$103,17,FALSE)&lt;&gt;"",IF(VLOOKUP(A56,Ergebnis_je_Aktie_verwässert!A$3:AK$103,11,FALSE)&lt;&gt;"",IF(VLOOKUP(A56,Ergebnis_je_Aktie_verwässert!A$3:AK$103,11,FALSE)&lt;=0,2,IF(VLOOKUP(A56,Fiktive_Dividende!A$3:AM$103,17,FALSE)/VLOOKUP(A56,Ergebnis_je_Aktie_verwässert!A$3:AK$103,11,FALSE)&gt;=2,2,VLOOKUP(A56,Fiktive_Dividende!A$3:AM$103,17,FALSE)/VLOOKUP(A56,Ergebnis_je_Aktie_verwässert!A$3:AK$103,11,FALSE))),""),"")</f>
        <v>0.46022727272727276</v>
      </c>
      <c r="L56" s="71">
        <f>IF(VLOOKUP(A56,Fiktive_Dividende!A$3:AM$103,18,FALSE)&lt;&gt;"",IF(VLOOKUP(A56,Ergebnis_je_Aktie_verwässert!A$3:AK$103,12,FALSE)&lt;&gt;"",IF(VLOOKUP(A56,Ergebnis_je_Aktie_verwässert!A$3:AK$103,12,FALSE)&lt;=0,2,IF(VLOOKUP(A56,Fiktive_Dividende!A$3:AM$103,18,FALSE)/VLOOKUP(A56,Ergebnis_je_Aktie_verwässert!A$3:AK$103,12,FALSE)&gt;=2,2,VLOOKUP(A56,Fiktive_Dividende!A$3:AM$103,18,FALSE)/VLOOKUP(A56,Ergebnis_je_Aktie_verwässert!A$3:AK$103,12,FALSE))),""),"")</f>
        <v>0.47307349003272836</v>
      </c>
      <c r="M56" s="71">
        <f>IF(VLOOKUP(A56,Fiktive_Dividende!A$3:AM$103,19,FALSE)&lt;&gt;"",IF(VLOOKUP(A56,Ergebnis_je_Aktie_verwässert!A$3:AK$103,13,FALSE)&lt;&gt;"",IF(VLOOKUP(A56,Ergebnis_je_Aktie_verwässert!A$3:AK$103,13,FALSE)&lt;=0,2,IF(VLOOKUP(A56,Fiktive_Dividende!A$3:AM$103,19,FALSE)/VLOOKUP(A56,Ergebnis_je_Aktie_verwässert!A$3:AK$103,13,FALSE)&gt;=2,2,VLOOKUP(A56,Fiktive_Dividende!A$3:AM$103,19,FALSE)/VLOOKUP(A56,Ergebnis_je_Aktie_verwässert!A$3:AK$103,13,FALSE))),""),"")</f>
        <v>0.48121292023731049</v>
      </c>
      <c r="N56" s="71">
        <f>IF(VLOOKUP(A56,Fiktive_Dividende!A$3:AM$103,20,FALSE)&lt;&gt;"",IF(VLOOKUP(A56,Ergebnis_je_Aktie_verwässert!A$3:AK$103,14,FALSE)&lt;&gt;"",IF(VLOOKUP(A56,Ergebnis_je_Aktie_verwässert!A$3:AK$103,14,FALSE)&lt;=0,2,IF(VLOOKUP(A56,Fiktive_Dividende!A$3:AM$103,20,FALSE)/VLOOKUP(A56,Ergebnis_je_Aktie_verwässert!A$3:AK$103,14,FALSE)&gt;=2,2,VLOOKUP(A56,Fiktive_Dividende!A$3:AM$103,20,FALSE)/VLOOKUP(A56,Ergebnis_je_Aktie_verwässert!A$3:AK$103,14,FALSE))),""),"")</f>
        <v>0.49073064340239919</v>
      </c>
      <c r="O56" s="71">
        <f>IF(VLOOKUP(A56,Fiktive_Dividende!A$3:AM$103,21,FALSE)&lt;&gt;"",IF(VLOOKUP(A56,Ergebnis_je_Aktie_verwässert!A$3:AK$103,15,FALSE)&lt;&gt;"",IF(VLOOKUP(A56,Ergebnis_je_Aktie_verwässert!A$3:AK$103,15,FALSE)&lt;=0,2,IF(VLOOKUP(A56,Fiktive_Dividende!A$3:AM$103,21,FALSE)/VLOOKUP(A56,Ergebnis_je_Aktie_verwässert!A$3:AK$103,15,FALSE)&gt;=2,2,VLOOKUP(A56,Fiktive_Dividende!A$3:AM$103,21,FALSE)/VLOOKUP(A56,Ergebnis_je_Aktie_verwässert!A$3:AK$103,15,FALSE))),""),"")</f>
        <v>0.49803921568627457</v>
      </c>
      <c r="P56" s="71">
        <f>IF(VLOOKUP(A56,Fiktive_Dividende!A$3:AM$103,22,FALSE)&lt;&gt;"",IF(VLOOKUP(A56,Ergebnis_je_Aktie_verwässert!A$3:AK$103,16,FALSE)&lt;&gt;"",IF(VLOOKUP(A56,Ergebnis_je_Aktie_verwässert!A$3:AK$103,16,FALSE)&lt;=0,2,IF(VLOOKUP(A56,Fiktive_Dividende!A$3:AM$103,22,FALSE)/VLOOKUP(A56,Ergebnis_je_Aktie_verwässert!A$3:AK$103,16,FALSE)&gt;=2,2,VLOOKUP(A56,Fiktive_Dividende!A$3:AM$103,22,FALSE)/VLOOKUP(A56,Ergebnis_je_Aktie_verwässert!A$3:AK$103,16,FALSE))),""),"")</f>
        <v>0.51209677419354838</v>
      </c>
      <c r="Q56" s="71">
        <f>IF(VLOOKUP(A56,Fiktive_Dividende!A$3:AM$103,23,FALSE)&lt;&gt;"",IF(VLOOKUP(A56,Ergebnis_je_Aktie_verwässert!A$3:AK$103,17,FALSE)&lt;&gt;"",IF(VLOOKUP(A56,Ergebnis_je_Aktie_verwässert!A$3:AK$103,17,FALSE)&lt;=0,2,IF(VLOOKUP(A56,Fiktive_Dividende!A$3:AM$103,23,FALSE)/VLOOKUP(A56,Ergebnis_je_Aktie_verwässert!A$3:AK$103,17,FALSE)&gt;=2,2,VLOOKUP(A56,Fiktive_Dividende!A$3:AM$103,23,FALSE)/VLOOKUP(A56,Ergebnis_je_Aktie_verwässert!A$3:AK$103,17,FALSE))),""),"")</f>
        <v>0.47916666666666663</v>
      </c>
      <c r="R56" s="71">
        <f>IF(VLOOKUP(A56,Fiktive_Dividende!A$3:AM$103,24,FALSE)&lt;&gt;"",IF(VLOOKUP(A56,Ergebnis_je_Aktie_verwässert!A$3:AK$103,18,FALSE)&lt;&gt;"",IF(VLOOKUP(A56,Ergebnis_je_Aktie_verwässert!A$3:AK$103,18,FALSE)&lt;=0,2,IF(VLOOKUP(A56,Fiktive_Dividende!A$3:AM$103,24,FALSE)/VLOOKUP(A56,Ergebnis_je_Aktie_verwässert!A$3:AK$103,18,FALSE)&gt;=2,2,VLOOKUP(A56,Fiktive_Dividende!A$3:AM$103,24,FALSE)/VLOOKUP(A56,Ergebnis_je_Aktie_verwässert!A$3:AK$103,18,FALSE))),""),"")</f>
        <v>0.45893719806763289</v>
      </c>
      <c r="S56" s="105">
        <f t="shared" si="7"/>
        <v>0.49504520595878826</v>
      </c>
      <c r="T56" s="71">
        <f>IF(VLOOKUP(A56,Dividende_je_Aktie!A$3:AM$103,6,FALSE)&lt;&gt;"",IF(VLOOKUP(A56,Ergebnis_je_Aktie_verwässert!A$3:AK$103,6,FALSE)&lt;&gt;"",IF(VLOOKUP(A56,Ergebnis_je_Aktie_verwässert!A$3:AK$103,6,FALSE)&lt;=0,2,IF(VLOOKUP(A56,Dividende_je_Aktie!A$3:AM$103,6,FALSE)/VLOOKUP(A56,Ergebnis_je_Aktie_verwässert!A$3:AK$103,6,FALSE)&gt;=2,2,VLOOKUP(A56,Dividende_je_Aktie!A$3:AM$103,6,FALSE)/VLOOKUP(A56,Ergebnis_je_Aktie_verwässert!A$3:AK$103,6,FALSE))),""),"")</f>
        <v>0.50642201834862377</v>
      </c>
      <c r="U56" s="71">
        <f>IF(VLOOKUP(A56,Dividende_je_Aktie!A$3:AM$103,7,FALSE)&lt;&gt;"",IF(VLOOKUP(A56,Ergebnis_je_Aktie_verwässert!A$3:AK$103,7,FALSE)&lt;&gt;"",IF(VLOOKUP(A56,Ergebnis_je_Aktie_verwässert!A$3:AK$103,7,FALSE)&lt;=0,2,IF(VLOOKUP(A56,Dividende_je_Aktie!A$3:AM$103,7,FALSE)/VLOOKUP(A56,Ergebnis_je_Aktie_verwässert!A$3:AK$103,7,FALSE)&gt;=2,2,VLOOKUP(A56,Dividende_je_Aktie!A$3:AM$103,7,FALSE)/VLOOKUP(A56,Ergebnis_je_Aktie_verwässert!A$3:AK$103,7,FALSE))),""),"")</f>
        <v>0.52765957446808509</v>
      </c>
      <c r="V56" s="71">
        <f>IF(VLOOKUP(A56,Dividende_je_Aktie!A$3:AM$103,8,FALSE)&lt;&gt;"",IF(VLOOKUP(A56,Ergebnis_je_Aktie_verwässert!A$3:AK$103,8,FALSE)&lt;&gt;"",IF(VLOOKUP(A56,Ergebnis_je_Aktie_verwässert!A$3:AK$103,8,FALSE)&lt;=0,2,IF(VLOOKUP(A56,Dividende_je_Aktie!A$3:AM$103,8,FALSE)/VLOOKUP(A56,Ergebnis_je_Aktie_verwässert!A$3:AK$103,8,FALSE)&gt;=2,2,VLOOKUP(A56,Dividende_je_Aktie!A$3:AM$103,8,FALSE)/VLOOKUP(A56,Ergebnis_je_Aktie_verwässert!A$3:AK$103,8,FALSE))),""),"")</f>
        <v>0.53132250580046414</v>
      </c>
      <c r="W56" s="71">
        <f>IF(VLOOKUP(A56,Dividende_je_Aktie!A$3:AM$103,9,FALSE)&lt;&gt;"",IF(VLOOKUP(A56,Ergebnis_je_Aktie_verwässert!A$3:AK$103,9,FALSE)&lt;&gt;"",IF(VLOOKUP(A56,Ergebnis_je_Aktie_verwässert!A$3:AK$103,9,FALSE)&lt;=0,2,IF(VLOOKUP(A56,Dividende_je_Aktie!A$3:AM$103,9,FALSE)/VLOOKUP(A56,Ergebnis_je_Aktie_verwässert!A$3:AK$103,9,FALSE)&gt;=2,2,VLOOKUP(A56,Dividende_je_Aktie!A$3:AM$103,9,FALSE)/VLOOKUP(A56,Ergebnis_je_Aktie_verwässert!A$3:AK$103,9,FALSE))),""),"")</f>
        <v>0.47826086956521746</v>
      </c>
      <c r="X56" s="71">
        <f>IF(VLOOKUP(A56,Dividende_je_Aktie!A$3:AM$103,10,FALSE)&lt;&gt;"",IF(VLOOKUP(A56,Ergebnis_je_Aktie_verwässert!A$3:AK$103,10,FALSE)&lt;&gt;"",IF(VLOOKUP(A56,Ergebnis_je_Aktie_verwässert!A$3:AK$103,10,FALSE)&lt;=0,2,IF(VLOOKUP(A56,Dividende_je_Aktie!A$3:AM$103,10,FALSE)/VLOOKUP(A56,Ergebnis_je_Aktie_verwässert!A$3:AK$103,10,FALSE)&gt;=2,2,VLOOKUP(A56,Dividende_je_Aktie!A$3:AM$103,10,FALSE)/VLOOKUP(A56,Ergebnis_je_Aktie_verwässert!A$3:AK$103,10,FALSE))),""),"")</f>
        <v>0.53843852826802274</v>
      </c>
      <c r="Y56" s="71">
        <f>IF(VLOOKUP(A56,Dividende_je_Aktie!A$3:AM$103,11,FALSE)&lt;&gt;"",IF(VLOOKUP(A56,Ergebnis_je_Aktie_verwässert!A$3:AK$103,11,FALSE)&lt;&gt;"",IF(VLOOKUP(A56,Ergebnis_je_Aktie_verwässert!A$3:AK$103,11,FALSE)&lt;=0,2,IF(VLOOKUP(A56,Dividende_je_Aktie!A$3:AM$103,11,FALSE)/VLOOKUP(A56,Ergebnis_je_Aktie_verwässert!A$3:AK$103,11,FALSE)&gt;=2,2,VLOOKUP(A56,Dividende_je_Aktie!A$3:AM$103,11,FALSE)/VLOOKUP(A56,Ergebnis_je_Aktie_verwässert!A$3:AK$103,11,FALSE))),""),"")</f>
        <v>0.46022727272727276</v>
      </c>
      <c r="Z56" s="71">
        <f>IF(VLOOKUP(A56,Dividende_je_Aktie!A$3:AM$103,12,FALSE)&lt;&gt;"",IF(VLOOKUP(A56,Ergebnis_je_Aktie_verwässert!A$3:AK$103,12,FALSE)&lt;&gt;"",IF(VLOOKUP(A56,Ergebnis_je_Aktie_verwässert!A$3:AK$103,12,FALSE)&lt;=0,2,IF(VLOOKUP(A56,Dividende_je_Aktie!A$3:AM$103,12,FALSE)/VLOOKUP(A56,Ergebnis_je_Aktie_verwässert!A$3:AK$103,12,FALSE)&gt;=2,2,VLOOKUP(A56,Dividende_je_Aktie!A$3:AM$103,12,FALSE)/VLOOKUP(A56,Ergebnis_je_Aktie_verwässert!A$3:AK$103,12,FALSE))),""),"")</f>
        <v>0.47307349003272836</v>
      </c>
      <c r="AA56" s="71">
        <f>IF(VLOOKUP(A56,Dividende_je_Aktie!A$3:AM$103,13,FALSE)&lt;&gt;"",IF(VLOOKUP(A56,Ergebnis_je_Aktie_verwässert!A$3:AK$103,13,FALSE)&lt;&gt;"",IF(VLOOKUP(A56,Ergebnis_je_Aktie_verwässert!A$3:AK$103,13,FALSE)&lt;=0,2,IF(VLOOKUP(A56,Dividende_je_Aktie!A$3:AM$103,13,FALSE)/VLOOKUP(A56,Ergebnis_je_Aktie_verwässert!A$3:AK$103,13,FALSE)&gt;=2,2,VLOOKUP(A56,Dividende_je_Aktie!A$3:AM$103,13,FALSE)/VLOOKUP(A56,Ergebnis_je_Aktie_verwässert!A$3:AK$103,13,FALSE))),""),"")</f>
        <v>0.48121292023731049</v>
      </c>
      <c r="AB56" s="71">
        <f>IF(VLOOKUP(A56,Dividende_je_Aktie!A$3:AM$103,14,FALSE)&lt;&gt;"",IF(VLOOKUP(A56,Ergebnis_je_Aktie_verwässert!A$3:AK$103,14,FALSE)&lt;&gt;"",IF(VLOOKUP(A56,Ergebnis_je_Aktie_verwässert!A$3:AK$103,14,FALSE)&lt;=0,2,IF(VLOOKUP(A56,Dividende_je_Aktie!A$3:AM$103,14,FALSE)/VLOOKUP(A56,Ergebnis_je_Aktie_verwässert!A$3:AK$103,14,FALSE)&gt;=2,2,VLOOKUP(A56,Dividende_je_Aktie!A$3:AM$103,14,FALSE)/VLOOKUP(A56,Ergebnis_je_Aktie_verwässert!A$3:AK$103,14,FALSE))),""),"")</f>
        <v>0.49073064340239919</v>
      </c>
      <c r="AC56" s="71">
        <f>IF(VLOOKUP(A56,Dividende_je_Aktie!A$3:AM$103,15,FALSE)&lt;&gt;"",IF(VLOOKUP(A56,Ergebnis_je_Aktie_verwässert!A$3:AK$103,15,FALSE)&lt;&gt;"",IF(VLOOKUP(A56,Ergebnis_je_Aktie_verwässert!A$3:AK$103,15,FALSE)&lt;=0,2,IF(VLOOKUP(A56,Dividende_je_Aktie!A$3:AM$103,15,FALSE)/VLOOKUP(A56,Ergebnis_je_Aktie_verwässert!A$3:AK$103,15,FALSE)&gt;=2,2,VLOOKUP(A56,Dividende_je_Aktie!A$3:AM$103,15,FALSE)/VLOOKUP(A56,Ergebnis_je_Aktie_verwässert!A$3:AK$103,15,FALSE))),""),"")</f>
        <v>0.49803921568627457</v>
      </c>
      <c r="AD56" s="71">
        <f>IF(VLOOKUP(A56,Dividende_je_Aktie!A$3:AM$103,16,FALSE)&lt;&gt;"",IF(VLOOKUP(A56,Ergebnis_je_Aktie_verwässert!A$3:AK$103,16,FALSE)&lt;&gt;"",IF(VLOOKUP(A56,Ergebnis_je_Aktie_verwässert!A$3:AK$103,16,FALSE)&lt;=0,2,IF(VLOOKUP(A56,Dividende_je_Aktie!A$3:AM$103,16,FALSE)/VLOOKUP(A56,Ergebnis_je_Aktie_verwässert!A$3:AK$103,16,FALSE)&gt;=2,2,VLOOKUP(A56,Dividende_je_Aktie!A$3:AM$103,16,FALSE)/VLOOKUP(A56,Ergebnis_je_Aktie_verwässert!A$3:AK$103,16,FALSE))),""),"")</f>
        <v>0.51209677419354838</v>
      </c>
      <c r="AE56" s="71">
        <f>IF(VLOOKUP(A56,Dividende_je_Aktie!A$3:AM$103,17,FALSE)&lt;&gt;"",IF(VLOOKUP(A56,Ergebnis_je_Aktie_verwässert!A$3:AK$103,17,FALSE)&lt;&gt;"",IF(VLOOKUP(A56,Ergebnis_je_Aktie_verwässert!A$3:AK$103,17,FALSE)&lt;=0,2,IF(VLOOKUP(A56,Dividende_je_Aktie!A$3:AM$103,17,FALSE)/VLOOKUP(A56,Ergebnis_je_Aktie_verwässert!A$3:AK$103,17,FALSE)&gt;=2,2,VLOOKUP(A56,Dividende_je_Aktie!A$3:AM$103,17,FALSE)/VLOOKUP(A56,Ergebnis_je_Aktie_verwässert!A$3:AK$103,17,FALSE))),""),"")</f>
        <v>0.47916666666666663</v>
      </c>
      <c r="AF56" s="71">
        <f>IF(VLOOKUP(A56,Dividende_je_Aktie!A$3:AM$103,18,FALSE)&lt;&gt;"",IF(VLOOKUP(A56,Ergebnis_je_Aktie_verwässert!A$3:AK$103,18,FALSE)&lt;&gt;"",IF(VLOOKUP(A56,Ergebnis_je_Aktie_verwässert!A$3:AK$103,18,FALSE)&lt;=0,2,IF(VLOOKUP(A56,Dividende_je_Aktie!A$3:AM$103,18,FALSE)/VLOOKUP(A56,Ergebnis_je_Aktie_verwässert!A$3:AK$103,18,FALSE)&gt;=2,2,VLOOKUP(A56,Dividende_je_Aktie!A$3:AM$103,18,FALSE)/VLOOKUP(A56,Ergebnis_je_Aktie_verwässert!A$3:AK$103,18,FALSE))),""),"")</f>
        <v>0.45893719806763289</v>
      </c>
      <c r="AG56" s="105">
        <f t="shared" si="8"/>
        <v>0.49504520595878826</v>
      </c>
      <c r="AH56" s="4">
        <f t="shared" ca="1" si="9"/>
        <v>0</v>
      </c>
      <c r="AI56" s="4">
        <f t="shared" ca="1" si="10"/>
        <v>228</v>
      </c>
      <c r="AJ56" s="4">
        <f t="shared" ca="1" si="11"/>
        <v>132</v>
      </c>
      <c r="AK56" s="10">
        <f t="shared" ca="1" si="12"/>
        <v>0.52900264928995733</v>
      </c>
      <c r="AL56" s="5">
        <f t="shared" ca="1" si="13"/>
        <v>6.8594631202217871E-2</v>
      </c>
    </row>
    <row r="57" spans="1:38">
      <c r="A57" t="s">
        <v>83</v>
      </c>
      <c r="B57" t="s">
        <v>84</v>
      </c>
      <c r="C57" s="60">
        <v>30</v>
      </c>
      <c r="D57" s="60">
        <v>6</v>
      </c>
      <c r="E57" s="60">
        <v>2016</v>
      </c>
      <c r="F57" s="71">
        <f>IF(VLOOKUP(A57,Dividende_je_Aktie!A$3:AM$103,6,FALSE)&lt;&gt;"",IF(VLOOKUP(A57,Ergebnis_je_Aktie_verwässert!A$3:AK$103,6,FALSE)&lt;&gt;"",IF(VLOOKUP(A57,Ergebnis_je_Aktie_verwässert!A$3:AK$103,6,FALSE)&lt;=0,2,IF(VLOOKUP(A57,Dividende_je_Aktie!A$3:AM$103,6,FALSE)/VLOOKUP(A57,Ergebnis_je_Aktie_verwässert!A$3:AK$103,6,FALSE)&gt;=2,2,VLOOKUP(A57,Dividende_je_Aktie!A$3:AM$103,6,FALSE)/VLOOKUP(A57,Ergebnis_je_Aktie_verwässert!A$3:AK$103,6,FALSE))),""),"")</f>
        <v>0.63689320388349502</v>
      </c>
      <c r="G57" s="71">
        <f>IF(VLOOKUP(A57,Dividende_je_Aktie!A$3:AM$103,7,FALSE)&lt;&gt;"",IF(VLOOKUP(A57,Ergebnis_je_Aktie_verwässert!A$3:AK$103,7,FALSE)&lt;&gt;"",IF(VLOOKUP(A57,Ergebnis_je_Aktie_verwässert!A$3:AK$103,7,FALSE)&lt;=0,2,IF(VLOOKUP(A57,Dividende_je_Aktie!A$3:AM$103,7,FALSE)/VLOOKUP(A57,Ergebnis_je_Aktie_verwässert!A$3:AK$103,7,FALSE)&gt;=2,2,VLOOKUP(A57,Dividende_je_Aktie!A$3:AM$103,7,FALSE)/VLOOKUP(A57,Ergebnis_je_Aktie_verwässert!A$3:AK$103,7,FALSE))),""),"")</f>
        <v>0.65094339622641506</v>
      </c>
      <c r="H57" s="71">
        <f>IF(VLOOKUP(A57,Fiktive_Dividende!A$3:AM$103,14,FALSE)&lt;&gt;"",IF(VLOOKUP(A57,Ergebnis_je_Aktie_verwässert!A$3:AK$103,8,FALSE)&lt;&gt;"",IF(VLOOKUP(A57,Ergebnis_je_Aktie_verwässert!A$3:AK$103,8,FALSE)&lt;=0,2,IF(VLOOKUP(A57,Fiktive_Dividende!A$3:AM$103,14,FALSE)/VLOOKUP(A57,Ergebnis_je_Aktie_verwässert!A$3:AK$103,8,FALSE)&gt;=2,2,VLOOKUP(A57,Fiktive_Dividende!A$3:AM$103,14,FALSE)/VLOOKUP(A57,Ergebnis_je_Aktie_verwässert!A$3:AK$103,8,FALSE))),""),"")</f>
        <v>0.63469827586206895</v>
      </c>
      <c r="I57" s="71">
        <f>IF(VLOOKUP(A57,Fiktive_Dividende!A$3:AM$103,15,FALSE)&lt;&gt;"",IF(VLOOKUP(A57,Ergebnis_je_Aktie_verwässert!A$3:AK$103,9,FALSE)&lt;&gt;"",IF(VLOOKUP(A57,Ergebnis_je_Aktie_verwässert!A$3:AK$103,9,FALSE)&lt;=0,2,IF(VLOOKUP(A57,Fiktive_Dividende!A$3:AM$103,15,FALSE)/VLOOKUP(A57,Ergebnis_je_Aktie_verwässert!A$3:AK$103,9,FALSE)&gt;=2,2,VLOOKUP(A57,Fiktive_Dividende!A$3:AM$103,15,FALSE)/VLOOKUP(A57,Ergebnis_je_Aktie_verwässert!A$3:AK$103,9,FALSE))),""),"")</f>
        <v>0.63513513513513509</v>
      </c>
      <c r="J57" s="71">
        <f>IF(VLOOKUP(A57,Fiktive_Dividende!A$3:AM$103,16,FALSE)&lt;&gt;"",IF(VLOOKUP(A57,Ergebnis_je_Aktie_verwässert!A$3:AK$103,10,FALSE)&lt;&gt;"",IF(VLOOKUP(A57,Ergebnis_je_Aktie_verwässert!A$3:AK$103,10,FALSE)&lt;=0,2,IF(VLOOKUP(A57,Fiktive_Dividende!A$3:AM$103,16,FALSE)/VLOOKUP(A57,Ergebnis_je_Aktie_verwässert!A$3:AK$103,10,FALSE)&gt;=2,2,VLOOKUP(A57,Fiktive_Dividende!A$3:AM$103,16,FALSE)/VLOOKUP(A57,Ergebnis_je_Aktie_verwässert!A$3:AK$103,10,FALSE))),""),"")</f>
        <v>0.54136125654450262</v>
      </c>
      <c r="K57" s="71">
        <f>IF(VLOOKUP(A57,Fiktive_Dividende!A$3:AM$103,17,FALSE)&lt;&gt;"",IF(VLOOKUP(A57,Ergebnis_je_Aktie_verwässert!A$3:AK$103,11,FALSE)&lt;&gt;"",IF(VLOOKUP(A57,Ergebnis_je_Aktie_verwässert!A$3:AK$103,11,FALSE)&lt;=0,2,IF(VLOOKUP(A57,Fiktive_Dividende!A$3:AM$103,17,FALSE)/VLOOKUP(A57,Ergebnis_je_Aktie_verwässert!A$3:AK$103,11,FALSE)&gt;=2,2,VLOOKUP(A57,Fiktive_Dividende!A$3:AM$103,17,FALSE)/VLOOKUP(A57,Ergebnis_je_Aktie_verwässert!A$3:AK$103,11,FALSE))),""),"")</f>
        <v>0.45974781765276435</v>
      </c>
      <c r="L57" s="71">
        <f>IF(VLOOKUP(A57,Fiktive_Dividende!A$3:AM$103,18,FALSE)&lt;&gt;"",IF(VLOOKUP(A57,Ergebnis_je_Aktie_verwässert!A$3:AK$103,12,FALSE)&lt;&gt;"",IF(VLOOKUP(A57,Ergebnis_je_Aktie_verwässert!A$3:AK$103,12,FALSE)&lt;=0,2,IF(VLOOKUP(A57,Fiktive_Dividende!A$3:AM$103,18,FALSE)/VLOOKUP(A57,Ergebnis_je_Aktie_verwässert!A$3:AK$103,12,FALSE)&gt;=2,2,VLOOKUP(A57,Fiktive_Dividende!A$3:AM$103,18,FALSE)/VLOOKUP(A57,Ergebnis_je_Aktie_verwässert!A$3:AK$103,12,FALSE))),""),"")</f>
        <v>0.46976241900647947</v>
      </c>
      <c r="M57" s="71">
        <f>IF(VLOOKUP(A57,Fiktive_Dividende!A$3:AM$103,19,FALSE)&lt;&gt;"",IF(VLOOKUP(A57,Ergebnis_je_Aktie_verwässert!A$3:AK$103,13,FALSE)&lt;&gt;"",IF(VLOOKUP(A57,Ergebnis_je_Aktie_verwässert!A$3:AK$103,13,FALSE)&lt;=0,2,IF(VLOOKUP(A57,Fiktive_Dividende!A$3:AM$103,19,FALSE)/VLOOKUP(A57,Ergebnis_je_Aktie_verwässert!A$3:AK$103,13,FALSE)&gt;=2,2,VLOOKUP(A57,Fiktive_Dividende!A$3:AM$103,19,FALSE)/VLOOKUP(A57,Ergebnis_je_Aktie_verwässert!A$3:AK$103,13,FALSE))),""),"")</f>
        <v>0.49509803921568635</v>
      </c>
      <c r="N57" s="71">
        <f>IF(VLOOKUP(A57,Fiktive_Dividende!A$3:AM$103,20,FALSE)&lt;&gt;"",IF(VLOOKUP(A57,Ergebnis_je_Aktie_verwässert!A$3:AK$103,14,FALSE)&lt;&gt;"",IF(VLOOKUP(A57,Ergebnis_je_Aktie_verwässert!A$3:AK$103,14,FALSE)&lt;=0,2,IF(VLOOKUP(A57,Fiktive_Dividende!A$3:AM$103,20,FALSE)/VLOOKUP(A57,Ergebnis_je_Aktie_verwässert!A$3:AK$103,14,FALSE)&gt;=2,2,VLOOKUP(A57,Fiktive_Dividende!A$3:AM$103,20,FALSE)/VLOOKUP(A57,Ergebnis_je_Aktie_verwässert!A$3:AK$103,14,FALSE))),""),"")</f>
        <v>0.90652806073586523</v>
      </c>
      <c r="O57" s="71">
        <f>IF(VLOOKUP(A57,Fiktive_Dividende!A$3:AM$103,21,FALSE)&lt;&gt;"",IF(VLOOKUP(A57,Ergebnis_je_Aktie_verwässert!A$3:AK$103,15,FALSE)&lt;&gt;"",IF(VLOOKUP(A57,Ergebnis_je_Aktie_verwässert!A$3:AK$103,15,FALSE)&lt;=0,2,IF(VLOOKUP(A57,Fiktive_Dividende!A$3:AM$103,21,FALSE)/VLOOKUP(A57,Ergebnis_je_Aktie_verwässert!A$3:AK$103,15,FALSE)&gt;=2,2,VLOOKUP(A57,Fiktive_Dividende!A$3:AM$103,21,FALSE)/VLOOKUP(A57,Ergebnis_je_Aktie_verwässert!A$3:AK$103,15,FALSE))),""),"")</f>
        <v>0.55538461538461537</v>
      </c>
      <c r="P57" s="71">
        <f>IF(VLOOKUP(A57,Fiktive_Dividende!A$3:AM$103,22,FALSE)&lt;&gt;"",IF(VLOOKUP(A57,Ergebnis_je_Aktie_verwässert!A$3:AK$103,16,FALSE)&lt;&gt;"",IF(VLOOKUP(A57,Ergebnis_je_Aktie_verwässert!A$3:AK$103,16,FALSE)&lt;=0,2,IF(VLOOKUP(A57,Fiktive_Dividende!A$3:AM$103,22,FALSE)/VLOOKUP(A57,Ergebnis_je_Aktie_verwässert!A$3:AK$103,16,FALSE)&gt;=2,2,VLOOKUP(A57,Fiktive_Dividende!A$3:AM$103,22,FALSE)/VLOOKUP(A57,Ergebnis_je_Aktie_verwässert!A$3:AK$103,16,FALSE))),""),"")</f>
        <v>1.2973693439837464</v>
      </c>
      <c r="Q57" s="71">
        <f>IF(VLOOKUP(A57,Fiktive_Dividende!A$3:AM$103,23,FALSE)&lt;&gt;"",IF(VLOOKUP(A57,Ergebnis_je_Aktie_verwässert!A$3:AK$103,17,FALSE)&lt;&gt;"",IF(VLOOKUP(A57,Ergebnis_je_Aktie_verwässert!A$3:AK$103,17,FALSE)&lt;=0,2,IF(VLOOKUP(A57,Fiktive_Dividende!A$3:AM$103,23,FALSE)/VLOOKUP(A57,Ergebnis_je_Aktie_verwässert!A$3:AK$103,17,FALSE)&gt;=2,2,VLOOKUP(A57,Fiktive_Dividende!A$3:AM$103,23,FALSE)/VLOOKUP(A57,Ergebnis_je_Aktie_verwässert!A$3:AK$103,17,FALSE))),""),"")</f>
        <v>1.3664818088768957</v>
      </c>
      <c r="R57" s="71">
        <f>IF(VLOOKUP(A57,Fiktive_Dividende!A$3:AM$103,24,FALSE)&lt;&gt;"",IF(VLOOKUP(A57,Ergebnis_je_Aktie_verwässert!A$3:AK$103,18,FALSE)&lt;&gt;"",IF(VLOOKUP(A57,Ergebnis_je_Aktie_verwässert!A$3:AK$103,18,FALSE)&lt;=0,2,IF(VLOOKUP(A57,Fiktive_Dividende!A$3:AM$103,24,FALSE)/VLOOKUP(A57,Ergebnis_je_Aktie_verwässert!A$3:AK$103,18,FALSE)&gt;=2,2,VLOOKUP(A57,Fiktive_Dividende!A$3:AM$103,24,FALSE)/VLOOKUP(A57,Ergebnis_je_Aktie_verwässert!A$3:AK$103,18,FALSE))),""),"")</f>
        <v>0.66896813575162828</v>
      </c>
      <c r="S57" s="105">
        <f t="shared" si="7"/>
        <v>0.71679780832763818</v>
      </c>
      <c r="T57" s="71">
        <f>IF(VLOOKUP(A57,Dividende_je_Aktie!A$3:AM$103,6,FALSE)&lt;&gt;"",IF(VLOOKUP(A57,Ergebnis_je_Aktie_verwässert!A$3:AK$103,6,FALSE)&lt;&gt;"",IF(VLOOKUP(A57,Ergebnis_je_Aktie_verwässert!A$3:AK$103,6,FALSE)&lt;=0,2,IF(VLOOKUP(A57,Dividende_je_Aktie!A$3:AM$103,6,FALSE)/VLOOKUP(A57,Ergebnis_je_Aktie_verwässert!A$3:AK$103,6,FALSE)&gt;=2,2,VLOOKUP(A57,Dividende_je_Aktie!A$3:AM$103,6,FALSE)/VLOOKUP(A57,Ergebnis_je_Aktie_verwässert!A$3:AK$103,6,FALSE))),""),"")</f>
        <v>0.63689320388349502</v>
      </c>
      <c r="U57" s="71">
        <f>IF(VLOOKUP(A57,Dividende_je_Aktie!A$3:AM$103,7,FALSE)&lt;&gt;"",IF(VLOOKUP(A57,Ergebnis_je_Aktie_verwässert!A$3:AK$103,7,FALSE)&lt;&gt;"",IF(VLOOKUP(A57,Ergebnis_je_Aktie_verwässert!A$3:AK$103,7,FALSE)&lt;=0,2,IF(VLOOKUP(A57,Dividende_je_Aktie!A$3:AM$103,7,FALSE)/VLOOKUP(A57,Ergebnis_je_Aktie_verwässert!A$3:AK$103,7,FALSE)&gt;=2,2,VLOOKUP(A57,Dividende_je_Aktie!A$3:AM$103,7,FALSE)/VLOOKUP(A57,Ergebnis_je_Aktie_verwässert!A$3:AK$103,7,FALSE))),""),"")</f>
        <v>0.65094339622641506</v>
      </c>
      <c r="V57" s="71">
        <f>IF(VLOOKUP(A57,Dividende_je_Aktie!A$3:AM$103,8,FALSE)&lt;&gt;"",IF(VLOOKUP(A57,Ergebnis_je_Aktie_verwässert!A$3:AK$103,8,FALSE)&lt;&gt;"",IF(VLOOKUP(A57,Ergebnis_je_Aktie_verwässert!A$3:AK$103,8,FALSE)&lt;=0,2,IF(VLOOKUP(A57,Dividende_je_Aktie!A$3:AM$103,8,FALSE)/VLOOKUP(A57,Ergebnis_je_Aktie_verwässert!A$3:AK$103,8,FALSE)&gt;=2,2,VLOOKUP(A57,Dividende_je_Aktie!A$3:AM$103,8,FALSE)/VLOOKUP(A57,Ergebnis_je_Aktie_verwässert!A$3:AK$103,8,FALSE))),""),"")</f>
        <v>0.63469827586206895</v>
      </c>
      <c r="W57" s="71">
        <f>IF(VLOOKUP(A57,Dividende_je_Aktie!A$3:AM$103,9,FALSE)&lt;&gt;"",IF(VLOOKUP(A57,Ergebnis_je_Aktie_verwässert!A$3:AK$103,9,FALSE)&lt;&gt;"",IF(VLOOKUP(A57,Ergebnis_je_Aktie_verwässert!A$3:AK$103,9,FALSE)&lt;=0,2,IF(VLOOKUP(A57,Dividende_je_Aktie!A$3:AM$103,9,FALSE)/VLOOKUP(A57,Ergebnis_je_Aktie_verwässert!A$3:AK$103,9,FALSE)&gt;=2,2,VLOOKUP(A57,Dividende_je_Aktie!A$3:AM$103,9,FALSE)/VLOOKUP(A57,Ergebnis_je_Aktie_verwässert!A$3:AK$103,9,FALSE))),""),"")</f>
        <v>0.63513513513513509</v>
      </c>
      <c r="X57" s="71">
        <f>IF(VLOOKUP(A57,Dividende_je_Aktie!A$3:AM$103,10,FALSE)&lt;&gt;"",IF(VLOOKUP(A57,Ergebnis_je_Aktie_verwässert!A$3:AK$103,10,FALSE)&lt;&gt;"",IF(VLOOKUP(A57,Ergebnis_je_Aktie_verwässert!A$3:AK$103,10,FALSE)&lt;=0,2,IF(VLOOKUP(A57,Dividende_je_Aktie!A$3:AM$103,10,FALSE)/VLOOKUP(A57,Ergebnis_je_Aktie_verwässert!A$3:AK$103,10,FALSE)&gt;=2,2,VLOOKUP(A57,Dividende_je_Aktie!A$3:AM$103,10,FALSE)/VLOOKUP(A57,Ergebnis_je_Aktie_verwässert!A$3:AK$103,10,FALSE))),""),"")</f>
        <v>0.54136125654450262</v>
      </c>
      <c r="Y57" s="71">
        <f>IF(VLOOKUP(A57,Dividende_je_Aktie!A$3:AM$103,11,FALSE)&lt;&gt;"",IF(VLOOKUP(A57,Ergebnis_je_Aktie_verwässert!A$3:AK$103,11,FALSE)&lt;&gt;"",IF(VLOOKUP(A57,Ergebnis_je_Aktie_verwässert!A$3:AK$103,11,FALSE)&lt;=0,2,IF(VLOOKUP(A57,Dividende_je_Aktie!A$3:AM$103,11,FALSE)/VLOOKUP(A57,Ergebnis_je_Aktie_verwässert!A$3:AK$103,11,FALSE)&gt;=2,2,VLOOKUP(A57,Dividende_je_Aktie!A$3:AM$103,11,FALSE)/VLOOKUP(A57,Ergebnis_je_Aktie_verwässert!A$3:AK$103,11,FALSE))),""),"")</f>
        <v>0.45974781765276435</v>
      </c>
      <c r="Z57" s="71">
        <f>IF(VLOOKUP(A57,Dividende_je_Aktie!A$3:AM$103,12,FALSE)&lt;&gt;"",IF(VLOOKUP(A57,Ergebnis_je_Aktie_verwässert!A$3:AK$103,12,FALSE)&lt;&gt;"",IF(VLOOKUP(A57,Ergebnis_je_Aktie_verwässert!A$3:AK$103,12,FALSE)&lt;=0,2,IF(VLOOKUP(A57,Dividende_je_Aktie!A$3:AM$103,12,FALSE)/VLOOKUP(A57,Ergebnis_je_Aktie_verwässert!A$3:AK$103,12,FALSE)&gt;=2,2,VLOOKUP(A57,Dividende_je_Aktie!A$3:AM$103,12,FALSE)/VLOOKUP(A57,Ergebnis_je_Aktie_verwässert!A$3:AK$103,12,FALSE))),""),"")</f>
        <v>0.46976241900647947</v>
      </c>
      <c r="AA57" s="71">
        <f>IF(VLOOKUP(A57,Dividende_je_Aktie!A$3:AM$103,13,FALSE)&lt;&gt;"",IF(VLOOKUP(A57,Ergebnis_je_Aktie_verwässert!A$3:AK$103,13,FALSE)&lt;&gt;"",IF(VLOOKUP(A57,Ergebnis_je_Aktie_verwässert!A$3:AK$103,13,FALSE)&lt;=0,2,IF(VLOOKUP(A57,Dividende_je_Aktie!A$3:AM$103,13,FALSE)/VLOOKUP(A57,Ergebnis_je_Aktie_verwässert!A$3:AK$103,13,FALSE)&gt;=2,2,VLOOKUP(A57,Dividende_je_Aktie!A$3:AM$103,13,FALSE)/VLOOKUP(A57,Ergebnis_je_Aktie_verwässert!A$3:AK$103,13,FALSE))),""),"")</f>
        <v>0.49509803921568635</v>
      </c>
      <c r="AB57" s="71">
        <f>IF(VLOOKUP(A57,Dividende_je_Aktie!A$3:AM$103,14,FALSE)&lt;&gt;"",IF(VLOOKUP(A57,Ergebnis_je_Aktie_verwässert!A$3:AK$103,14,FALSE)&lt;&gt;"",IF(VLOOKUP(A57,Ergebnis_je_Aktie_verwässert!A$3:AK$103,14,FALSE)&lt;=0,2,IF(VLOOKUP(A57,Dividende_je_Aktie!A$3:AM$103,14,FALSE)/VLOOKUP(A57,Ergebnis_je_Aktie_verwässert!A$3:AK$103,14,FALSE)&gt;=2,2,VLOOKUP(A57,Dividende_je_Aktie!A$3:AM$103,14,FALSE)/VLOOKUP(A57,Ergebnis_je_Aktie_verwässert!A$3:AK$103,14,FALSE))),""),"")</f>
        <v>0.53737658674189004</v>
      </c>
      <c r="AC57" s="71">
        <f>IF(VLOOKUP(A57,Dividende_je_Aktie!A$3:AM$103,15,FALSE)&lt;&gt;"",IF(VLOOKUP(A57,Ergebnis_je_Aktie_verwässert!A$3:AK$103,15,FALSE)&lt;&gt;"",IF(VLOOKUP(A57,Ergebnis_je_Aktie_verwässert!A$3:AK$103,15,FALSE)&lt;=0,2,IF(VLOOKUP(A57,Dividende_je_Aktie!A$3:AM$103,15,FALSE)/VLOOKUP(A57,Ergebnis_je_Aktie_verwässert!A$3:AK$103,15,FALSE)&gt;=2,2,VLOOKUP(A57,Dividende_je_Aktie!A$3:AM$103,15,FALSE)/VLOOKUP(A57,Ergebnis_je_Aktie_verwässert!A$3:AK$103,15,FALSE))),""),"")</f>
        <v>0.55538461538461537</v>
      </c>
      <c r="AD57" s="71">
        <f>IF(VLOOKUP(A57,Dividende_je_Aktie!A$3:AM$103,16,FALSE)&lt;&gt;"",IF(VLOOKUP(A57,Ergebnis_je_Aktie_verwässert!A$3:AK$103,16,FALSE)&lt;&gt;"",IF(VLOOKUP(A57,Ergebnis_je_Aktie_verwässert!A$3:AK$103,16,FALSE)&lt;=0,2,IF(VLOOKUP(A57,Dividende_je_Aktie!A$3:AM$103,16,FALSE)/VLOOKUP(A57,Ergebnis_je_Aktie_verwässert!A$3:AK$103,16,FALSE)&gt;=2,2,VLOOKUP(A57,Dividende_je_Aktie!A$3:AM$103,16,FALSE)/VLOOKUP(A57,Ergebnis_je_Aktie_verwässert!A$3:AK$103,16,FALSE))),""),"")</f>
        <v>0.58220338983050857</v>
      </c>
      <c r="AE57" s="71">
        <f>IF(VLOOKUP(A57,Dividende_je_Aktie!A$3:AM$103,17,FALSE)&lt;&gt;"",IF(VLOOKUP(A57,Ergebnis_je_Aktie_verwässert!A$3:AK$103,17,FALSE)&lt;&gt;"",IF(VLOOKUP(A57,Ergebnis_je_Aktie_verwässert!A$3:AK$103,17,FALSE)&lt;=0,2,IF(VLOOKUP(A57,Dividende_je_Aktie!A$3:AM$103,17,FALSE)/VLOOKUP(A57,Ergebnis_je_Aktie_verwässert!A$3:AK$103,17,FALSE)&gt;=2,2,VLOOKUP(A57,Dividende_je_Aktie!A$3:AM$103,17,FALSE)/VLOOKUP(A57,Ergebnis_je_Aktie_verwässert!A$3:AK$103,17,FALSE))),""),"")</f>
        <v>0.59454545454545449</v>
      </c>
      <c r="AF57" s="71">
        <f>IF(VLOOKUP(A57,Dividende_je_Aktie!A$3:AM$103,18,FALSE)&lt;&gt;"",IF(VLOOKUP(A57,Ergebnis_je_Aktie_verwässert!A$3:AK$103,18,FALSE)&lt;&gt;"",IF(VLOOKUP(A57,Ergebnis_je_Aktie_verwässert!A$3:AK$103,18,FALSE)&lt;=0,2,IF(VLOOKUP(A57,Dividende_je_Aktie!A$3:AM$103,18,FALSE)/VLOOKUP(A57,Ergebnis_je_Aktie_verwässert!A$3:AK$103,18,FALSE)&gt;=2,2,VLOOKUP(A57,Dividende_je_Aktie!A$3:AM$103,18,FALSE)/VLOOKUP(A57,Ergebnis_je_Aktie_verwässert!A$3:AK$103,18,FALSE))),""),"")</f>
        <v>0.61584158415841583</v>
      </c>
      <c r="AG57" s="105">
        <f t="shared" si="8"/>
        <v>0.56992239801441769</v>
      </c>
      <c r="AH57" s="4">
        <f t="shared" ca="1" si="9"/>
        <v>0</v>
      </c>
      <c r="AI57" s="4">
        <f t="shared" ca="1" si="10"/>
        <v>289</v>
      </c>
      <c r="AJ57" s="4">
        <f t="shared" ca="1" si="11"/>
        <v>71</v>
      </c>
      <c r="AK57" s="10">
        <f t="shared" ca="1" si="12"/>
        <v>0.64773949748789117</v>
      </c>
      <c r="AL57" s="5">
        <f t="shared" ca="1" si="13"/>
        <v>0.13653981620056443</v>
      </c>
    </row>
    <row r="58" spans="1:38">
      <c r="A58" t="s">
        <v>85</v>
      </c>
      <c r="B58" t="s">
        <v>86</v>
      </c>
      <c r="C58" s="60">
        <v>31</v>
      </c>
      <c r="D58" s="60">
        <v>3</v>
      </c>
      <c r="E58" s="60">
        <v>2016</v>
      </c>
      <c r="F58" s="71">
        <f>IF(VLOOKUP(A58,Dividende_je_Aktie!A$3:AM$103,6,FALSE)&lt;&gt;"",IF(VLOOKUP(A58,Ergebnis_je_Aktie_verwässert!A$3:AK$103,6,FALSE)&lt;&gt;"",IF(VLOOKUP(A58,Ergebnis_je_Aktie_verwässert!A$3:AK$103,6,FALSE)&lt;=0,2,IF(VLOOKUP(A58,Dividende_je_Aktie!A$3:AM$103,6,FALSE)/VLOOKUP(A58,Ergebnis_je_Aktie_verwässert!A$3:AK$103,6,FALSE)&gt;=2,2,VLOOKUP(A58,Dividende_je_Aktie!A$3:AM$103,6,FALSE)/VLOOKUP(A58,Ergebnis_je_Aktie_verwässert!A$3:AK$103,6,FALSE))),""),"")</f>
        <v>0.56540084388185652</v>
      </c>
      <c r="G58" s="71">
        <f>IF(VLOOKUP(A58,Dividende_je_Aktie!A$3:AM$103,7,FALSE)&lt;&gt;"",IF(VLOOKUP(A58,Ergebnis_je_Aktie_verwässert!A$3:AK$103,7,FALSE)&lt;&gt;"",IF(VLOOKUP(A58,Ergebnis_je_Aktie_verwässert!A$3:AK$103,7,FALSE)&lt;=0,2,IF(VLOOKUP(A58,Dividende_je_Aktie!A$3:AM$103,7,FALSE)/VLOOKUP(A58,Ergebnis_je_Aktie_verwässert!A$3:AK$103,7,FALSE)&gt;=2,2,VLOOKUP(A58,Dividende_je_Aktie!A$3:AM$103,7,FALSE)/VLOOKUP(A58,Ergebnis_je_Aktie_verwässert!A$3:AK$103,7,FALSE))),""),"")</f>
        <v>0.59905660377358494</v>
      </c>
      <c r="H58" s="71">
        <f>IF(VLOOKUP(A58,Fiktive_Dividende!A$3:AM$103,14,FALSE)&lt;&gt;"",IF(VLOOKUP(A58,Ergebnis_je_Aktie_verwässert!A$3:AK$103,8,FALSE)&lt;&gt;"",IF(VLOOKUP(A58,Ergebnis_je_Aktie_verwässert!A$3:AK$103,8,FALSE)&lt;=0,2,IF(VLOOKUP(A58,Fiktive_Dividende!A$3:AM$103,14,FALSE)/VLOOKUP(A58,Ergebnis_je_Aktie_verwässert!A$3:AK$103,8,FALSE)&gt;=2,2,VLOOKUP(A58,Fiktive_Dividende!A$3:AM$103,14,FALSE)/VLOOKUP(A58,Ergebnis_je_Aktie_verwässert!A$3:AK$103,8,FALSE))),""),"")</f>
        <v>1.6518436148148148</v>
      </c>
      <c r="I58" s="71">
        <f>IF(VLOOKUP(A58,Fiktive_Dividende!A$3:AM$103,15,FALSE)&lt;&gt;"",IF(VLOOKUP(A58,Ergebnis_je_Aktie_verwässert!A$3:AK$103,9,FALSE)&lt;&gt;"",IF(VLOOKUP(A58,Ergebnis_je_Aktie_verwässert!A$3:AK$103,9,FALSE)&lt;=0,2,IF(VLOOKUP(A58,Fiktive_Dividende!A$3:AM$103,15,FALSE)/VLOOKUP(A58,Ergebnis_je_Aktie_verwässert!A$3:AK$103,9,FALSE)&gt;=2,2,VLOOKUP(A58,Fiktive_Dividende!A$3:AM$103,15,FALSE)/VLOOKUP(A58,Ergebnis_je_Aktie_verwässert!A$3:AK$103,9,FALSE))),""),"")</f>
        <v>0.5539215686274509</v>
      </c>
      <c r="J58" s="71">
        <f>IF(VLOOKUP(A58,Fiktive_Dividende!A$3:AM$103,16,FALSE)&lt;&gt;"",IF(VLOOKUP(A58,Ergebnis_je_Aktie_verwässert!A$3:AK$103,10,FALSE)&lt;&gt;"",IF(VLOOKUP(A58,Ergebnis_je_Aktie_verwässert!A$3:AK$103,10,FALSE)&lt;=0,2,IF(VLOOKUP(A58,Fiktive_Dividende!A$3:AM$103,16,FALSE)/VLOOKUP(A58,Ergebnis_je_Aktie_verwässert!A$3:AK$103,10,FALSE)&gt;=2,2,VLOOKUP(A58,Fiktive_Dividende!A$3:AM$103,16,FALSE)/VLOOKUP(A58,Ergebnis_je_Aktie_verwässert!A$3:AK$103,10,FALSE))),""),"")</f>
        <v>0.50239234449760772</v>
      </c>
      <c r="K58" s="71">
        <f>IF(VLOOKUP(A58,Fiktive_Dividende!A$3:AM$103,17,FALSE)&lt;&gt;"",IF(VLOOKUP(A58,Ergebnis_je_Aktie_verwässert!A$3:AK$103,11,FALSE)&lt;&gt;"",IF(VLOOKUP(A58,Ergebnis_je_Aktie_verwässert!A$3:AK$103,11,FALSE)&lt;=0,2,IF(VLOOKUP(A58,Fiktive_Dividende!A$3:AM$103,17,FALSE)/VLOOKUP(A58,Ergebnis_je_Aktie_verwässert!A$3:AK$103,11,FALSE)&gt;=2,2,VLOOKUP(A58,Fiktive_Dividende!A$3:AM$103,17,FALSE)/VLOOKUP(A58,Ergebnis_je_Aktie_verwässert!A$3:AK$103,11,FALSE))),""),"")</f>
        <v>0.49509803921568629</v>
      </c>
      <c r="L58" s="71">
        <f>IF(VLOOKUP(A58,Fiktive_Dividende!A$3:AM$103,18,FALSE)&lt;&gt;"",IF(VLOOKUP(A58,Ergebnis_je_Aktie_verwässert!A$3:AK$103,12,FALSE)&lt;&gt;"",IF(VLOOKUP(A58,Ergebnis_je_Aktie_verwässert!A$3:AK$103,12,FALSE)&lt;=0,2,IF(VLOOKUP(A58,Fiktive_Dividende!A$3:AM$103,18,FALSE)/VLOOKUP(A58,Ergebnis_je_Aktie_verwässert!A$3:AK$103,12,FALSE)&gt;=2,2,VLOOKUP(A58,Fiktive_Dividende!A$3:AM$103,18,FALSE)/VLOOKUP(A58,Ergebnis_je_Aktie_verwässert!A$3:AK$103,12,FALSE))),""),"")</f>
        <v>0.34469696969696967</v>
      </c>
      <c r="M58" s="71">
        <f>IF(VLOOKUP(A58,Fiktive_Dividende!A$3:AM$103,19,FALSE)&lt;&gt;"",IF(VLOOKUP(A58,Ergebnis_je_Aktie_verwässert!A$3:AK$103,13,FALSE)&lt;&gt;"",IF(VLOOKUP(A58,Ergebnis_je_Aktie_verwässert!A$3:AK$103,13,FALSE)&lt;=0,2,IF(VLOOKUP(A58,Fiktive_Dividende!A$3:AM$103,19,FALSE)/VLOOKUP(A58,Ergebnis_je_Aktie_verwässert!A$3:AK$103,13,FALSE)&gt;=2,2,VLOOKUP(A58,Fiktive_Dividende!A$3:AM$103,19,FALSE)/VLOOKUP(A58,Ergebnis_je_Aktie_verwässert!A$3:AK$103,13,FALSE))),""),"")</f>
        <v>0.53289473684210531</v>
      </c>
      <c r="N58" s="71">
        <f>IF(VLOOKUP(A58,Fiktive_Dividende!A$3:AM$103,20,FALSE)&lt;&gt;"",IF(VLOOKUP(A58,Ergebnis_je_Aktie_verwässert!A$3:AK$103,14,FALSE)&lt;&gt;"",IF(VLOOKUP(A58,Ergebnis_je_Aktie_verwässert!A$3:AK$103,14,FALSE)&lt;=0,2,IF(VLOOKUP(A58,Fiktive_Dividende!A$3:AM$103,20,FALSE)/VLOOKUP(A58,Ergebnis_je_Aktie_verwässert!A$3:AK$103,14,FALSE)&gt;=2,2,VLOOKUP(A58,Fiktive_Dividende!A$3:AM$103,20,FALSE)/VLOOKUP(A58,Ergebnis_je_Aktie_verwässert!A$3:AK$103,14,FALSE))),""),"")</f>
        <v>0.55737704918032793</v>
      </c>
      <c r="O58" s="71">
        <f>IF(VLOOKUP(A58,Fiktive_Dividende!A$3:AM$103,21,FALSE)&lt;&gt;"",IF(VLOOKUP(A58,Ergebnis_je_Aktie_verwässert!A$3:AK$103,15,FALSE)&lt;&gt;"",IF(VLOOKUP(A58,Ergebnis_je_Aktie_verwässert!A$3:AK$103,15,FALSE)&lt;=0,2,IF(VLOOKUP(A58,Fiktive_Dividende!A$3:AM$103,21,FALSE)/VLOOKUP(A58,Ergebnis_je_Aktie_verwässert!A$3:AK$103,15,FALSE)&gt;=2,2,VLOOKUP(A58,Fiktive_Dividende!A$3:AM$103,21,FALSE)/VLOOKUP(A58,Ergebnis_je_Aktie_verwässert!A$3:AK$103,15,FALSE))),""),"")</f>
        <v>0.46399999999999997</v>
      </c>
      <c r="P58" s="71">
        <f>IF(VLOOKUP(A58,Fiktive_Dividende!A$3:AM$103,22,FALSE)&lt;&gt;"",IF(VLOOKUP(A58,Ergebnis_je_Aktie_verwässert!A$3:AK$103,16,FALSE)&lt;&gt;"",IF(VLOOKUP(A58,Ergebnis_je_Aktie_verwässert!A$3:AK$103,16,FALSE)&lt;=0,2,IF(VLOOKUP(A58,Fiktive_Dividende!A$3:AM$103,22,FALSE)/VLOOKUP(A58,Ergebnis_je_Aktie_verwässert!A$3:AK$103,16,FALSE)&gt;=2,2,VLOOKUP(A58,Fiktive_Dividende!A$3:AM$103,22,FALSE)/VLOOKUP(A58,Ergebnis_je_Aktie_verwässert!A$3:AK$103,16,FALSE))),""),"")</f>
        <v>0.43283582089552231</v>
      </c>
      <c r="Q58" s="71">
        <f>IF(VLOOKUP(A58,Fiktive_Dividende!A$3:AM$103,23,FALSE)&lt;&gt;"",IF(VLOOKUP(A58,Ergebnis_je_Aktie_verwässert!A$3:AK$103,17,FALSE)&lt;&gt;"",IF(VLOOKUP(A58,Ergebnis_je_Aktie_verwässert!A$3:AK$103,17,FALSE)&lt;=0,2,IF(VLOOKUP(A58,Fiktive_Dividende!A$3:AM$103,23,FALSE)/VLOOKUP(A58,Ergebnis_je_Aktie_verwässert!A$3:AK$103,17,FALSE)&gt;=2,2,VLOOKUP(A58,Fiktive_Dividende!A$3:AM$103,23,FALSE)/VLOOKUP(A58,Ergebnis_je_Aktie_verwässert!A$3:AK$103,17,FALSE))),""),"")</f>
        <v>0.45454545454545453</v>
      </c>
      <c r="R58" s="71" t="str">
        <f>IF(VLOOKUP(A58,Fiktive_Dividende!A$3:AM$103,24,FALSE)&lt;&gt;"",IF(VLOOKUP(A58,Ergebnis_je_Aktie_verwässert!A$3:AK$103,18,FALSE)&lt;&gt;"",IF(VLOOKUP(A58,Ergebnis_je_Aktie_verwässert!A$3:AK$103,18,FALSE)&lt;=0,2,IF(VLOOKUP(A58,Fiktive_Dividende!A$3:AM$103,24,FALSE)/VLOOKUP(A58,Ergebnis_je_Aktie_verwässert!A$3:AK$103,18,FALSE)&gt;=2,2,VLOOKUP(A58,Fiktive_Dividende!A$3:AM$103,24,FALSE)/VLOOKUP(A58,Ergebnis_je_Aktie_verwässert!A$3:AK$103,18,FALSE))),""),"")</f>
        <v/>
      </c>
      <c r="S58" s="105">
        <f t="shared" si="7"/>
        <v>0.59617192049761503</v>
      </c>
      <c r="T58" s="71">
        <f>IF(VLOOKUP(A58,Dividende_je_Aktie!A$3:AM$103,6,FALSE)&lt;&gt;"",IF(VLOOKUP(A58,Ergebnis_je_Aktie_verwässert!A$3:AK$103,6,FALSE)&lt;&gt;"",IF(VLOOKUP(A58,Ergebnis_je_Aktie_verwässert!A$3:AK$103,6,FALSE)&lt;=0,2,IF(VLOOKUP(A58,Dividende_je_Aktie!A$3:AM$103,6,FALSE)/VLOOKUP(A58,Ergebnis_je_Aktie_verwässert!A$3:AK$103,6,FALSE)&gt;=2,2,VLOOKUP(A58,Dividende_je_Aktie!A$3:AM$103,6,FALSE)/VLOOKUP(A58,Ergebnis_je_Aktie_verwässert!A$3:AK$103,6,FALSE))),""),"")</f>
        <v>0.56540084388185652</v>
      </c>
      <c r="U58" s="71">
        <f>IF(VLOOKUP(A58,Dividende_je_Aktie!A$3:AM$103,7,FALSE)&lt;&gt;"",IF(VLOOKUP(A58,Ergebnis_je_Aktie_verwässert!A$3:AK$103,7,FALSE)&lt;&gt;"",IF(VLOOKUP(A58,Ergebnis_je_Aktie_verwässert!A$3:AK$103,7,FALSE)&lt;=0,2,IF(VLOOKUP(A58,Dividende_je_Aktie!A$3:AM$103,7,FALSE)/VLOOKUP(A58,Ergebnis_je_Aktie_verwässert!A$3:AK$103,7,FALSE)&gt;=2,2,VLOOKUP(A58,Dividende_je_Aktie!A$3:AM$103,7,FALSE)/VLOOKUP(A58,Ergebnis_je_Aktie_verwässert!A$3:AK$103,7,FALSE))),""),"")</f>
        <v>0.59905660377358494</v>
      </c>
      <c r="V58" s="71">
        <f>IF(VLOOKUP(A58,Dividende_je_Aktie!A$3:AM$103,8,FALSE)&lt;&gt;"",IF(VLOOKUP(A58,Ergebnis_je_Aktie_verwässert!A$3:AK$103,8,FALSE)&lt;&gt;"",IF(VLOOKUP(A58,Ergebnis_je_Aktie_verwässert!A$3:AK$103,8,FALSE)&lt;=0,2,IF(VLOOKUP(A58,Dividende_je_Aktie!A$3:AM$103,8,FALSE)/VLOOKUP(A58,Ergebnis_je_Aktie_verwässert!A$3:AK$103,8,FALSE)&gt;=2,2,VLOOKUP(A58,Dividende_je_Aktie!A$3:AM$103,8,FALSE)/VLOOKUP(A58,Ergebnis_je_Aktie_verwässert!A$3:AK$103,8,FALSE))),""),"")</f>
        <v>0.59499999999999997</v>
      </c>
      <c r="W58" s="71">
        <f>IF(VLOOKUP(A58,Dividende_je_Aktie!A$3:AM$103,9,FALSE)&lt;&gt;"",IF(VLOOKUP(A58,Ergebnis_je_Aktie_verwässert!A$3:AK$103,9,FALSE)&lt;&gt;"",IF(VLOOKUP(A58,Ergebnis_je_Aktie_verwässert!A$3:AK$103,9,FALSE)&lt;=0,2,IF(VLOOKUP(A58,Dividende_je_Aktie!A$3:AM$103,9,FALSE)/VLOOKUP(A58,Ergebnis_je_Aktie_verwässert!A$3:AK$103,9,FALSE)&gt;=2,2,VLOOKUP(A58,Dividende_je_Aktie!A$3:AM$103,9,FALSE)/VLOOKUP(A58,Ergebnis_je_Aktie_verwässert!A$3:AK$103,9,FALSE))),""),"")</f>
        <v>0.5539215686274509</v>
      </c>
      <c r="X58" s="71">
        <f>IF(VLOOKUP(A58,Dividende_je_Aktie!A$3:AM$103,10,FALSE)&lt;&gt;"",IF(VLOOKUP(A58,Ergebnis_je_Aktie_verwässert!A$3:AK$103,10,FALSE)&lt;&gt;"",IF(VLOOKUP(A58,Ergebnis_je_Aktie_verwässert!A$3:AK$103,10,FALSE)&lt;=0,2,IF(VLOOKUP(A58,Dividende_je_Aktie!A$3:AM$103,10,FALSE)/VLOOKUP(A58,Ergebnis_je_Aktie_verwässert!A$3:AK$103,10,FALSE)&gt;=2,2,VLOOKUP(A58,Dividende_je_Aktie!A$3:AM$103,10,FALSE)/VLOOKUP(A58,Ergebnis_je_Aktie_verwässert!A$3:AK$103,10,FALSE))),""),"")</f>
        <v>0.50239234449760772</v>
      </c>
      <c r="Y58" s="71">
        <f>IF(VLOOKUP(A58,Dividende_je_Aktie!A$3:AM$103,11,FALSE)&lt;&gt;"",IF(VLOOKUP(A58,Ergebnis_je_Aktie_verwässert!A$3:AK$103,11,FALSE)&lt;&gt;"",IF(VLOOKUP(A58,Ergebnis_je_Aktie_verwässert!A$3:AK$103,11,FALSE)&lt;=0,2,IF(VLOOKUP(A58,Dividende_je_Aktie!A$3:AM$103,11,FALSE)/VLOOKUP(A58,Ergebnis_je_Aktie_verwässert!A$3:AK$103,11,FALSE)&gt;=2,2,VLOOKUP(A58,Dividende_je_Aktie!A$3:AM$103,11,FALSE)/VLOOKUP(A58,Ergebnis_je_Aktie_verwässert!A$3:AK$103,11,FALSE))),""),"")</f>
        <v>0.49509803921568629</v>
      </c>
      <c r="Z58" s="71">
        <f>IF(VLOOKUP(A58,Dividende_je_Aktie!A$3:AM$103,12,FALSE)&lt;&gt;"",IF(VLOOKUP(A58,Ergebnis_je_Aktie_verwässert!A$3:AK$103,12,FALSE)&lt;&gt;"",IF(VLOOKUP(A58,Ergebnis_je_Aktie_verwässert!A$3:AK$103,12,FALSE)&lt;=0,2,IF(VLOOKUP(A58,Dividende_je_Aktie!A$3:AM$103,12,FALSE)/VLOOKUP(A58,Ergebnis_je_Aktie_verwässert!A$3:AK$103,12,FALSE)&gt;=2,2,VLOOKUP(A58,Dividende_je_Aktie!A$3:AM$103,12,FALSE)/VLOOKUP(A58,Ergebnis_je_Aktie_verwässert!A$3:AK$103,12,FALSE))),""),"")</f>
        <v>0.34469696969696967</v>
      </c>
      <c r="AA58" s="71">
        <f>IF(VLOOKUP(A58,Dividende_je_Aktie!A$3:AM$103,13,FALSE)&lt;&gt;"",IF(VLOOKUP(A58,Ergebnis_je_Aktie_verwässert!A$3:AK$103,13,FALSE)&lt;&gt;"",IF(VLOOKUP(A58,Ergebnis_je_Aktie_verwässert!A$3:AK$103,13,FALSE)&lt;=0,2,IF(VLOOKUP(A58,Dividende_je_Aktie!A$3:AM$103,13,FALSE)/VLOOKUP(A58,Ergebnis_je_Aktie_verwässert!A$3:AK$103,13,FALSE)&gt;=2,2,VLOOKUP(A58,Dividende_je_Aktie!A$3:AM$103,13,FALSE)/VLOOKUP(A58,Ergebnis_je_Aktie_verwässert!A$3:AK$103,13,FALSE))),""),"")</f>
        <v>0.53289473684210531</v>
      </c>
      <c r="AB58" s="71">
        <f>IF(VLOOKUP(A58,Dividende_je_Aktie!A$3:AM$103,14,FALSE)&lt;&gt;"",IF(VLOOKUP(A58,Ergebnis_je_Aktie_verwässert!A$3:AK$103,14,FALSE)&lt;&gt;"",IF(VLOOKUP(A58,Ergebnis_je_Aktie_verwässert!A$3:AK$103,14,FALSE)&lt;=0,2,IF(VLOOKUP(A58,Dividende_je_Aktie!A$3:AM$103,14,FALSE)/VLOOKUP(A58,Ergebnis_je_Aktie_verwässert!A$3:AK$103,14,FALSE)&gt;=2,2,VLOOKUP(A58,Dividende_je_Aktie!A$3:AM$103,14,FALSE)/VLOOKUP(A58,Ergebnis_je_Aktie_verwässert!A$3:AK$103,14,FALSE))),""),"")</f>
        <v>0.55737704918032793</v>
      </c>
      <c r="AC58" s="71">
        <f>IF(VLOOKUP(A58,Dividende_je_Aktie!A$3:AM$103,15,FALSE)&lt;&gt;"",IF(VLOOKUP(A58,Ergebnis_je_Aktie_verwässert!A$3:AK$103,15,FALSE)&lt;&gt;"",IF(VLOOKUP(A58,Ergebnis_je_Aktie_verwässert!A$3:AK$103,15,FALSE)&lt;=0,2,IF(VLOOKUP(A58,Dividende_je_Aktie!A$3:AM$103,15,FALSE)/VLOOKUP(A58,Ergebnis_je_Aktie_verwässert!A$3:AK$103,15,FALSE)&gt;=2,2,VLOOKUP(A58,Dividende_je_Aktie!A$3:AM$103,15,FALSE)/VLOOKUP(A58,Ergebnis_je_Aktie_verwässert!A$3:AK$103,15,FALSE))),""),"")</f>
        <v>0.46399999999999997</v>
      </c>
      <c r="AD58" s="71">
        <f>IF(VLOOKUP(A58,Dividende_je_Aktie!A$3:AM$103,16,FALSE)&lt;&gt;"",IF(VLOOKUP(A58,Ergebnis_je_Aktie_verwässert!A$3:AK$103,16,FALSE)&lt;&gt;"",IF(VLOOKUP(A58,Ergebnis_je_Aktie_verwässert!A$3:AK$103,16,FALSE)&lt;=0,2,IF(VLOOKUP(A58,Dividende_je_Aktie!A$3:AM$103,16,FALSE)/VLOOKUP(A58,Ergebnis_je_Aktie_verwässert!A$3:AK$103,16,FALSE)&gt;=2,2,VLOOKUP(A58,Dividende_je_Aktie!A$3:AM$103,16,FALSE)/VLOOKUP(A58,Ergebnis_je_Aktie_verwässert!A$3:AK$103,16,FALSE))),""),"")</f>
        <v>0.43283582089552231</v>
      </c>
      <c r="AE58" s="71">
        <f>IF(VLOOKUP(A58,Dividende_je_Aktie!A$3:AM$103,17,FALSE)&lt;&gt;"",IF(VLOOKUP(A58,Ergebnis_je_Aktie_verwässert!A$3:AK$103,17,FALSE)&lt;&gt;"",IF(VLOOKUP(A58,Ergebnis_je_Aktie_verwässert!A$3:AK$103,17,FALSE)&lt;=0,2,IF(VLOOKUP(A58,Dividende_je_Aktie!A$3:AM$103,17,FALSE)/VLOOKUP(A58,Ergebnis_je_Aktie_verwässert!A$3:AK$103,17,FALSE)&gt;=2,2,VLOOKUP(A58,Dividende_je_Aktie!A$3:AM$103,17,FALSE)/VLOOKUP(A58,Ergebnis_je_Aktie_verwässert!A$3:AK$103,17,FALSE))),""),"")</f>
        <v>0.45454545454545453</v>
      </c>
      <c r="AF58" s="71" t="str">
        <f>IF(VLOOKUP(A58,Dividende_je_Aktie!A$3:AM$103,18,FALSE)&lt;&gt;"",IF(VLOOKUP(A58,Ergebnis_je_Aktie_verwässert!A$3:AK$103,18,FALSE)&lt;&gt;"",IF(VLOOKUP(A58,Ergebnis_je_Aktie_verwässert!A$3:AK$103,18,FALSE)&lt;=0,2,IF(VLOOKUP(A58,Dividende_je_Aktie!A$3:AM$103,18,FALSE)/VLOOKUP(A58,Ergebnis_je_Aktie_verwässert!A$3:AK$103,18,FALSE)&gt;=2,2,VLOOKUP(A58,Dividende_je_Aktie!A$3:AM$103,18,FALSE)/VLOOKUP(A58,Ergebnis_je_Aktie_verwässert!A$3:AK$103,18,FALSE))),""),"")</f>
        <v/>
      </c>
      <c r="AG58" s="105">
        <f t="shared" si="8"/>
        <v>0.50810161926304709</v>
      </c>
      <c r="AH58" s="4">
        <f t="shared" ca="1" si="9"/>
        <v>18</v>
      </c>
      <c r="AI58" s="4">
        <f t="shared" ca="1" si="10"/>
        <v>342</v>
      </c>
      <c r="AJ58" s="4">
        <f t="shared" ca="1" si="11"/>
        <v>0</v>
      </c>
      <c r="AK58" s="10">
        <f t="shared" ca="1" si="12"/>
        <v>0.5973738157789984</v>
      </c>
      <c r="AL58" s="5">
        <f t="shared" ca="1" si="13"/>
        <v>0.17569752413982087</v>
      </c>
    </row>
    <row r="59" spans="1:38">
      <c r="A59" t="s">
        <v>87</v>
      </c>
      <c r="B59" t="s">
        <v>88</v>
      </c>
      <c r="C59" s="60">
        <v>31</v>
      </c>
      <c r="D59" s="60">
        <v>12</v>
      </c>
      <c r="E59" s="60">
        <v>2016</v>
      </c>
      <c r="F59" s="71">
        <f>IF(VLOOKUP(A59,Dividende_je_Aktie!A$3:AM$103,6,FALSE)&lt;&gt;"",IF(VLOOKUP(A59,Ergebnis_je_Aktie_verwässert!A$3:AK$103,6,FALSE)&lt;&gt;"",IF(VLOOKUP(A59,Ergebnis_je_Aktie_verwässert!A$3:AK$103,6,FALSE)&lt;=0,2,IF(VLOOKUP(A59,Dividende_je_Aktie!A$3:AM$103,6,FALSE)/VLOOKUP(A59,Ergebnis_je_Aktie_verwässert!A$3:AK$103,6,FALSE)&gt;=2,2,VLOOKUP(A59,Dividende_je_Aktie!A$3:AM$103,6,FALSE)/VLOOKUP(A59,Ergebnis_je_Aktie_verwässert!A$3:AK$103,6,FALSE))),""),"")</f>
        <v>0.51242236024844723</v>
      </c>
      <c r="G59" s="71">
        <f>IF(VLOOKUP(A59,Dividende_je_Aktie!A$3:AM$103,7,FALSE)&lt;&gt;"",IF(VLOOKUP(A59,Ergebnis_je_Aktie_verwässert!A$3:AK$103,7,FALSE)&lt;&gt;"",IF(VLOOKUP(A59,Ergebnis_je_Aktie_verwässert!A$3:AK$103,7,FALSE)&lt;=0,2,IF(VLOOKUP(A59,Dividende_je_Aktie!A$3:AM$103,7,FALSE)/VLOOKUP(A59,Ergebnis_je_Aktie_verwässert!A$3:AK$103,7,FALSE)&gt;=2,2,VLOOKUP(A59,Dividende_je_Aktie!A$3:AM$103,7,FALSE)/VLOOKUP(A59,Ergebnis_je_Aktie_verwässert!A$3:AK$103,7,FALSE))),""),"")</f>
        <v>0.52054794520547942</v>
      </c>
      <c r="H59" s="71">
        <f>IF(VLOOKUP(A59,Fiktive_Dividende!A$3:AM$103,14,FALSE)&lt;&gt;"",IF(VLOOKUP(A59,Ergebnis_je_Aktie_verwässert!A$3:AK$103,8,FALSE)&lt;&gt;"",IF(VLOOKUP(A59,Ergebnis_je_Aktie_verwässert!A$3:AK$103,8,FALSE)&lt;=0,2,IF(VLOOKUP(A59,Fiktive_Dividende!A$3:AM$103,14,FALSE)/VLOOKUP(A59,Ergebnis_je_Aktie_verwässert!A$3:AK$103,8,FALSE)&gt;=2,2,VLOOKUP(A59,Fiktive_Dividende!A$3:AM$103,14,FALSE)/VLOOKUP(A59,Ergebnis_je_Aktie_verwässert!A$3:AK$103,8,FALSE))),""),"")</f>
        <v>0.52222222222222214</v>
      </c>
      <c r="I59" s="71">
        <f>IF(VLOOKUP(A59,Fiktive_Dividende!A$3:AM$103,15,FALSE)&lt;&gt;"",IF(VLOOKUP(A59,Ergebnis_je_Aktie_verwässert!A$3:AK$103,9,FALSE)&lt;&gt;"",IF(VLOOKUP(A59,Ergebnis_je_Aktie_verwässert!A$3:AK$103,9,FALSE)&lt;=0,2,IF(VLOOKUP(A59,Fiktive_Dividende!A$3:AM$103,15,FALSE)/VLOOKUP(A59,Ergebnis_je_Aktie_verwässert!A$3:AK$103,9,FALSE)&gt;=2,2,VLOOKUP(A59,Fiktive_Dividende!A$3:AM$103,15,FALSE)/VLOOKUP(A59,Ergebnis_je_Aktie_verwässert!A$3:AK$103,9,FALSE))),""),"")</f>
        <v>0.57676348547717837</v>
      </c>
      <c r="J59" s="71">
        <f>IF(VLOOKUP(A59,Fiktive_Dividende!A$3:AM$103,16,FALSE)&lt;&gt;"",IF(VLOOKUP(A59,Ergebnis_je_Aktie_verwässert!A$3:AK$103,10,FALSE)&lt;&gt;"",IF(VLOOKUP(A59,Ergebnis_je_Aktie_verwässert!A$3:AK$103,10,FALSE)&lt;=0,2,IF(VLOOKUP(A59,Fiktive_Dividende!A$3:AM$103,16,FALSE)/VLOOKUP(A59,Ergebnis_je_Aktie_verwässert!A$3:AK$103,10,FALSE)&gt;=2,2,VLOOKUP(A59,Fiktive_Dividende!A$3:AM$103,16,FALSE)/VLOOKUP(A59,Ergebnis_je_Aktie_verwässert!A$3:AK$103,10,FALSE))),""),"")</f>
        <v>0.51769087523277457</v>
      </c>
      <c r="K59" s="71">
        <f>IF(VLOOKUP(A59,Fiktive_Dividende!A$3:AM$103,17,FALSE)&lt;&gt;"",IF(VLOOKUP(A59,Ergebnis_je_Aktie_verwässert!A$3:AK$103,11,FALSE)&lt;&gt;"",IF(VLOOKUP(A59,Ergebnis_je_Aktie_verwässert!A$3:AK$103,11,FALSE)&lt;=0,2,IF(VLOOKUP(A59,Fiktive_Dividende!A$3:AM$103,17,FALSE)/VLOOKUP(A59,Ergebnis_je_Aktie_verwässert!A$3:AK$103,11,FALSE)&gt;=2,2,VLOOKUP(A59,Fiktive_Dividende!A$3:AM$103,17,FALSE)/VLOOKUP(A59,Ergebnis_je_Aktie_verwässert!A$3:AK$103,11,FALSE))),""),"")</f>
        <v>0.50834879406307987</v>
      </c>
      <c r="L59" s="71">
        <f>IF(VLOOKUP(A59,Fiktive_Dividende!A$3:AM$103,18,FALSE)&lt;&gt;"",IF(VLOOKUP(A59,Ergebnis_je_Aktie_verwässert!A$3:AK$103,12,FALSE)&lt;&gt;"",IF(VLOOKUP(A59,Ergebnis_je_Aktie_verwässert!A$3:AK$103,12,FALSE)&lt;=0,2,IF(VLOOKUP(A59,Fiktive_Dividende!A$3:AM$103,18,FALSE)/VLOOKUP(A59,Ergebnis_je_Aktie_verwässert!A$3:AK$103,12,FALSE)&gt;=2,2,VLOOKUP(A59,Fiktive_Dividende!A$3:AM$103,18,FALSE)/VLOOKUP(A59,Ergebnis_je_Aktie_verwässert!A$3:AK$103,12,FALSE))),""),"")</f>
        <v>0.5068078668683812</v>
      </c>
      <c r="M59" s="71">
        <f>IF(VLOOKUP(A59,Fiktive_Dividende!A$3:AM$103,19,FALSE)&lt;&gt;"",IF(VLOOKUP(A59,Ergebnis_je_Aktie_verwässert!A$3:AK$103,13,FALSE)&lt;&gt;"",IF(VLOOKUP(A59,Ergebnis_je_Aktie_verwässert!A$3:AK$103,13,FALSE)&lt;=0,2,IF(VLOOKUP(A59,Fiktive_Dividende!A$3:AM$103,19,FALSE)/VLOOKUP(A59,Ergebnis_je_Aktie_verwässert!A$3:AK$103,13,FALSE)&gt;=2,2,VLOOKUP(A59,Fiktive_Dividende!A$3:AM$103,19,FALSE)/VLOOKUP(A59,Ergebnis_je_Aktie_verwässert!A$3:AK$103,13,FALSE))),""),"")</f>
        <v>0.50586806960744635</v>
      </c>
      <c r="N59" s="71">
        <f>IF(VLOOKUP(A59,Fiktive_Dividende!A$3:AM$103,20,FALSE)&lt;&gt;"",IF(VLOOKUP(A59,Ergebnis_je_Aktie_verwässert!A$3:AK$103,14,FALSE)&lt;&gt;"",IF(VLOOKUP(A59,Ergebnis_je_Aktie_verwässert!A$3:AK$103,14,FALSE)&lt;=0,2,IF(VLOOKUP(A59,Fiktive_Dividende!A$3:AM$103,20,FALSE)/VLOOKUP(A59,Ergebnis_je_Aktie_verwässert!A$3:AK$103,14,FALSE)&gt;=2,2,VLOOKUP(A59,Fiktive_Dividende!A$3:AM$103,20,FALSE)/VLOOKUP(A59,Ergebnis_je_Aktie_verwässert!A$3:AK$103,14,FALSE))),""),"")</f>
        <v>0.53117782909930711</v>
      </c>
      <c r="O59" s="71">
        <f>IF(VLOOKUP(A59,Fiktive_Dividende!A$3:AM$103,21,FALSE)&lt;&gt;"",IF(VLOOKUP(A59,Ergebnis_je_Aktie_verwässert!A$3:AK$103,15,FALSE)&lt;&gt;"",IF(VLOOKUP(A59,Ergebnis_je_Aktie_verwässert!A$3:AK$103,15,FALSE)&lt;=0,2,IF(VLOOKUP(A59,Fiktive_Dividende!A$3:AM$103,21,FALSE)/VLOOKUP(A59,Ergebnis_je_Aktie_verwässert!A$3:AK$103,15,FALSE)&gt;=2,2,VLOOKUP(A59,Fiktive_Dividende!A$3:AM$103,21,FALSE)/VLOOKUP(A59,Ergebnis_je_Aktie_verwässert!A$3:AK$103,15,FALSE))),""),"")</f>
        <v>0.51361068310220848</v>
      </c>
      <c r="P59" s="71">
        <f>IF(VLOOKUP(A59,Fiktive_Dividende!A$3:AM$103,22,FALSE)&lt;&gt;"",IF(VLOOKUP(A59,Ergebnis_je_Aktie_verwässert!A$3:AK$103,16,FALSE)&lt;&gt;"",IF(VLOOKUP(A59,Ergebnis_je_Aktie_verwässert!A$3:AK$103,16,FALSE)&lt;=0,2,IF(VLOOKUP(A59,Fiktive_Dividende!A$3:AM$103,22,FALSE)/VLOOKUP(A59,Ergebnis_je_Aktie_verwässert!A$3:AK$103,16,FALSE)&gt;=2,2,VLOOKUP(A59,Fiktive_Dividende!A$3:AM$103,22,FALSE)/VLOOKUP(A59,Ergebnis_je_Aktie_verwässert!A$3:AK$103,16,FALSE))),""),"")</f>
        <v>0.39290240811153354</v>
      </c>
      <c r="Q59" s="71">
        <f>IF(VLOOKUP(A59,Fiktive_Dividende!A$3:AM$103,23,FALSE)&lt;&gt;"",IF(VLOOKUP(A59,Ergebnis_je_Aktie_verwässert!A$3:AK$103,17,FALSE)&lt;&gt;"",IF(VLOOKUP(A59,Ergebnis_je_Aktie_verwässert!A$3:AK$103,17,FALSE)&lt;=0,2,IF(VLOOKUP(A59,Fiktive_Dividende!A$3:AM$103,23,FALSE)/VLOOKUP(A59,Ergebnis_je_Aktie_verwässert!A$3:AK$103,17,FALSE)&gt;=2,2,VLOOKUP(A59,Fiktive_Dividende!A$3:AM$103,23,FALSE)/VLOOKUP(A59,Ergebnis_je_Aktie_verwässert!A$3:AK$103,17,FALSE))),""),"")</f>
        <v>0.4051863857374392</v>
      </c>
      <c r="R59" s="71">
        <f>IF(VLOOKUP(A59,Fiktive_Dividende!A$3:AM$103,24,FALSE)&lt;&gt;"",IF(VLOOKUP(A59,Ergebnis_je_Aktie_verwässert!A$3:AK$103,18,FALSE)&lt;&gt;"",IF(VLOOKUP(A59,Ergebnis_je_Aktie_verwässert!A$3:AK$103,18,FALSE)&lt;=0,2,IF(VLOOKUP(A59,Fiktive_Dividende!A$3:AM$103,24,FALSE)/VLOOKUP(A59,Ergebnis_je_Aktie_verwässert!A$3:AK$103,18,FALSE)&gt;=2,2,VLOOKUP(A59,Fiktive_Dividende!A$3:AM$103,24,FALSE)/VLOOKUP(A59,Ergebnis_je_Aktie_verwässert!A$3:AK$103,18,FALSE))),""),"")</f>
        <v>0.39215686274509803</v>
      </c>
      <c r="S59" s="105">
        <f t="shared" si="7"/>
        <v>0.49274659905543045</v>
      </c>
      <c r="T59" s="71">
        <f>IF(VLOOKUP(A59,Dividende_je_Aktie!A$3:AM$103,6,FALSE)&lt;&gt;"",IF(VLOOKUP(A59,Ergebnis_je_Aktie_verwässert!A$3:AK$103,6,FALSE)&lt;&gt;"",IF(VLOOKUP(A59,Ergebnis_je_Aktie_verwässert!A$3:AK$103,6,FALSE)&lt;=0,2,IF(VLOOKUP(A59,Dividende_je_Aktie!A$3:AM$103,6,FALSE)/VLOOKUP(A59,Ergebnis_je_Aktie_verwässert!A$3:AK$103,6,FALSE)&gt;=2,2,VLOOKUP(A59,Dividende_je_Aktie!A$3:AM$103,6,FALSE)/VLOOKUP(A59,Ergebnis_je_Aktie_verwässert!A$3:AK$103,6,FALSE))),""),"")</f>
        <v>0.51242236024844723</v>
      </c>
      <c r="U59" s="71">
        <f>IF(VLOOKUP(A59,Dividende_je_Aktie!A$3:AM$103,7,FALSE)&lt;&gt;"",IF(VLOOKUP(A59,Ergebnis_je_Aktie_verwässert!A$3:AK$103,7,FALSE)&lt;&gt;"",IF(VLOOKUP(A59,Ergebnis_je_Aktie_verwässert!A$3:AK$103,7,FALSE)&lt;=0,2,IF(VLOOKUP(A59,Dividende_je_Aktie!A$3:AM$103,7,FALSE)/VLOOKUP(A59,Ergebnis_je_Aktie_verwässert!A$3:AK$103,7,FALSE)&gt;=2,2,VLOOKUP(A59,Dividende_je_Aktie!A$3:AM$103,7,FALSE)/VLOOKUP(A59,Ergebnis_je_Aktie_verwässert!A$3:AK$103,7,FALSE))),""),"")</f>
        <v>0.52054794520547942</v>
      </c>
      <c r="V59" s="71">
        <f>IF(VLOOKUP(A59,Dividende_je_Aktie!A$3:AM$103,8,FALSE)&lt;&gt;"",IF(VLOOKUP(A59,Ergebnis_je_Aktie_verwässert!A$3:AK$103,8,FALSE)&lt;&gt;"",IF(VLOOKUP(A59,Ergebnis_je_Aktie_verwässert!A$3:AK$103,8,FALSE)&lt;=0,2,IF(VLOOKUP(A59,Dividende_je_Aktie!A$3:AM$103,8,FALSE)/VLOOKUP(A59,Ergebnis_je_Aktie_verwässert!A$3:AK$103,8,FALSE)&gt;=2,2,VLOOKUP(A59,Dividende_je_Aktie!A$3:AM$103,8,FALSE)/VLOOKUP(A59,Ergebnis_je_Aktie_verwässert!A$3:AK$103,8,FALSE))),""),"")</f>
        <v>0.52222222222222214</v>
      </c>
      <c r="W59" s="71">
        <f>IF(VLOOKUP(A59,Dividende_je_Aktie!A$3:AM$103,9,FALSE)&lt;&gt;"",IF(VLOOKUP(A59,Ergebnis_je_Aktie_verwässert!A$3:AK$103,9,FALSE)&lt;&gt;"",IF(VLOOKUP(A59,Ergebnis_je_Aktie_verwässert!A$3:AK$103,9,FALSE)&lt;=0,2,IF(VLOOKUP(A59,Dividende_je_Aktie!A$3:AM$103,9,FALSE)/VLOOKUP(A59,Ergebnis_je_Aktie_verwässert!A$3:AK$103,9,FALSE)&gt;=2,2,VLOOKUP(A59,Dividende_je_Aktie!A$3:AM$103,9,FALSE)/VLOOKUP(A59,Ergebnis_je_Aktie_verwässert!A$3:AK$103,9,FALSE))),""),"")</f>
        <v>0.57676348547717837</v>
      </c>
      <c r="X59" s="71">
        <f>IF(VLOOKUP(A59,Dividende_je_Aktie!A$3:AM$103,10,FALSE)&lt;&gt;"",IF(VLOOKUP(A59,Ergebnis_je_Aktie_verwässert!A$3:AK$103,10,FALSE)&lt;&gt;"",IF(VLOOKUP(A59,Ergebnis_je_Aktie_verwässert!A$3:AK$103,10,FALSE)&lt;=0,2,IF(VLOOKUP(A59,Dividende_je_Aktie!A$3:AM$103,10,FALSE)/VLOOKUP(A59,Ergebnis_je_Aktie_verwässert!A$3:AK$103,10,FALSE)&gt;=2,2,VLOOKUP(A59,Dividende_je_Aktie!A$3:AM$103,10,FALSE)/VLOOKUP(A59,Ergebnis_je_Aktie_verwässert!A$3:AK$103,10,FALSE))),""),"")</f>
        <v>0.51769087523277457</v>
      </c>
      <c r="Y59" s="71">
        <f>IF(VLOOKUP(A59,Dividende_je_Aktie!A$3:AM$103,11,FALSE)&lt;&gt;"",IF(VLOOKUP(A59,Ergebnis_je_Aktie_verwässert!A$3:AK$103,11,FALSE)&lt;&gt;"",IF(VLOOKUP(A59,Ergebnis_je_Aktie_verwässert!A$3:AK$103,11,FALSE)&lt;=0,2,IF(VLOOKUP(A59,Dividende_je_Aktie!A$3:AM$103,11,FALSE)/VLOOKUP(A59,Ergebnis_je_Aktie_verwässert!A$3:AK$103,11,FALSE)&gt;=2,2,VLOOKUP(A59,Dividende_je_Aktie!A$3:AM$103,11,FALSE)/VLOOKUP(A59,Ergebnis_je_Aktie_verwässert!A$3:AK$103,11,FALSE))),""),"")</f>
        <v>0.50834879406307987</v>
      </c>
      <c r="Z59" s="71">
        <f>IF(VLOOKUP(A59,Dividende_je_Aktie!A$3:AM$103,12,FALSE)&lt;&gt;"",IF(VLOOKUP(A59,Ergebnis_je_Aktie_verwässert!A$3:AK$103,12,FALSE)&lt;&gt;"",IF(VLOOKUP(A59,Ergebnis_je_Aktie_verwässert!A$3:AK$103,12,FALSE)&lt;=0,2,IF(VLOOKUP(A59,Dividende_je_Aktie!A$3:AM$103,12,FALSE)/VLOOKUP(A59,Ergebnis_je_Aktie_verwässert!A$3:AK$103,12,FALSE)&gt;=2,2,VLOOKUP(A59,Dividende_je_Aktie!A$3:AM$103,12,FALSE)/VLOOKUP(A59,Ergebnis_je_Aktie_verwässert!A$3:AK$103,12,FALSE))),""),"")</f>
        <v>0.5068078668683812</v>
      </c>
      <c r="AA59" s="71">
        <f>IF(VLOOKUP(A59,Dividende_je_Aktie!A$3:AM$103,13,FALSE)&lt;&gt;"",IF(VLOOKUP(A59,Ergebnis_je_Aktie_verwässert!A$3:AK$103,13,FALSE)&lt;&gt;"",IF(VLOOKUP(A59,Ergebnis_je_Aktie_verwässert!A$3:AK$103,13,FALSE)&lt;=0,2,IF(VLOOKUP(A59,Dividende_je_Aktie!A$3:AM$103,13,FALSE)/VLOOKUP(A59,Ergebnis_je_Aktie_verwässert!A$3:AK$103,13,FALSE)&gt;=2,2,VLOOKUP(A59,Dividende_je_Aktie!A$3:AM$103,13,FALSE)/VLOOKUP(A59,Ergebnis_je_Aktie_verwässert!A$3:AK$103,13,FALSE))),""),"")</f>
        <v>0.50586806960744635</v>
      </c>
      <c r="AB59" s="71">
        <f>IF(VLOOKUP(A59,Dividende_je_Aktie!A$3:AM$103,14,FALSE)&lt;&gt;"",IF(VLOOKUP(A59,Ergebnis_je_Aktie_verwässert!A$3:AK$103,14,FALSE)&lt;&gt;"",IF(VLOOKUP(A59,Ergebnis_je_Aktie_verwässert!A$3:AK$103,14,FALSE)&lt;=0,2,IF(VLOOKUP(A59,Dividende_je_Aktie!A$3:AM$103,14,FALSE)/VLOOKUP(A59,Ergebnis_je_Aktie_verwässert!A$3:AK$103,14,FALSE)&gt;=2,2,VLOOKUP(A59,Dividende_je_Aktie!A$3:AM$103,14,FALSE)/VLOOKUP(A59,Ergebnis_je_Aktie_verwässert!A$3:AK$103,14,FALSE))),""),"")</f>
        <v>0.53117782909930711</v>
      </c>
      <c r="AC59" s="71">
        <f>IF(VLOOKUP(A59,Dividende_je_Aktie!A$3:AM$103,15,FALSE)&lt;&gt;"",IF(VLOOKUP(A59,Ergebnis_je_Aktie_verwässert!A$3:AK$103,15,FALSE)&lt;&gt;"",IF(VLOOKUP(A59,Ergebnis_je_Aktie_verwässert!A$3:AK$103,15,FALSE)&lt;=0,2,IF(VLOOKUP(A59,Dividende_je_Aktie!A$3:AM$103,15,FALSE)/VLOOKUP(A59,Ergebnis_je_Aktie_verwässert!A$3:AK$103,15,FALSE)&gt;=2,2,VLOOKUP(A59,Dividende_je_Aktie!A$3:AM$103,15,FALSE)/VLOOKUP(A59,Ergebnis_je_Aktie_verwässert!A$3:AK$103,15,FALSE))),""),"")</f>
        <v>0.51361068310220848</v>
      </c>
      <c r="AD59" s="71">
        <f>IF(VLOOKUP(A59,Dividende_je_Aktie!A$3:AM$103,16,FALSE)&lt;&gt;"",IF(VLOOKUP(A59,Ergebnis_je_Aktie_verwässert!A$3:AK$103,16,FALSE)&lt;&gt;"",IF(VLOOKUP(A59,Ergebnis_je_Aktie_verwässert!A$3:AK$103,16,FALSE)&lt;=0,2,IF(VLOOKUP(A59,Dividende_je_Aktie!A$3:AM$103,16,FALSE)/VLOOKUP(A59,Ergebnis_je_Aktie_verwässert!A$3:AK$103,16,FALSE)&gt;=2,2,VLOOKUP(A59,Dividende_je_Aktie!A$3:AM$103,16,FALSE)/VLOOKUP(A59,Ergebnis_je_Aktie_verwässert!A$3:AK$103,16,FALSE))),""),"")</f>
        <v>0.39290240811153354</v>
      </c>
      <c r="AE59" s="71">
        <f>IF(VLOOKUP(A59,Dividende_je_Aktie!A$3:AM$103,17,FALSE)&lt;&gt;"",IF(VLOOKUP(A59,Ergebnis_je_Aktie_verwässert!A$3:AK$103,17,FALSE)&lt;&gt;"",IF(VLOOKUP(A59,Ergebnis_je_Aktie_verwässert!A$3:AK$103,17,FALSE)&lt;=0,2,IF(VLOOKUP(A59,Dividende_je_Aktie!A$3:AM$103,17,FALSE)/VLOOKUP(A59,Ergebnis_je_Aktie_verwässert!A$3:AK$103,17,FALSE)&gt;=2,2,VLOOKUP(A59,Dividende_je_Aktie!A$3:AM$103,17,FALSE)/VLOOKUP(A59,Ergebnis_je_Aktie_verwässert!A$3:AK$103,17,FALSE))),""),"")</f>
        <v>0.4051863857374392</v>
      </c>
      <c r="AF59" s="71">
        <f>IF(VLOOKUP(A59,Dividende_je_Aktie!A$3:AM$103,18,FALSE)&lt;&gt;"",IF(VLOOKUP(A59,Ergebnis_je_Aktie_verwässert!A$3:AK$103,18,FALSE)&lt;&gt;"",IF(VLOOKUP(A59,Ergebnis_je_Aktie_verwässert!A$3:AK$103,18,FALSE)&lt;=0,2,IF(VLOOKUP(A59,Dividende_je_Aktie!A$3:AM$103,18,FALSE)/VLOOKUP(A59,Ergebnis_je_Aktie_verwässert!A$3:AK$103,18,FALSE)&gt;=2,2,VLOOKUP(A59,Dividende_je_Aktie!A$3:AM$103,18,FALSE)/VLOOKUP(A59,Ergebnis_je_Aktie_verwässert!A$3:AK$103,18,FALSE))),""),"")</f>
        <v>0.39215686274509803</v>
      </c>
      <c r="AG59" s="105">
        <f t="shared" si="8"/>
        <v>0.49274659905543045</v>
      </c>
      <c r="AH59" s="4">
        <f t="shared" ca="1" si="9"/>
        <v>0</v>
      </c>
      <c r="AI59" s="4">
        <f t="shared" ca="1" si="10"/>
        <v>108</v>
      </c>
      <c r="AJ59" s="4">
        <f t="shared" ca="1" si="11"/>
        <v>252</v>
      </c>
      <c r="AK59" s="10">
        <f t="shared" ca="1" si="12"/>
        <v>0.52171993911719938</v>
      </c>
      <c r="AL59" s="5">
        <f t="shared" ca="1" si="13"/>
        <v>5.8799675365206694E-2</v>
      </c>
    </row>
    <row r="60" spans="1:38">
      <c r="A60" t="s">
        <v>252</v>
      </c>
      <c r="B60" t="s">
        <v>253</v>
      </c>
      <c r="C60" s="60">
        <v>30</v>
      </c>
      <c r="D60" s="60">
        <v>4</v>
      </c>
      <c r="E60" s="60">
        <v>2016</v>
      </c>
      <c r="F60" s="71">
        <f>IF(VLOOKUP(A60,Dividende_je_Aktie!A$3:AM$103,6,FALSE)&lt;&gt;"",IF(VLOOKUP(A60,Ergebnis_je_Aktie_verwässert!A$3:AK$103,6,FALSE)&lt;&gt;"",IF(VLOOKUP(A60,Ergebnis_je_Aktie_verwässert!A$3:AK$103,6,FALSE)&lt;=0,2,IF(VLOOKUP(A60,Dividende_je_Aktie!A$3:AM$103,6,FALSE)/VLOOKUP(A60,Ergebnis_je_Aktie_verwässert!A$3:AK$103,6,FALSE)&gt;=2,2,VLOOKUP(A60,Dividende_je_Aktie!A$3:AM$103,6,FALSE)/VLOOKUP(A60,Ergebnis_je_Aktie_verwässert!A$3:AK$103,6,FALSE))),""),"")</f>
        <v>0.47596153846153844</v>
      </c>
      <c r="G60" s="71">
        <f>IF(VLOOKUP(A60,Dividende_je_Aktie!A$3:AM$103,7,FALSE)&lt;&gt;"",IF(VLOOKUP(A60,Ergebnis_je_Aktie_verwässert!A$3:AK$103,7,FALSE)&lt;&gt;"",IF(VLOOKUP(A60,Ergebnis_je_Aktie_verwässert!A$3:AK$103,7,FALSE)&lt;=0,2,IF(VLOOKUP(A60,Dividende_je_Aktie!A$3:AM$103,7,FALSE)/VLOOKUP(A60,Ergebnis_je_Aktie_verwässert!A$3:AK$103,7,FALSE)&gt;=2,2,VLOOKUP(A60,Dividende_je_Aktie!A$3:AM$103,7,FALSE)/VLOOKUP(A60,Ergebnis_je_Aktie_verwässert!A$3:AK$103,7,FALSE))),""),"")</f>
        <v>0.45430809399477806</v>
      </c>
      <c r="H60" s="71">
        <f>IF(VLOOKUP(A60,Fiktive_Dividende!A$3:AM$103,14,FALSE)&lt;&gt;"",IF(VLOOKUP(A60,Ergebnis_je_Aktie_verwässert!A$3:AK$103,8,FALSE)&lt;&gt;"",IF(VLOOKUP(A60,Ergebnis_je_Aktie_verwässert!A$3:AK$103,8,FALSE)&lt;=0,2,IF(VLOOKUP(A60,Fiktive_Dividende!A$3:AM$103,14,FALSE)/VLOOKUP(A60,Ergebnis_je_Aktie_verwässert!A$3:AK$103,8,FALSE)&gt;=2,2,VLOOKUP(A60,Fiktive_Dividende!A$3:AM$103,14,FALSE)/VLOOKUP(A60,Ergebnis_je_Aktie_verwässert!A$3:AK$103,8,FALSE))),""),"")</f>
        <v>0.44510385756676557</v>
      </c>
      <c r="I60" s="71">
        <f>IF(VLOOKUP(A60,Fiktive_Dividende!A$3:AM$103,15,FALSE)&lt;&gt;"",IF(VLOOKUP(A60,Ergebnis_je_Aktie_verwässert!A$3:AK$103,9,FALSE)&lt;&gt;"",IF(VLOOKUP(A60,Ergebnis_je_Aktie_verwässert!A$3:AK$103,9,FALSE)&lt;=0,2,IF(VLOOKUP(A60,Fiktive_Dividende!A$3:AM$103,15,FALSE)/VLOOKUP(A60,Ergebnis_je_Aktie_verwässert!A$3:AK$103,9,FALSE)&gt;=2,2,VLOOKUP(A60,Fiktive_Dividende!A$3:AM$103,15,FALSE)/VLOOKUP(A60,Ergebnis_je_Aktie_verwässert!A$3:AK$103,9,FALSE))),""),"")</f>
        <v>0.32189973614775724</v>
      </c>
      <c r="J60" s="71">
        <f>IF(VLOOKUP(A60,Fiktive_Dividende!A$3:AM$103,16,FALSE)&lt;&gt;"",IF(VLOOKUP(A60,Ergebnis_je_Aktie_verwässert!A$3:AK$103,10,FALSE)&lt;&gt;"",IF(VLOOKUP(A60,Ergebnis_je_Aktie_verwässert!A$3:AK$103,10,FALSE)&lt;=0,2,IF(VLOOKUP(A60,Fiktive_Dividende!A$3:AM$103,16,FALSE)/VLOOKUP(A60,Ergebnis_je_Aktie_verwässert!A$3:AK$103,10,FALSE)&gt;=2,2,VLOOKUP(A60,Fiktive_Dividende!A$3:AM$103,16,FALSE)/VLOOKUP(A60,Ergebnis_je_Aktie_verwässert!A$3:AK$103,10,FALSE))),""),"")</f>
        <v>0.55667741232045698</v>
      </c>
      <c r="K60" s="71">
        <f>IF(VLOOKUP(A60,Fiktive_Dividende!A$3:AM$103,17,FALSE)&lt;&gt;"",IF(VLOOKUP(A60,Ergebnis_je_Aktie_verwässert!A$3:AK$103,11,FALSE)&lt;&gt;"",IF(VLOOKUP(A60,Ergebnis_je_Aktie_verwässert!A$3:AK$103,11,FALSE)&lt;=0,2,IF(VLOOKUP(A60,Fiktive_Dividende!A$3:AM$103,17,FALSE)/VLOOKUP(A60,Ergebnis_je_Aktie_verwässert!A$3:AK$103,11,FALSE)&gt;=2,2,VLOOKUP(A60,Fiktive_Dividende!A$3:AM$103,17,FALSE)/VLOOKUP(A60,Ergebnis_je_Aktie_verwässert!A$3:AK$103,11,FALSE))),""),"")</f>
        <v>0.54342978469154779</v>
      </c>
      <c r="L60" s="71">
        <f>IF(VLOOKUP(A60,Fiktive_Dividende!A$3:AM$103,18,FALSE)&lt;&gt;"",IF(VLOOKUP(A60,Ergebnis_je_Aktie_verwässert!A$3:AK$103,12,FALSE)&lt;&gt;"",IF(VLOOKUP(A60,Ergebnis_je_Aktie_verwässert!A$3:AK$103,12,FALSE)&lt;=0,2,IF(VLOOKUP(A60,Fiktive_Dividende!A$3:AM$103,18,FALSE)/VLOOKUP(A60,Ergebnis_je_Aktie_verwässert!A$3:AK$103,12,FALSE)&gt;=2,2,VLOOKUP(A60,Fiktive_Dividende!A$3:AM$103,18,FALSE)/VLOOKUP(A60,Ergebnis_je_Aktie_verwässert!A$3:AK$103,12,FALSE))),""),"")</f>
        <v>0.64094486407610496</v>
      </c>
      <c r="M60" s="71">
        <f>IF(VLOOKUP(A60,Fiktive_Dividende!A$3:AM$103,19,FALSE)&lt;&gt;"",IF(VLOOKUP(A60,Ergebnis_je_Aktie_verwässert!A$3:AK$103,13,FALSE)&lt;&gt;"",IF(VLOOKUP(A60,Ergebnis_je_Aktie_verwässert!A$3:AK$103,13,FALSE)&lt;=0,2,IF(VLOOKUP(A60,Fiktive_Dividende!A$3:AM$103,19,FALSE)/VLOOKUP(A60,Ergebnis_je_Aktie_verwässert!A$3:AK$103,13,FALSE)&gt;=2,2,VLOOKUP(A60,Fiktive_Dividende!A$3:AM$103,19,FALSE)/VLOOKUP(A60,Ergebnis_je_Aktie_verwässert!A$3:AK$103,13,FALSE))),""),"")</f>
        <v>0.57967497712082972</v>
      </c>
      <c r="N60" s="71">
        <f>IF(VLOOKUP(A60,Fiktive_Dividende!A$3:AM$103,20,FALSE)&lt;&gt;"",IF(VLOOKUP(A60,Ergebnis_je_Aktie_verwässert!A$3:AK$103,14,FALSE)&lt;&gt;"",IF(VLOOKUP(A60,Ergebnis_je_Aktie_verwässert!A$3:AK$103,14,FALSE)&lt;=0,2,IF(VLOOKUP(A60,Fiktive_Dividende!A$3:AM$103,20,FALSE)/VLOOKUP(A60,Ergebnis_je_Aktie_verwässert!A$3:AK$103,14,FALSE)&gt;=2,2,VLOOKUP(A60,Fiktive_Dividende!A$3:AM$103,20,FALSE)/VLOOKUP(A60,Ergebnis_je_Aktie_verwässert!A$3:AK$103,14,FALSE))),""),"")</f>
        <v>0.52676695901300541</v>
      </c>
      <c r="O60" s="71">
        <f>IF(VLOOKUP(A60,Fiktive_Dividende!A$3:AM$103,21,FALSE)&lt;&gt;"",IF(VLOOKUP(A60,Ergebnis_je_Aktie_verwässert!A$3:AK$103,15,FALSE)&lt;&gt;"",IF(VLOOKUP(A60,Ergebnis_je_Aktie_verwässert!A$3:AK$103,15,FALSE)&lt;=0,2,IF(VLOOKUP(A60,Fiktive_Dividende!A$3:AM$103,21,FALSE)/VLOOKUP(A60,Ergebnis_je_Aktie_verwässert!A$3:AK$103,15,FALSE)&gt;=2,2,VLOOKUP(A60,Fiktive_Dividende!A$3:AM$103,21,FALSE)/VLOOKUP(A60,Ergebnis_je_Aktie_verwässert!A$3:AK$103,15,FALSE))),""),"")</f>
        <v>0.31561019501267035</v>
      </c>
      <c r="P60" s="71">
        <f>IF(VLOOKUP(A60,Fiktive_Dividende!A$3:AM$103,22,FALSE)&lt;&gt;"",IF(VLOOKUP(A60,Ergebnis_je_Aktie_verwässert!A$3:AK$103,16,FALSE)&lt;&gt;"",IF(VLOOKUP(A60,Ergebnis_je_Aktie_verwässert!A$3:AK$103,16,FALSE)&lt;=0,2,IF(VLOOKUP(A60,Fiktive_Dividende!A$3:AM$103,22,FALSE)/VLOOKUP(A60,Ergebnis_je_Aktie_verwässert!A$3:AK$103,16,FALSE)&gt;=2,2,VLOOKUP(A60,Fiktive_Dividende!A$3:AM$103,22,FALSE)/VLOOKUP(A60,Ergebnis_je_Aktie_verwässert!A$3:AK$103,16,FALSE))),""),"")</f>
        <v>0.49187692307692304</v>
      </c>
      <c r="Q60" s="71">
        <f>IF(VLOOKUP(A60,Fiktive_Dividende!A$3:AM$103,23,FALSE)&lt;&gt;"",IF(VLOOKUP(A60,Ergebnis_je_Aktie_verwässert!A$3:AK$103,17,FALSE)&lt;&gt;"",IF(VLOOKUP(A60,Ergebnis_je_Aktie_verwässert!A$3:AK$103,17,FALSE)&lt;=0,2,IF(VLOOKUP(A60,Fiktive_Dividende!A$3:AM$103,23,FALSE)/VLOOKUP(A60,Ergebnis_je_Aktie_verwässert!A$3:AK$103,17,FALSE)&gt;=2,2,VLOOKUP(A60,Fiktive_Dividende!A$3:AM$103,23,FALSE)/VLOOKUP(A60,Ergebnis_je_Aktie_verwässert!A$3:AK$103,17,FALSE))),""),"")</f>
        <v>0.41332592762004328</v>
      </c>
      <c r="R60" s="71">
        <f>IF(VLOOKUP(A60,Fiktive_Dividende!A$3:AM$103,24,FALSE)&lt;&gt;"",IF(VLOOKUP(A60,Ergebnis_je_Aktie_verwässert!A$3:AK$103,18,FALSE)&lt;&gt;"",IF(VLOOKUP(A60,Ergebnis_je_Aktie_verwässert!A$3:AK$103,18,FALSE)&lt;=0,2,IF(VLOOKUP(A60,Fiktive_Dividende!A$3:AM$103,24,FALSE)/VLOOKUP(A60,Ergebnis_je_Aktie_verwässert!A$3:AK$103,18,FALSE)&gt;=2,2,VLOOKUP(A60,Fiktive_Dividende!A$3:AM$103,24,FALSE)/VLOOKUP(A60,Ergebnis_je_Aktie_verwässert!A$3:AK$103,18,FALSE))),""),"")</f>
        <v>1.2621212121212122</v>
      </c>
      <c r="S60" s="105">
        <f t="shared" si="7"/>
        <v>0.54059242163258725</v>
      </c>
      <c r="T60" s="71">
        <f>IF(VLOOKUP(A60,Dividende_je_Aktie!A$3:AM$103,6,FALSE)&lt;&gt;"",IF(VLOOKUP(A60,Ergebnis_je_Aktie_verwässert!A$3:AK$103,6,FALSE)&lt;&gt;"",IF(VLOOKUP(A60,Ergebnis_je_Aktie_verwässert!A$3:AK$103,6,FALSE)&lt;=0,2,IF(VLOOKUP(A60,Dividende_je_Aktie!A$3:AM$103,6,FALSE)/VLOOKUP(A60,Ergebnis_je_Aktie_verwässert!A$3:AK$103,6,FALSE)&gt;=2,2,VLOOKUP(A60,Dividende_je_Aktie!A$3:AM$103,6,FALSE)/VLOOKUP(A60,Ergebnis_je_Aktie_verwässert!A$3:AK$103,6,FALSE))),""),"")</f>
        <v>0.47596153846153844</v>
      </c>
      <c r="U60" s="71">
        <f>IF(VLOOKUP(A60,Dividende_je_Aktie!A$3:AM$103,7,FALSE)&lt;&gt;"",IF(VLOOKUP(A60,Ergebnis_je_Aktie_verwässert!A$3:AK$103,7,FALSE)&lt;&gt;"",IF(VLOOKUP(A60,Ergebnis_je_Aktie_verwässert!A$3:AK$103,7,FALSE)&lt;=0,2,IF(VLOOKUP(A60,Dividende_je_Aktie!A$3:AM$103,7,FALSE)/VLOOKUP(A60,Ergebnis_je_Aktie_verwässert!A$3:AK$103,7,FALSE)&gt;=2,2,VLOOKUP(A60,Dividende_je_Aktie!A$3:AM$103,7,FALSE)/VLOOKUP(A60,Ergebnis_je_Aktie_verwässert!A$3:AK$103,7,FALSE))),""),"")</f>
        <v>0.45430809399477806</v>
      </c>
      <c r="V60" s="71">
        <f>IF(VLOOKUP(A60,Dividende_je_Aktie!A$3:AM$103,8,FALSE)&lt;&gt;"",IF(VLOOKUP(A60,Ergebnis_je_Aktie_verwässert!A$3:AK$103,8,FALSE)&lt;&gt;"",IF(VLOOKUP(A60,Ergebnis_je_Aktie_verwässert!A$3:AK$103,8,FALSE)&lt;=0,2,IF(VLOOKUP(A60,Dividende_je_Aktie!A$3:AM$103,8,FALSE)/VLOOKUP(A60,Ergebnis_je_Aktie_verwässert!A$3:AK$103,8,FALSE)&gt;=2,2,VLOOKUP(A60,Dividende_je_Aktie!A$3:AM$103,8,FALSE)/VLOOKUP(A60,Ergebnis_je_Aktie_verwässert!A$3:AK$103,8,FALSE))),""),"")</f>
        <v>0.44510385756676557</v>
      </c>
      <c r="W60" s="71">
        <f>IF(VLOOKUP(A60,Dividende_je_Aktie!A$3:AM$103,9,FALSE)&lt;&gt;"",IF(VLOOKUP(A60,Ergebnis_je_Aktie_verwässert!A$3:AK$103,9,FALSE)&lt;&gt;"",IF(VLOOKUP(A60,Ergebnis_je_Aktie_verwässert!A$3:AK$103,9,FALSE)&lt;=0,2,IF(VLOOKUP(A60,Dividende_je_Aktie!A$3:AM$103,9,FALSE)/VLOOKUP(A60,Ergebnis_je_Aktie_verwässert!A$3:AK$103,9,FALSE)&gt;=2,2,VLOOKUP(A60,Dividende_je_Aktie!A$3:AM$103,9,FALSE)/VLOOKUP(A60,Ergebnis_je_Aktie_verwässert!A$3:AK$103,9,FALSE))),""),"")</f>
        <v>0.32189973614775724</v>
      </c>
      <c r="X60" s="71">
        <f>IF(VLOOKUP(A60,Dividende_je_Aktie!A$3:AM$103,10,FALSE)&lt;&gt;"",IF(VLOOKUP(A60,Ergebnis_je_Aktie_verwässert!A$3:AK$103,10,FALSE)&lt;&gt;"",IF(VLOOKUP(A60,Ergebnis_je_Aktie_verwässert!A$3:AK$103,10,FALSE)&lt;=0,2,IF(VLOOKUP(A60,Dividende_je_Aktie!A$3:AM$103,10,FALSE)/VLOOKUP(A60,Ergebnis_je_Aktie_verwässert!A$3:AK$103,10,FALSE)&gt;=2,2,VLOOKUP(A60,Dividende_je_Aktie!A$3:AM$103,10,FALSE)/VLOOKUP(A60,Ergebnis_je_Aktie_verwässert!A$3:AK$103,10,FALSE))),""),"")</f>
        <v>0.2939632545931759</v>
      </c>
      <c r="Y60" s="71">
        <f>IF(VLOOKUP(A60,Dividende_je_Aktie!A$3:AM$103,11,FALSE)&lt;&gt;"",IF(VLOOKUP(A60,Ergebnis_je_Aktie_verwässert!A$3:AK$103,11,FALSE)&lt;&gt;"",IF(VLOOKUP(A60,Ergebnis_je_Aktie_verwässert!A$3:AK$103,11,FALSE)&lt;=0,2,IF(VLOOKUP(A60,Dividende_je_Aktie!A$3:AM$103,11,FALSE)/VLOOKUP(A60,Ergebnis_je_Aktie_verwässert!A$3:AK$103,11,FALSE)&gt;=2,2,VLOOKUP(A60,Dividende_je_Aktie!A$3:AM$103,11,FALSE)/VLOOKUP(A60,Ergebnis_je_Aktie_verwässert!A$3:AK$103,11,FALSE))),""),"")</f>
        <v>0.28184281842818432</v>
      </c>
      <c r="Z60" s="71">
        <f>IF(VLOOKUP(A60,Dividende_je_Aktie!A$3:AM$103,12,FALSE)&lt;&gt;"",IF(VLOOKUP(A60,Ergebnis_je_Aktie_verwässert!A$3:AK$103,12,FALSE)&lt;&gt;"",IF(VLOOKUP(A60,Ergebnis_je_Aktie_verwässert!A$3:AK$103,12,FALSE)&lt;=0,2,IF(VLOOKUP(A60,Dividende_je_Aktie!A$3:AM$103,12,FALSE)/VLOOKUP(A60,Ergebnis_je_Aktie_verwässert!A$3:AK$103,12,FALSE)&gt;=2,2,VLOOKUP(A60,Dividende_je_Aktie!A$3:AM$103,12,FALSE)/VLOOKUP(A60,Ergebnis_je_Aktie_verwässert!A$3:AK$103,12,FALSE))),""),"")</f>
        <v>0.28445747800586507</v>
      </c>
      <c r="AA60" s="71">
        <f>IF(VLOOKUP(A60,Dividende_je_Aktie!A$3:AM$103,13,FALSE)&lt;&gt;"",IF(VLOOKUP(A60,Ergebnis_je_Aktie_verwässert!A$3:AK$103,13,FALSE)&lt;&gt;"",IF(VLOOKUP(A60,Ergebnis_je_Aktie_verwässert!A$3:AK$103,13,FALSE)&lt;=0,2,IF(VLOOKUP(A60,Dividende_je_Aktie!A$3:AM$103,13,FALSE)/VLOOKUP(A60,Ergebnis_je_Aktie_verwässert!A$3:AK$103,13,FALSE)&gt;=2,2,VLOOKUP(A60,Dividende_je_Aktie!A$3:AM$103,13,FALSE)/VLOOKUP(A60,Ergebnis_je_Aktie_verwässert!A$3:AK$103,13,FALSE))),""),"")</f>
        <v>0.26706231454005935</v>
      </c>
      <c r="AB60" s="71">
        <f>IF(VLOOKUP(A60,Dividende_je_Aktie!A$3:AM$103,14,FALSE)&lt;&gt;"",IF(VLOOKUP(A60,Ergebnis_je_Aktie_verwässert!A$3:AK$103,14,FALSE)&lt;&gt;"",IF(VLOOKUP(A60,Ergebnis_je_Aktie_verwässert!A$3:AK$103,14,FALSE)&lt;=0,2,IF(VLOOKUP(A60,Dividende_je_Aktie!A$3:AM$103,14,FALSE)/VLOOKUP(A60,Ergebnis_je_Aktie_verwässert!A$3:AK$103,14,FALSE)&gt;=2,2,VLOOKUP(A60,Dividende_je_Aktie!A$3:AM$103,14,FALSE)/VLOOKUP(A60,Ergebnis_je_Aktie_verwässert!A$3:AK$103,14,FALSE))),""),"")</f>
        <v>0.25465838509316768</v>
      </c>
      <c r="AC60" s="71">
        <f>IF(VLOOKUP(A60,Dividende_je_Aktie!A$3:AM$103,15,FALSE)&lt;&gt;"",IF(VLOOKUP(A60,Ergebnis_je_Aktie_verwässert!A$3:AK$103,15,FALSE)&lt;&gt;"",IF(VLOOKUP(A60,Ergebnis_je_Aktie_verwässert!A$3:AK$103,15,FALSE)&lt;=0,2,IF(VLOOKUP(A60,Dividende_je_Aktie!A$3:AM$103,15,FALSE)/VLOOKUP(A60,Ergebnis_je_Aktie_verwässert!A$3:AK$103,15,FALSE)&gt;=2,2,VLOOKUP(A60,Dividende_je_Aktie!A$3:AM$103,15,FALSE)/VLOOKUP(A60,Ergebnis_je_Aktie_verwässert!A$3:AK$103,15,FALSE))),""),"")</f>
        <v>0.25684931506849318</v>
      </c>
      <c r="AD60" s="71">
        <f>IF(VLOOKUP(A60,Dividende_je_Aktie!A$3:AM$103,16,FALSE)&lt;&gt;"",IF(VLOOKUP(A60,Ergebnis_je_Aktie_verwässert!A$3:AK$103,16,FALSE)&lt;&gt;"",IF(VLOOKUP(A60,Ergebnis_je_Aktie_verwässert!A$3:AK$103,16,FALSE)&lt;=0,2,IF(VLOOKUP(A60,Dividende_je_Aktie!A$3:AM$103,16,FALSE)/VLOOKUP(A60,Ergebnis_je_Aktie_verwässert!A$3:AK$103,16,FALSE)&gt;=2,2,VLOOKUP(A60,Dividende_je_Aktie!A$3:AM$103,16,FALSE)/VLOOKUP(A60,Ergebnis_je_Aktie_verwässert!A$3:AK$103,16,FALSE))),""),"")</f>
        <v>0.19230769230769229</v>
      </c>
      <c r="AE60" s="71">
        <f>IF(VLOOKUP(A60,Dividende_je_Aktie!A$3:AM$103,17,FALSE)&lt;&gt;"",IF(VLOOKUP(A60,Ergebnis_je_Aktie_verwässert!A$3:AK$103,17,FALSE)&lt;&gt;"",IF(VLOOKUP(A60,Ergebnis_je_Aktie_verwässert!A$3:AK$103,17,FALSE)&lt;=0,2,IF(VLOOKUP(A60,Dividende_je_Aktie!A$3:AM$103,17,FALSE)/VLOOKUP(A60,Ergebnis_je_Aktie_verwässert!A$3:AK$103,17,FALSE)&gt;=2,2,VLOOKUP(A60,Dividende_je_Aktie!A$3:AM$103,17,FALSE)/VLOOKUP(A60,Ergebnis_je_Aktie_verwässert!A$3:AK$103,17,FALSE))),""),"")</f>
        <v>0.18257261410788381</v>
      </c>
      <c r="AF60" s="71">
        <f>IF(VLOOKUP(A60,Dividende_je_Aktie!A$3:AM$103,18,FALSE)&lt;&gt;"",IF(VLOOKUP(A60,Ergebnis_je_Aktie_verwässert!A$3:AK$103,18,FALSE)&lt;&gt;"",IF(VLOOKUP(A60,Ergebnis_je_Aktie_verwässert!A$3:AK$103,18,FALSE)&lt;=0,2,IF(VLOOKUP(A60,Dividende_je_Aktie!A$3:AM$103,18,FALSE)/VLOOKUP(A60,Ergebnis_je_Aktie_verwässert!A$3:AK$103,18,FALSE)&gt;=2,2,VLOOKUP(A60,Dividende_je_Aktie!A$3:AM$103,18,FALSE)/VLOOKUP(A60,Ergebnis_je_Aktie_verwässert!A$3:AK$103,18,FALSE))),""),"")</f>
        <v>0.17727272727272728</v>
      </c>
      <c r="AG60" s="105">
        <f t="shared" si="8"/>
        <v>0.29909690966062219</v>
      </c>
      <c r="AH60" s="4">
        <f t="shared" ca="1" si="9"/>
        <v>0</v>
      </c>
      <c r="AI60" s="4">
        <f t="shared" ca="1" si="10"/>
        <v>349</v>
      </c>
      <c r="AJ60" s="4">
        <f t="shared" ca="1" si="11"/>
        <v>11</v>
      </c>
      <c r="AK60" s="10">
        <f t="shared" ca="1" si="12"/>
        <v>0.45402685343725552</v>
      </c>
      <c r="AL60" s="5">
        <f t="shared" ca="1" si="13"/>
        <v>0.51799245920804893</v>
      </c>
    </row>
    <row r="61" spans="1:38">
      <c r="A61" t="s">
        <v>89</v>
      </c>
      <c r="B61" t="s">
        <v>90</v>
      </c>
      <c r="C61" s="60">
        <v>31</v>
      </c>
      <c r="D61" s="60">
        <v>12</v>
      </c>
      <c r="E61" s="60">
        <v>2016</v>
      </c>
      <c r="F61" s="71">
        <f>IF(VLOOKUP(A61,Dividende_je_Aktie!A$3:AM$103,6,FALSE)&lt;&gt;"",IF(VLOOKUP(A61,Ergebnis_je_Aktie_verwässert!A$3:AK$103,6,FALSE)&lt;&gt;"",IF(VLOOKUP(A61,Ergebnis_je_Aktie_verwässert!A$3:AK$103,6,FALSE)&lt;=0,2,IF(VLOOKUP(A61,Dividende_je_Aktie!A$3:AM$103,6,FALSE)/VLOOKUP(A61,Ergebnis_je_Aktie_verwässert!A$3:AK$103,6,FALSE)&gt;=2,2,VLOOKUP(A61,Dividende_je_Aktie!A$3:AM$103,6,FALSE)/VLOOKUP(A61,Ergebnis_je_Aktie_verwässert!A$3:AK$103,6,FALSE))),""),"")</f>
        <v>0.78116343490304707</v>
      </c>
      <c r="G61" s="71">
        <f>IF(VLOOKUP(A61,Dividende_je_Aktie!A$3:AM$103,7,FALSE)&lt;&gt;"",IF(VLOOKUP(A61,Ergebnis_je_Aktie_verwässert!A$3:AK$103,7,FALSE)&lt;&gt;"",IF(VLOOKUP(A61,Ergebnis_je_Aktie_verwässert!A$3:AK$103,7,FALSE)&lt;=0,2,IF(VLOOKUP(A61,Dividende_je_Aktie!A$3:AM$103,7,FALSE)/VLOOKUP(A61,Ergebnis_je_Aktie_verwässert!A$3:AK$103,7,FALSE)&gt;=2,2,VLOOKUP(A61,Dividende_je_Aktie!A$3:AM$103,7,FALSE)/VLOOKUP(A61,Ergebnis_je_Aktie_verwässert!A$3:AK$103,7,FALSE))),""),"")</f>
        <v>0.77844311377245512</v>
      </c>
      <c r="H61" s="71">
        <f>IF(VLOOKUP(A61,Fiktive_Dividende!A$3:AM$103,14,FALSE)&lt;&gt;"",IF(VLOOKUP(A61,Ergebnis_je_Aktie_verwässert!A$3:AK$103,8,FALSE)&lt;&gt;"",IF(VLOOKUP(A61,Ergebnis_je_Aktie_verwässert!A$3:AK$103,8,FALSE)&lt;=0,2,IF(VLOOKUP(A61,Fiktive_Dividende!A$3:AM$103,14,FALSE)/VLOOKUP(A61,Ergebnis_je_Aktie_verwässert!A$3:AK$103,8,FALSE)&gt;=2,2,VLOOKUP(A61,Fiktive_Dividende!A$3:AM$103,14,FALSE)/VLOOKUP(A61,Ergebnis_je_Aktie_verwässert!A$3:AK$103,8,FALSE))),""),"")</f>
        <v>0.78547854785478555</v>
      </c>
      <c r="I61" s="71">
        <f>IF(VLOOKUP(A61,Fiktive_Dividende!A$3:AM$103,15,FALSE)&lt;&gt;"",IF(VLOOKUP(A61,Ergebnis_je_Aktie_verwässert!A$3:AK$103,9,FALSE)&lt;&gt;"",IF(VLOOKUP(A61,Ergebnis_je_Aktie_verwässert!A$3:AK$103,9,FALSE)&lt;=0,2,IF(VLOOKUP(A61,Fiktive_Dividende!A$3:AM$103,15,FALSE)/VLOOKUP(A61,Ergebnis_je_Aktie_verwässert!A$3:AK$103,9,FALSE)&gt;=2,2,VLOOKUP(A61,Fiktive_Dividende!A$3:AM$103,15,FALSE)/VLOOKUP(A61,Ergebnis_je_Aktie_verwässert!A$3:AK$103,9,FALSE))),""),"")</f>
        <v>0.90228134110787173</v>
      </c>
      <c r="J61" s="71">
        <f>IF(VLOOKUP(A61,Fiktive_Dividende!A$3:AM$103,16,FALSE)&lt;&gt;"",IF(VLOOKUP(A61,Ergebnis_je_Aktie_verwässert!A$3:AK$103,10,FALSE)&lt;&gt;"",IF(VLOOKUP(A61,Ergebnis_je_Aktie_verwässert!A$3:AK$103,10,FALSE)&lt;=0,2,IF(VLOOKUP(A61,Fiktive_Dividende!A$3:AM$103,16,FALSE)/VLOOKUP(A61,Ergebnis_je_Aktie_verwässert!A$3:AK$103,10,FALSE)&gt;=2,2,VLOOKUP(A61,Fiktive_Dividende!A$3:AM$103,16,FALSE)/VLOOKUP(A61,Ergebnis_je_Aktie_verwässert!A$3:AK$103,10,FALSE))),""),"")</f>
        <v>0.98236596396239972</v>
      </c>
      <c r="K61" s="71">
        <f>IF(VLOOKUP(A61,Fiktive_Dividende!A$3:AM$103,17,FALSE)&lt;&gt;"",IF(VLOOKUP(A61,Ergebnis_je_Aktie_verwässert!A$3:AK$103,11,FALSE)&lt;&gt;"",IF(VLOOKUP(A61,Ergebnis_je_Aktie_verwässert!A$3:AK$103,11,FALSE)&lt;=0,2,IF(VLOOKUP(A61,Fiktive_Dividende!A$3:AM$103,17,FALSE)/VLOOKUP(A61,Ergebnis_je_Aktie_verwässert!A$3:AK$103,11,FALSE)&gt;=2,2,VLOOKUP(A61,Fiktive_Dividende!A$3:AM$103,17,FALSE)/VLOOKUP(A61,Ergebnis_je_Aktie_verwässert!A$3:AK$103,11,FALSE))),""),"")</f>
        <v>0.91069794701623763</v>
      </c>
      <c r="L61" s="71">
        <f>IF(VLOOKUP(A61,Fiktive_Dividende!A$3:AM$103,18,FALSE)&lt;&gt;"",IF(VLOOKUP(A61,Ergebnis_je_Aktie_verwässert!A$3:AK$103,12,FALSE)&lt;&gt;"",IF(VLOOKUP(A61,Ergebnis_je_Aktie_verwässert!A$3:AK$103,12,FALSE)&lt;=0,2,IF(VLOOKUP(A61,Fiktive_Dividende!A$3:AM$103,18,FALSE)/VLOOKUP(A61,Ergebnis_je_Aktie_verwässert!A$3:AK$103,12,FALSE)&gt;=2,2,VLOOKUP(A61,Fiktive_Dividende!A$3:AM$103,18,FALSE)/VLOOKUP(A61,Ergebnis_je_Aktie_verwässert!A$3:AK$103,12,FALSE))),""),"")</f>
        <v>1.0240291753900184</v>
      </c>
      <c r="M61" s="71">
        <f>IF(VLOOKUP(A61,Fiktive_Dividende!A$3:AM$103,19,FALSE)&lt;&gt;"",IF(VLOOKUP(A61,Ergebnis_je_Aktie_verwässert!A$3:AK$103,13,FALSE)&lt;&gt;"",IF(VLOOKUP(A61,Ergebnis_je_Aktie_verwässert!A$3:AK$103,13,FALSE)&lt;=0,2,IF(VLOOKUP(A61,Fiktive_Dividende!A$3:AM$103,19,FALSE)/VLOOKUP(A61,Ergebnis_je_Aktie_verwässert!A$3:AK$103,13,FALSE)&gt;=2,2,VLOOKUP(A61,Fiktive_Dividende!A$3:AM$103,19,FALSE)/VLOOKUP(A61,Ergebnis_je_Aktie_verwässert!A$3:AK$103,13,FALSE))),""),"")</f>
        <v>1.0747037646329543</v>
      </c>
      <c r="N61" s="71">
        <f>IF(VLOOKUP(A61,Fiktive_Dividende!A$3:AM$103,20,FALSE)&lt;&gt;"",IF(VLOOKUP(A61,Ergebnis_je_Aktie_verwässert!A$3:AK$103,14,FALSE)&lt;&gt;"",IF(VLOOKUP(A61,Ergebnis_je_Aktie_verwässert!A$3:AK$103,14,FALSE)&lt;=0,2,IF(VLOOKUP(A61,Fiktive_Dividende!A$3:AM$103,20,FALSE)/VLOOKUP(A61,Ergebnis_je_Aktie_verwässert!A$3:AK$103,14,FALSE)&gt;=2,2,VLOOKUP(A61,Fiktive_Dividende!A$3:AM$103,20,FALSE)/VLOOKUP(A61,Ergebnis_je_Aktie_verwässert!A$3:AK$103,14,FALSE))),""),"")</f>
        <v>0.768421052631579</v>
      </c>
      <c r="O61" s="71">
        <f>IF(VLOOKUP(A61,Fiktive_Dividende!A$3:AM$103,21,FALSE)&lt;&gt;"",IF(VLOOKUP(A61,Ergebnis_je_Aktie_verwässert!A$3:AK$103,15,FALSE)&lt;&gt;"",IF(VLOOKUP(A61,Ergebnis_je_Aktie_verwässert!A$3:AK$103,15,FALSE)&lt;=0,2,IF(VLOOKUP(A61,Fiktive_Dividende!A$3:AM$103,21,FALSE)/VLOOKUP(A61,Ergebnis_je_Aktie_verwässert!A$3:AK$103,15,FALSE)&gt;=2,2,VLOOKUP(A61,Fiktive_Dividende!A$3:AM$103,21,FALSE)/VLOOKUP(A61,Ergebnis_je_Aktie_verwässert!A$3:AK$103,15,FALSE))),""),"")</f>
        <v>0.75428571428571434</v>
      </c>
      <c r="P61" s="71">
        <f>IF(VLOOKUP(A61,Fiktive_Dividende!A$3:AM$103,22,FALSE)&lt;&gt;"",IF(VLOOKUP(A61,Ergebnis_je_Aktie_verwässert!A$3:AK$103,16,FALSE)&lt;&gt;"",IF(VLOOKUP(A61,Ergebnis_je_Aktie_verwässert!A$3:AK$103,16,FALSE)&lt;=0,2,IF(VLOOKUP(A61,Fiktive_Dividende!A$3:AM$103,22,FALSE)/VLOOKUP(A61,Ergebnis_je_Aktie_verwässert!A$3:AK$103,16,FALSE)&gt;=2,2,VLOOKUP(A61,Fiktive_Dividende!A$3:AM$103,22,FALSE)/VLOOKUP(A61,Ergebnis_je_Aktie_verwässert!A$3:AK$103,16,FALSE))),""),"")</f>
        <v>0.84637082497344507</v>
      </c>
      <c r="Q61" s="71">
        <f>IF(VLOOKUP(A61,Fiktive_Dividende!A$3:AM$103,23,FALSE)&lt;&gt;"",IF(VLOOKUP(A61,Ergebnis_je_Aktie_verwässert!A$3:AK$103,17,FALSE)&lt;&gt;"",IF(VLOOKUP(A61,Ergebnis_je_Aktie_verwässert!A$3:AK$103,17,FALSE)&lt;=0,2,IF(VLOOKUP(A61,Fiktive_Dividende!A$3:AM$103,23,FALSE)/VLOOKUP(A61,Ergebnis_je_Aktie_verwässert!A$3:AK$103,17,FALSE)&gt;=2,2,VLOOKUP(A61,Fiktive_Dividende!A$3:AM$103,23,FALSE)/VLOOKUP(A61,Ergebnis_je_Aktie_verwässert!A$3:AK$103,17,FALSE))),""),"")</f>
        <v>0.63648648648648642</v>
      </c>
      <c r="R61" s="71">
        <f>IF(VLOOKUP(A61,Fiktive_Dividende!A$3:AM$103,24,FALSE)&lt;&gt;"",IF(VLOOKUP(A61,Ergebnis_je_Aktie_verwässert!A$3:AK$103,18,FALSE)&lt;&gt;"",IF(VLOOKUP(A61,Ergebnis_je_Aktie_verwässert!A$3:AK$103,18,FALSE)&lt;=0,2,IF(VLOOKUP(A61,Fiktive_Dividende!A$3:AM$103,24,FALSE)/VLOOKUP(A61,Ergebnis_je_Aktie_verwässert!A$3:AK$103,18,FALSE)&gt;=2,2,VLOOKUP(A61,Fiktive_Dividende!A$3:AM$103,24,FALSE)/VLOOKUP(A61,Ergebnis_je_Aktie_verwässert!A$3:AK$103,18,FALSE))),""),"")</f>
        <v>0.55298013245033106</v>
      </c>
      <c r="S61" s="105">
        <f t="shared" si="7"/>
        <v>0.83059288457440961</v>
      </c>
      <c r="T61" s="71">
        <f>IF(VLOOKUP(A61,Dividende_je_Aktie!A$3:AM$103,6,FALSE)&lt;&gt;"",IF(VLOOKUP(A61,Ergebnis_je_Aktie_verwässert!A$3:AK$103,6,FALSE)&lt;&gt;"",IF(VLOOKUP(A61,Ergebnis_je_Aktie_verwässert!A$3:AK$103,6,FALSE)&lt;=0,2,IF(VLOOKUP(A61,Dividende_je_Aktie!A$3:AM$103,6,FALSE)/VLOOKUP(A61,Ergebnis_je_Aktie_verwässert!A$3:AK$103,6,FALSE)&gt;=2,2,VLOOKUP(A61,Dividende_je_Aktie!A$3:AM$103,6,FALSE)/VLOOKUP(A61,Ergebnis_je_Aktie_verwässert!A$3:AK$103,6,FALSE))),""),"")</f>
        <v>0.78116343490304707</v>
      </c>
      <c r="U61" s="71">
        <f>IF(VLOOKUP(A61,Dividende_je_Aktie!A$3:AM$103,7,FALSE)&lt;&gt;"",IF(VLOOKUP(A61,Ergebnis_je_Aktie_verwässert!A$3:AK$103,7,FALSE)&lt;&gt;"",IF(VLOOKUP(A61,Ergebnis_je_Aktie_verwässert!A$3:AK$103,7,FALSE)&lt;=0,2,IF(VLOOKUP(A61,Dividende_je_Aktie!A$3:AM$103,7,FALSE)/VLOOKUP(A61,Ergebnis_je_Aktie_verwässert!A$3:AK$103,7,FALSE)&gt;=2,2,VLOOKUP(A61,Dividende_je_Aktie!A$3:AM$103,7,FALSE)/VLOOKUP(A61,Ergebnis_je_Aktie_verwässert!A$3:AK$103,7,FALSE))),""),"")</f>
        <v>0.77844311377245512</v>
      </c>
      <c r="V61" s="71">
        <f>IF(VLOOKUP(A61,Dividende_je_Aktie!A$3:AM$103,8,FALSE)&lt;&gt;"",IF(VLOOKUP(A61,Ergebnis_je_Aktie_verwässert!A$3:AK$103,8,FALSE)&lt;&gt;"",IF(VLOOKUP(A61,Ergebnis_je_Aktie_verwässert!A$3:AK$103,8,FALSE)&lt;=0,2,IF(VLOOKUP(A61,Dividende_je_Aktie!A$3:AM$103,8,FALSE)/VLOOKUP(A61,Ergebnis_je_Aktie_verwässert!A$3:AK$103,8,FALSE)&gt;=2,2,VLOOKUP(A61,Dividende_je_Aktie!A$3:AM$103,8,FALSE)/VLOOKUP(A61,Ergebnis_je_Aktie_verwässert!A$3:AK$103,8,FALSE))),""),"")</f>
        <v>0.78547854785478555</v>
      </c>
      <c r="W61" s="71">
        <f>IF(VLOOKUP(A61,Dividende_je_Aktie!A$3:AM$103,9,FALSE)&lt;&gt;"",IF(VLOOKUP(A61,Ergebnis_je_Aktie_verwässert!A$3:AK$103,9,FALSE)&lt;&gt;"",IF(VLOOKUP(A61,Ergebnis_je_Aktie_verwässert!A$3:AK$103,9,FALSE)&lt;=0,2,IF(VLOOKUP(A61,Dividende_je_Aktie!A$3:AM$103,9,FALSE)/VLOOKUP(A61,Ergebnis_je_Aktie_verwässert!A$3:AK$103,9,FALSE)&gt;=2,2,VLOOKUP(A61,Dividende_je_Aktie!A$3:AM$103,9,FALSE)/VLOOKUP(A61,Ergebnis_je_Aktie_verwässert!A$3:AK$103,9,FALSE))),""),"")</f>
        <v>0.77500000000000002</v>
      </c>
      <c r="X61" s="71">
        <f>IF(VLOOKUP(A61,Dividende_je_Aktie!A$3:AM$103,10,FALSE)&lt;&gt;"",IF(VLOOKUP(A61,Ergebnis_je_Aktie_verwässert!A$3:AK$103,10,FALSE)&lt;&gt;"",IF(VLOOKUP(A61,Ergebnis_je_Aktie_verwässert!A$3:AK$103,10,FALSE)&lt;=0,2,IF(VLOOKUP(A61,Dividende_je_Aktie!A$3:AM$103,10,FALSE)/VLOOKUP(A61,Ergebnis_je_Aktie_verwässert!A$3:AK$103,10,FALSE)&gt;=2,2,VLOOKUP(A61,Dividende_je_Aktie!A$3:AM$103,10,FALSE)/VLOOKUP(A61,Ergebnis_je_Aktie_verwässert!A$3:AK$103,10,FALSE))),""),"")</f>
        <v>0.77821011673151752</v>
      </c>
      <c r="Y61" s="71">
        <f>IF(VLOOKUP(A61,Dividende_je_Aktie!A$3:AM$103,11,FALSE)&lt;&gt;"",IF(VLOOKUP(A61,Ergebnis_je_Aktie_verwässert!A$3:AK$103,11,FALSE)&lt;&gt;"",IF(VLOOKUP(A61,Ergebnis_je_Aktie_verwässert!A$3:AK$103,11,FALSE)&lt;=0,2,IF(VLOOKUP(A61,Dividende_je_Aktie!A$3:AM$103,11,FALSE)/VLOOKUP(A61,Ergebnis_je_Aktie_verwässert!A$3:AK$103,11,FALSE)&gt;=2,2,VLOOKUP(A61,Dividende_je_Aktie!A$3:AM$103,11,FALSE)/VLOOKUP(A61,Ergebnis_je_Aktie_verwässert!A$3:AK$103,11,FALSE))),""),"")</f>
        <v>0.77310924369747902</v>
      </c>
      <c r="Z61" s="71">
        <f>IF(VLOOKUP(A61,Dividende_je_Aktie!A$3:AM$103,12,FALSE)&lt;&gt;"",IF(VLOOKUP(A61,Ergebnis_je_Aktie_verwässert!A$3:AK$103,12,FALSE)&lt;&gt;"",IF(VLOOKUP(A61,Ergebnis_je_Aktie_verwässert!A$3:AK$103,12,FALSE)&lt;=0,2,IF(VLOOKUP(A61,Dividende_je_Aktie!A$3:AM$103,12,FALSE)/VLOOKUP(A61,Ergebnis_je_Aktie_verwässert!A$3:AK$103,12,FALSE)&gt;=2,2,VLOOKUP(A61,Dividende_je_Aktie!A$3:AM$103,12,FALSE)/VLOOKUP(A61,Ergebnis_je_Aktie_verwässert!A$3:AK$103,12,FALSE))),""),"")</f>
        <v>0.76923076923076927</v>
      </c>
      <c r="AA61" s="71">
        <f>IF(VLOOKUP(A61,Dividende_je_Aktie!A$3:AM$103,13,FALSE)&lt;&gt;"",IF(VLOOKUP(A61,Ergebnis_je_Aktie_verwässert!A$3:AK$103,13,FALSE)&lt;&gt;"",IF(VLOOKUP(A61,Ergebnis_je_Aktie_verwässert!A$3:AK$103,13,FALSE)&lt;=0,2,IF(VLOOKUP(A61,Dividende_je_Aktie!A$3:AM$103,13,FALSE)/VLOOKUP(A61,Ergebnis_je_Aktie_verwässert!A$3:AK$103,13,FALSE)&gt;=2,2,VLOOKUP(A61,Dividende_je_Aktie!A$3:AM$103,13,FALSE)/VLOOKUP(A61,Ergebnis_je_Aktie_verwässert!A$3:AK$103,13,FALSE))),""),"")</f>
        <v>0.7707317073170733</v>
      </c>
      <c r="AB61" s="71">
        <f>IF(VLOOKUP(A61,Dividende_je_Aktie!A$3:AM$103,14,FALSE)&lt;&gt;"",IF(VLOOKUP(A61,Ergebnis_je_Aktie_verwässert!A$3:AK$103,14,FALSE)&lt;&gt;"",IF(VLOOKUP(A61,Ergebnis_je_Aktie_verwässert!A$3:AK$103,14,FALSE)&lt;=0,2,IF(VLOOKUP(A61,Dividende_je_Aktie!A$3:AM$103,14,FALSE)/VLOOKUP(A61,Ergebnis_je_Aktie_verwässert!A$3:AK$103,14,FALSE)&gt;=2,2,VLOOKUP(A61,Dividende_je_Aktie!A$3:AM$103,14,FALSE)/VLOOKUP(A61,Ergebnis_je_Aktie_verwässert!A$3:AK$103,14,FALSE))),""),"")</f>
        <v>0.768421052631579</v>
      </c>
      <c r="AC61" s="71">
        <f>IF(VLOOKUP(A61,Dividende_je_Aktie!A$3:AM$103,15,FALSE)&lt;&gt;"",IF(VLOOKUP(A61,Ergebnis_je_Aktie_verwässert!A$3:AK$103,15,FALSE)&lt;&gt;"",IF(VLOOKUP(A61,Ergebnis_je_Aktie_verwässert!A$3:AK$103,15,FALSE)&lt;=0,2,IF(VLOOKUP(A61,Dividende_je_Aktie!A$3:AM$103,15,FALSE)/VLOOKUP(A61,Ergebnis_je_Aktie_verwässert!A$3:AK$103,15,FALSE)&gt;=2,2,VLOOKUP(A61,Dividende_je_Aktie!A$3:AM$103,15,FALSE)/VLOOKUP(A61,Ergebnis_je_Aktie_verwässert!A$3:AK$103,15,FALSE))),""),"")</f>
        <v>0.75428571428571434</v>
      </c>
      <c r="AD61" s="71">
        <f>IF(VLOOKUP(A61,Dividende_je_Aktie!A$3:AM$103,16,FALSE)&lt;&gt;"",IF(VLOOKUP(A61,Ergebnis_je_Aktie_verwässert!A$3:AK$103,16,FALSE)&lt;&gt;"",IF(VLOOKUP(A61,Ergebnis_je_Aktie_verwässert!A$3:AK$103,16,FALSE)&lt;=0,2,IF(VLOOKUP(A61,Dividende_je_Aktie!A$3:AM$103,16,FALSE)/VLOOKUP(A61,Ergebnis_je_Aktie_verwässert!A$3:AK$103,16,FALSE)&gt;=2,2,VLOOKUP(A61,Dividende_je_Aktie!A$3:AM$103,16,FALSE)/VLOOKUP(A61,Ergebnis_je_Aktie_verwässert!A$3:AK$103,16,FALSE))),""),"")</f>
        <v>0.70270270270270274</v>
      </c>
      <c r="AE61" s="71">
        <f>IF(VLOOKUP(A61,Dividende_je_Aktie!A$3:AM$103,17,FALSE)&lt;&gt;"",IF(VLOOKUP(A61,Ergebnis_je_Aktie_verwässert!A$3:AK$103,17,FALSE)&lt;&gt;"",IF(VLOOKUP(A61,Ergebnis_je_Aktie_verwässert!A$3:AK$103,17,FALSE)&lt;=0,2,IF(VLOOKUP(A61,Dividende_je_Aktie!A$3:AM$103,17,FALSE)/VLOOKUP(A61,Ergebnis_je_Aktie_verwässert!A$3:AK$103,17,FALSE)&gt;=2,2,VLOOKUP(A61,Dividende_je_Aktie!A$3:AM$103,17,FALSE)/VLOOKUP(A61,Ergebnis_je_Aktie_verwässert!A$3:AK$103,17,FALSE))),""),"")</f>
        <v>0.63648648648648642</v>
      </c>
      <c r="AF61" s="71">
        <f>IF(VLOOKUP(A61,Dividende_je_Aktie!A$3:AM$103,18,FALSE)&lt;&gt;"",IF(VLOOKUP(A61,Ergebnis_je_Aktie_verwässert!A$3:AK$103,18,FALSE)&lt;&gt;"",IF(VLOOKUP(A61,Ergebnis_je_Aktie_verwässert!A$3:AK$103,18,FALSE)&lt;=0,2,IF(VLOOKUP(A61,Dividende_je_Aktie!A$3:AM$103,18,FALSE)/VLOOKUP(A61,Ergebnis_je_Aktie_verwässert!A$3:AK$103,18,FALSE)&gt;=2,2,VLOOKUP(A61,Dividende_je_Aktie!A$3:AM$103,18,FALSE)/VLOOKUP(A61,Ergebnis_je_Aktie_verwässert!A$3:AK$103,18,FALSE))),""),"")</f>
        <v>0.55298013245033106</v>
      </c>
      <c r="AG61" s="105">
        <f t="shared" si="8"/>
        <v>0.740480232466457</v>
      </c>
      <c r="AH61" s="4">
        <f t="shared" ca="1" si="9"/>
        <v>0</v>
      </c>
      <c r="AI61" s="4">
        <f t="shared" ca="1" si="10"/>
        <v>108</v>
      </c>
      <c r="AJ61" s="4">
        <f t="shared" ca="1" si="11"/>
        <v>252</v>
      </c>
      <c r="AK61" s="10">
        <f t="shared" ca="1" si="12"/>
        <v>0.78336791763008629</v>
      </c>
      <c r="AL61" s="5">
        <f t="shared" ca="1" si="13"/>
        <v>5.7918744192232197E-2</v>
      </c>
    </row>
    <row r="62" spans="1:38">
      <c r="A62" t="s">
        <v>92</v>
      </c>
      <c r="B62" t="s">
        <v>93</v>
      </c>
      <c r="C62" s="60">
        <v>31</v>
      </c>
      <c r="D62" s="60">
        <v>5</v>
      </c>
      <c r="E62" s="60">
        <v>2016</v>
      </c>
      <c r="F62" s="71">
        <f>IF(VLOOKUP(A62,Dividende_je_Aktie!A$3:AM$103,6,FALSE)&lt;&gt;"",IF(VLOOKUP(A62,Ergebnis_je_Aktie_verwässert!A$3:AK$103,6,FALSE)&lt;&gt;"",IF(VLOOKUP(A62,Ergebnis_je_Aktie_verwässert!A$3:AK$103,6,FALSE)&lt;=0,2,IF(VLOOKUP(A62,Dividende_je_Aktie!A$3:AM$103,6,FALSE)/VLOOKUP(A62,Ergebnis_je_Aktie_verwässert!A$3:AK$103,6,FALSE)&gt;=2,2,VLOOKUP(A62,Dividende_je_Aktie!A$3:AM$103,6,FALSE)/VLOOKUP(A62,Ergebnis_je_Aktie_verwässert!A$3:AK$103,6,FALSE))),""),"")</f>
        <v>0.61702127659574457</v>
      </c>
      <c r="G62" s="71">
        <f>IF(VLOOKUP(A62,Dividende_je_Aktie!A$3:AM$103,7,FALSE)&lt;&gt;"",IF(VLOOKUP(A62,Ergebnis_je_Aktie_verwässert!A$3:AK$103,7,FALSE)&lt;&gt;"",IF(VLOOKUP(A62,Ergebnis_je_Aktie_verwässert!A$3:AK$103,7,FALSE)&lt;=0,2,IF(VLOOKUP(A62,Dividende_je_Aktie!A$3:AM$103,7,FALSE)/VLOOKUP(A62,Ergebnis_je_Aktie_verwässert!A$3:AK$103,7,FALSE)&gt;=2,2,VLOOKUP(A62,Dividende_je_Aktie!A$3:AM$103,7,FALSE)/VLOOKUP(A62,Ergebnis_je_Aktie_verwässert!A$3:AK$103,7,FALSE))),""),"")</f>
        <v>0.60912052117263848</v>
      </c>
      <c r="H62" s="71">
        <f>IF(VLOOKUP(A62,Fiktive_Dividende!A$3:AM$103,14,FALSE)&lt;&gt;"",IF(VLOOKUP(A62,Ergebnis_je_Aktie_verwässert!A$3:AK$103,8,FALSE)&lt;&gt;"",IF(VLOOKUP(A62,Ergebnis_je_Aktie_verwässert!A$3:AK$103,8,FALSE)&lt;=0,2,IF(VLOOKUP(A62,Fiktive_Dividende!A$3:AM$103,14,FALSE)/VLOOKUP(A62,Ergebnis_je_Aktie_verwässert!A$3:AK$103,8,FALSE)&gt;=2,2,VLOOKUP(A62,Fiktive_Dividende!A$3:AM$103,14,FALSE)/VLOOKUP(A62,Ergebnis_je_Aktie_verwässert!A$3:AK$103,8,FALSE))),""),"")</f>
        <v>0.61971830985915499</v>
      </c>
      <c r="I62" s="71">
        <f>IF(VLOOKUP(A62,Fiktive_Dividende!A$3:AM$103,15,FALSE)&lt;&gt;"",IF(VLOOKUP(A62,Ergebnis_je_Aktie_verwässert!A$3:AK$103,9,FALSE)&lt;&gt;"",IF(VLOOKUP(A62,Ergebnis_je_Aktie_verwässert!A$3:AK$103,9,FALSE)&lt;=0,2,IF(VLOOKUP(A62,Fiktive_Dividende!A$3:AM$103,15,FALSE)/VLOOKUP(A62,Ergebnis_je_Aktie_verwässert!A$3:AK$103,9,FALSE)&gt;=2,2,VLOOKUP(A62,Fiktive_Dividende!A$3:AM$103,15,FALSE)/VLOOKUP(A62,Ergebnis_je_Aktie_verwässert!A$3:AK$103,9,FALSE))),""),"")</f>
        <v>1.0474396528166723</v>
      </c>
      <c r="J62" s="71">
        <f>IF(VLOOKUP(A62,Fiktive_Dividende!A$3:AM$103,16,FALSE)&lt;&gt;"",IF(VLOOKUP(A62,Ergebnis_je_Aktie_verwässert!A$3:AK$103,10,FALSE)&lt;&gt;"",IF(VLOOKUP(A62,Ergebnis_je_Aktie_verwässert!A$3:AK$103,10,FALSE)&lt;=0,2,IF(VLOOKUP(A62,Fiktive_Dividende!A$3:AM$103,16,FALSE)/VLOOKUP(A62,Ergebnis_je_Aktie_verwässert!A$3:AK$103,10,FALSE)&gt;=2,2,VLOOKUP(A62,Fiktive_Dividende!A$3:AM$103,16,FALSE)/VLOOKUP(A62,Ergebnis_je_Aktie_verwässert!A$3:AK$103,10,FALSE))),""),"")</f>
        <v>1.449641916341003</v>
      </c>
      <c r="K62" s="71">
        <f>IF(VLOOKUP(A62,Fiktive_Dividende!A$3:AM$103,17,FALSE)&lt;&gt;"",IF(VLOOKUP(A62,Ergebnis_je_Aktie_verwässert!A$3:AK$103,11,FALSE)&lt;&gt;"",IF(VLOOKUP(A62,Ergebnis_je_Aktie_verwässert!A$3:AK$103,11,FALSE)&lt;=0,2,IF(VLOOKUP(A62,Fiktive_Dividende!A$3:AM$103,17,FALSE)/VLOOKUP(A62,Ergebnis_je_Aktie_verwässert!A$3:AK$103,11,FALSE)&gt;=2,2,VLOOKUP(A62,Fiktive_Dividende!A$3:AM$103,17,FALSE)/VLOOKUP(A62,Ergebnis_je_Aktie_verwässert!A$3:AK$103,11,FALSE))),""),"")</f>
        <v>0.70101267467710093</v>
      </c>
      <c r="L62" s="71">
        <f>IF(VLOOKUP(A62,Fiktive_Dividende!A$3:AM$103,18,FALSE)&lt;&gt;"",IF(VLOOKUP(A62,Ergebnis_je_Aktie_verwässert!A$3:AK$103,12,FALSE)&lt;&gt;"",IF(VLOOKUP(A62,Ergebnis_je_Aktie_verwässert!A$3:AK$103,12,FALSE)&lt;=0,2,IF(VLOOKUP(A62,Fiktive_Dividende!A$3:AM$103,18,FALSE)/VLOOKUP(A62,Ergebnis_je_Aktie_verwässert!A$3:AK$103,12,FALSE)&gt;=2,2,VLOOKUP(A62,Fiktive_Dividende!A$3:AM$103,18,FALSE)/VLOOKUP(A62,Ergebnis_je_Aktie_verwässert!A$3:AK$103,12,FALSE))),""),"")</f>
        <v>0.4765625</v>
      </c>
      <c r="M62" s="71">
        <f>IF(VLOOKUP(A62,Fiktive_Dividende!A$3:AM$103,19,FALSE)&lt;&gt;"",IF(VLOOKUP(A62,Ergebnis_je_Aktie_verwässert!A$3:AK$103,13,FALSE)&lt;&gt;"",IF(VLOOKUP(A62,Ergebnis_je_Aktie_verwässert!A$3:AK$103,13,FALSE)&lt;=0,2,IF(VLOOKUP(A62,Fiktive_Dividende!A$3:AM$103,19,FALSE)/VLOOKUP(A62,Ergebnis_je_Aktie_verwässert!A$3:AK$103,13,FALSE)&gt;=2,2,VLOOKUP(A62,Fiktive_Dividende!A$3:AM$103,19,FALSE)/VLOOKUP(A62,Ergebnis_je_Aktie_verwässert!A$3:AK$103,13,FALSE))),""),"")</f>
        <v>0.61078203794124941</v>
      </c>
      <c r="N62" s="71">
        <f>IF(VLOOKUP(A62,Fiktive_Dividende!A$3:AM$103,20,FALSE)&lt;&gt;"",IF(VLOOKUP(A62,Ergebnis_je_Aktie_verwässert!A$3:AK$103,14,FALSE)&lt;&gt;"",IF(VLOOKUP(A62,Ergebnis_je_Aktie_verwässert!A$3:AK$103,14,FALSE)&lt;=0,2,IF(VLOOKUP(A62,Fiktive_Dividende!A$3:AM$103,20,FALSE)/VLOOKUP(A62,Ergebnis_je_Aktie_verwässert!A$3:AK$103,14,FALSE)&gt;=2,2,VLOOKUP(A62,Fiktive_Dividende!A$3:AM$103,20,FALSE)/VLOOKUP(A62,Ergebnis_je_Aktie_verwässert!A$3:AK$103,14,FALSE))),""),"")</f>
        <v>0.41739130434782612</v>
      </c>
      <c r="O62" s="71">
        <f>IF(VLOOKUP(A62,Fiktive_Dividende!A$3:AM$103,21,FALSE)&lt;&gt;"",IF(VLOOKUP(A62,Ergebnis_je_Aktie_verwässert!A$3:AK$103,15,FALSE)&lt;&gt;"",IF(VLOOKUP(A62,Ergebnis_je_Aktie_verwässert!A$3:AK$103,15,FALSE)&lt;=0,2,IF(VLOOKUP(A62,Fiktive_Dividende!A$3:AM$103,21,FALSE)/VLOOKUP(A62,Ergebnis_je_Aktie_verwässert!A$3:AK$103,15,FALSE)&gt;=2,2,VLOOKUP(A62,Fiktive_Dividende!A$3:AM$103,21,FALSE)/VLOOKUP(A62,Ergebnis_je_Aktie_verwässert!A$3:AK$103,15,FALSE))),""),"")</f>
        <v>0.43216080402010049</v>
      </c>
      <c r="P62" s="71">
        <f>IF(VLOOKUP(A62,Fiktive_Dividende!A$3:AM$103,22,FALSE)&lt;&gt;"",IF(VLOOKUP(A62,Ergebnis_je_Aktie_verwässert!A$3:AK$103,16,FALSE)&lt;&gt;"",IF(VLOOKUP(A62,Ergebnis_je_Aktie_verwässert!A$3:AK$103,16,FALSE)&lt;=0,2,IF(VLOOKUP(A62,Fiktive_Dividende!A$3:AM$103,22,FALSE)/VLOOKUP(A62,Ergebnis_je_Aktie_verwässert!A$3:AK$103,16,FALSE)&gt;=2,2,VLOOKUP(A62,Fiktive_Dividende!A$3:AM$103,22,FALSE)/VLOOKUP(A62,Ergebnis_je_Aktie_verwässert!A$3:AK$103,16,FALSE))),""),"")</f>
        <v>2</v>
      </c>
      <c r="Q62" s="71">
        <f>IF(VLOOKUP(A62,Fiktive_Dividende!A$3:AM$103,23,FALSE)&lt;&gt;"",IF(VLOOKUP(A62,Ergebnis_je_Aktie_verwässert!A$3:AK$103,17,FALSE)&lt;&gt;"",IF(VLOOKUP(A62,Ergebnis_je_Aktie_verwässert!A$3:AK$103,17,FALSE)&lt;=0,2,IF(VLOOKUP(A62,Fiktive_Dividende!A$3:AM$103,23,FALSE)/VLOOKUP(A62,Ergebnis_je_Aktie_verwässert!A$3:AK$103,17,FALSE)&gt;=2,2,VLOOKUP(A62,Fiktive_Dividende!A$3:AM$103,23,FALSE)/VLOOKUP(A62,Ergebnis_je_Aktie_verwässert!A$3:AK$103,17,FALSE))),""),"")</f>
        <v>1.3584905660377358</v>
      </c>
      <c r="R62" s="71">
        <f>IF(VLOOKUP(A62,Fiktive_Dividende!A$3:AM$103,24,FALSE)&lt;&gt;"",IF(VLOOKUP(A62,Ergebnis_je_Aktie_verwässert!A$3:AK$103,18,FALSE)&lt;&gt;"",IF(VLOOKUP(A62,Ergebnis_je_Aktie_verwässert!A$3:AK$103,18,FALSE)&lt;=0,2,IF(VLOOKUP(A62,Fiktive_Dividende!A$3:AM$103,24,FALSE)/VLOOKUP(A62,Ergebnis_je_Aktie_verwässert!A$3:AK$103,18,FALSE)&gt;=2,2,VLOOKUP(A62,Fiktive_Dividende!A$3:AM$103,24,FALSE)/VLOOKUP(A62,Ergebnis_je_Aktie_verwässert!A$3:AK$103,18,FALSE))),""),"")</f>
        <v>1.1154688105385511</v>
      </c>
      <c r="S62" s="105">
        <f t="shared" si="7"/>
        <v>0.88113925956521366</v>
      </c>
      <c r="T62" s="71">
        <f>IF(VLOOKUP(A62,Dividende_je_Aktie!A$3:AM$103,6,FALSE)&lt;&gt;"",IF(VLOOKUP(A62,Ergebnis_je_Aktie_verwässert!A$3:AK$103,6,FALSE)&lt;&gt;"",IF(VLOOKUP(A62,Ergebnis_je_Aktie_verwässert!A$3:AK$103,6,FALSE)&lt;=0,2,IF(VLOOKUP(A62,Dividende_je_Aktie!A$3:AM$103,6,FALSE)/VLOOKUP(A62,Ergebnis_je_Aktie_verwässert!A$3:AK$103,6,FALSE)&gt;=2,2,VLOOKUP(A62,Dividende_je_Aktie!A$3:AM$103,6,FALSE)/VLOOKUP(A62,Ergebnis_je_Aktie_verwässert!A$3:AK$103,6,FALSE))),""),"")</f>
        <v>0.61702127659574457</v>
      </c>
      <c r="U62" s="71">
        <f>IF(VLOOKUP(A62,Dividende_je_Aktie!A$3:AM$103,7,FALSE)&lt;&gt;"",IF(VLOOKUP(A62,Ergebnis_je_Aktie_verwässert!A$3:AK$103,7,FALSE)&lt;&gt;"",IF(VLOOKUP(A62,Ergebnis_je_Aktie_verwässert!A$3:AK$103,7,FALSE)&lt;=0,2,IF(VLOOKUP(A62,Dividende_je_Aktie!A$3:AM$103,7,FALSE)/VLOOKUP(A62,Ergebnis_je_Aktie_verwässert!A$3:AK$103,7,FALSE)&gt;=2,2,VLOOKUP(A62,Dividende_je_Aktie!A$3:AM$103,7,FALSE)/VLOOKUP(A62,Ergebnis_je_Aktie_verwässert!A$3:AK$103,7,FALSE))),""),"")</f>
        <v>0.60912052117263848</v>
      </c>
      <c r="V62" s="71">
        <f>IF(VLOOKUP(A62,Dividende_je_Aktie!A$3:AM$103,8,FALSE)&lt;&gt;"",IF(VLOOKUP(A62,Ergebnis_je_Aktie_verwässert!A$3:AK$103,8,FALSE)&lt;&gt;"",IF(VLOOKUP(A62,Ergebnis_je_Aktie_verwässert!A$3:AK$103,8,FALSE)&lt;=0,2,IF(VLOOKUP(A62,Dividende_je_Aktie!A$3:AM$103,8,FALSE)/VLOOKUP(A62,Ergebnis_je_Aktie_verwässert!A$3:AK$103,8,FALSE)&gt;=2,2,VLOOKUP(A62,Dividende_je_Aktie!A$3:AM$103,8,FALSE)/VLOOKUP(A62,Ergebnis_je_Aktie_verwässert!A$3:AK$103,8,FALSE))),""),"")</f>
        <v>0.61971830985915499</v>
      </c>
      <c r="W62" s="71">
        <f>IF(VLOOKUP(A62,Dividende_je_Aktie!A$3:AM$103,9,FALSE)&lt;&gt;"",IF(VLOOKUP(A62,Ergebnis_je_Aktie_verwässert!A$3:AK$103,9,FALSE)&lt;&gt;"",IF(VLOOKUP(A62,Ergebnis_je_Aktie_verwässert!A$3:AK$103,9,FALSE)&lt;=0,2,IF(VLOOKUP(A62,Dividende_je_Aktie!A$3:AM$103,9,FALSE)/VLOOKUP(A62,Ergebnis_je_Aktie_verwässert!A$3:AK$103,9,FALSE)&gt;=2,2,VLOOKUP(A62,Dividende_je_Aktie!A$3:AM$103,9,FALSE)/VLOOKUP(A62,Ergebnis_je_Aktie_verwässert!A$3:AK$103,9,FALSE))),""),"")</f>
        <v>0.59010600706713778</v>
      </c>
      <c r="X62" s="71">
        <f>IF(VLOOKUP(A62,Dividende_je_Aktie!A$3:AM$103,10,FALSE)&lt;&gt;"",IF(VLOOKUP(A62,Ergebnis_je_Aktie_verwässert!A$3:AK$103,10,FALSE)&lt;&gt;"",IF(VLOOKUP(A62,Ergebnis_je_Aktie_verwässert!A$3:AK$103,10,FALSE)&lt;=0,2,IF(VLOOKUP(A62,Dividende_je_Aktie!A$3:AM$103,10,FALSE)/VLOOKUP(A62,Ergebnis_je_Aktie_verwässert!A$3:AK$103,10,FALSE)&gt;=2,2,VLOOKUP(A62,Dividende_je_Aktie!A$3:AM$103,10,FALSE)/VLOOKUP(A62,Ergebnis_je_Aktie_verwässert!A$3:AK$103,10,FALSE))),""),"")</f>
        <v>0.54964539007092206</v>
      </c>
      <c r="Y62" s="71">
        <f>IF(VLOOKUP(A62,Dividende_je_Aktie!A$3:AM$103,11,FALSE)&lt;&gt;"",IF(VLOOKUP(A62,Ergebnis_je_Aktie_verwässert!A$3:AK$103,11,FALSE)&lt;&gt;"",IF(VLOOKUP(A62,Ergebnis_je_Aktie_verwässert!A$3:AK$103,11,FALSE)&lt;=0,2,IF(VLOOKUP(A62,Dividende_je_Aktie!A$3:AM$103,11,FALSE)/VLOOKUP(A62,Ergebnis_je_Aktie_verwässert!A$3:AK$103,11,FALSE)&gt;=2,2,VLOOKUP(A62,Dividende_je_Aktie!A$3:AM$103,11,FALSE)/VLOOKUP(A62,Ergebnis_je_Aktie_verwässert!A$3:AK$103,11,FALSE))),""),"")</f>
        <v>0.49070631970260226</v>
      </c>
      <c r="Z62" s="71">
        <f>IF(VLOOKUP(A62,Dividende_je_Aktie!A$3:AM$103,12,FALSE)&lt;&gt;"",IF(VLOOKUP(A62,Ergebnis_je_Aktie_verwässert!A$3:AK$103,12,FALSE)&lt;&gt;"",IF(VLOOKUP(A62,Ergebnis_je_Aktie_verwässert!A$3:AK$103,12,FALSE)&lt;=0,2,IF(VLOOKUP(A62,Dividende_je_Aktie!A$3:AM$103,12,FALSE)/VLOOKUP(A62,Ergebnis_je_Aktie_verwässert!A$3:AK$103,12,FALSE)&gt;=2,2,VLOOKUP(A62,Dividende_je_Aktie!A$3:AM$103,12,FALSE)/VLOOKUP(A62,Ergebnis_je_Aktie_verwässert!A$3:AK$103,12,FALSE))),""),"")</f>
        <v>0.4765625</v>
      </c>
      <c r="AA62" s="71">
        <f>IF(VLOOKUP(A62,Dividende_je_Aktie!A$3:AM$103,13,FALSE)&lt;&gt;"",IF(VLOOKUP(A62,Ergebnis_je_Aktie_verwässert!A$3:AK$103,13,FALSE)&lt;&gt;"",IF(VLOOKUP(A62,Ergebnis_je_Aktie_verwässert!A$3:AK$103,13,FALSE)&lt;=0,2,IF(VLOOKUP(A62,Dividende_je_Aktie!A$3:AM$103,13,FALSE)/VLOOKUP(A62,Ergebnis_je_Aktie_verwässert!A$3:AK$103,13,FALSE)&gt;=2,2,VLOOKUP(A62,Dividende_je_Aktie!A$3:AM$103,13,FALSE)/VLOOKUP(A62,Ergebnis_je_Aktie_verwässert!A$3:AK$103,13,FALSE))),""),"")</f>
        <v>0.45161290322580649</v>
      </c>
      <c r="AB62" s="71">
        <f>IF(VLOOKUP(A62,Dividende_je_Aktie!A$3:AM$103,14,FALSE)&lt;&gt;"",IF(VLOOKUP(A62,Ergebnis_je_Aktie_verwässert!A$3:AK$103,14,FALSE)&lt;&gt;"",IF(VLOOKUP(A62,Ergebnis_je_Aktie_verwässert!A$3:AK$103,14,FALSE)&lt;=0,2,IF(VLOOKUP(A62,Dividende_je_Aktie!A$3:AM$103,14,FALSE)/VLOOKUP(A62,Ergebnis_je_Aktie_verwässert!A$3:AK$103,14,FALSE)&gt;=2,2,VLOOKUP(A62,Dividende_je_Aktie!A$3:AM$103,14,FALSE)/VLOOKUP(A62,Ergebnis_je_Aktie_verwässert!A$3:AK$103,14,FALSE))),""),"")</f>
        <v>0.41739130434782612</v>
      </c>
      <c r="AC62" s="71">
        <f>IF(VLOOKUP(A62,Dividende_je_Aktie!A$3:AM$103,15,FALSE)&lt;&gt;"",IF(VLOOKUP(A62,Ergebnis_je_Aktie_verwässert!A$3:AK$103,15,FALSE)&lt;&gt;"",IF(VLOOKUP(A62,Ergebnis_je_Aktie_verwässert!A$3:AK$103,15,FALSE)&lt;=0,2,IF(VLOOKUP(A62,Dividende_je_Aktie!A$3:AM$103,15,FALSE)/VLOOKUP(A62,Ergebnis_je_Aktie_verwässert!A$3:AK$103,15,FALSE)&gt;=2,2,VLOOKUP(A62,Dividende_je_Aktie!A$3:AM$103,15,FALSE)/VLOOKUP(A62,Ergebnis_je_Aktie_verwässert!A$3:AK$103,15,FALSE))),""),"")</f>
        <v>0.43216080402010049</v>
      </c>
      <c r="AD62" s="71">
        <f>IF(VLOOKUP(A62,Dividende_je_Aktie!A$3:AM$103,16,FALSE)&lt;&gt;"",IF(VLOOKUP(A62,Ergebnis_je_Aktie_verwässert!A$3:AK$103,16,FALSE)&lt;&gt;"",IF(VLOOKUP(A62,Ergebnis_je_Aktie_verwässert!A$3:AK$103,16,FALSE)&lt;=0,2,IF(VLOOKUP(A62,Dividende_je_Aktie!A$3:AM$103,16,FALSE)/VLOOKUP(A62,Ergebnis_je_Aktie_verwässert!A$3:AK$103,16,FALSE)&gt;=2,2,VLOOKUP(A62,Dividende_je_Aktie!A$3:AM$103,16,FALSE)/VLOOKUP(A62,Ergebnis_je_Aktie_verwässert!A$3:AK$103,16,FALSE))),""),"")</f>
        <v>0.44886363636363641</v>
      </c>
      <c r="AE62" s="71">
        <f>IF(VLOOKUP(A62,Dividende_je_Aktie!A$3:AM$103,17,FALSE)&lt;&gt;"",IF(VLOOKUP(A62,Ergebnis_je_Aktie_verwässert!A$3:AK$103,17,FALSE)&lt;&gt;"",IF(VLOOKUP(A62,Ergebnis_je_Aktie_verwässert!A$3:AK$103,17,FALSE)&lt;=0,2,IF(VLOOKUP(A62,Dividende_je_Aktie!A$3:AM$103,17,FALSE)/VLOOKUP(A62,Ergebnis_je_Aktie_verwässert!A$3:AK$103,17,FALSE)&gt;=2,2,VLOOKUP(A62,Dividende_je_Aktie!A$3:AM$103,17,FALSE)/VLOOKUP(A62,Ergebnis_je_Aktie_verwässert!A$3:AK$103,17,FALSE))),""),"")</f>
        <v>0.45283018867924524</v>
      </c>
      <c r="AF62" s="71">
        <f>IF(VLOOKUP(A62,Dividende_je_Aktie!A$3:AM$103,18,FALSE)&lt;&gt;"",IF(VLOOKUP(A62,Ergebnis_je_Aktie_verwässert!A$3:AK$103,18,FALSE)&lt;&gt;"",IF(VLOOKUP(A62,Ergebnis_je_Aktie_verwässert!A$3:AK$103,18,FALSE)&lt;=0,2,IF(VLOOKUP(A62,Dividende_je_Aktie!A$3:AM$103,18,FALSE)/VLOOKUP(A62,Ergebnis_je_Aktie_verwässert!A$3:AK$103,18,FALSE)&gt;=2,2,VLOOKUP(A62,Dividende_je_Aktie!A$3:AM$103,18,FALSE)/VLOOKUP(A62,Ergebnis_je_Aktie_verwässert!A$3:AK$103,18,FALSE))),""),"")</f>
        <v>0.46206896551724141</v>
      </c>
      <c r="AG62" s="105">
        <f t="shared" si="8"/>
        <v>0.50906216358631207</v>
      </c>
      <c r="AH62" s="4">
        <f t="shared" ca="1" si="9"/>
        <v>0</v>
      </c>
      <c r="AI62" s="4">
        <f t="shared" ca="1" si="10"/>
        <v>318</v>
      </c>
      <c r="AJ62" s="4">
        <f t="shared" ca="1" si="11"/>
        <v>42</v>
      </c>
      <c r="AK62" s="10">
        <f t="shared" ca="1" si="12"/>
        <v>0.61035692985273204</v>
      </c>
      <c r="AL62" s="5">
        <f t="shared" ca="1" si="13"/>
        <v>0.198983097767087</v>
      </c>
    </row>
    <row r="63" spans="1:38">
      <c r="A63" t="s">
        <v>323</v>
      </c>
      <c r="B63" t="s">
        <v>324</v>
      </c>
      <c r="C63" s="60">
        <v>31</v>
      </c>
      <c r="D63" s="60">
        <v>12</v>
      </c>
      <c r="E63" s="60">
        <v>2016</v>
      </c>
      <c r="F63" s="71">
        <f>IF(VLOOKUP(A63,Dividende_je_Aktie!A$3:AM$103,6,FALSE)&lt;&gt;"",IF(VLOOKUP(A63,Ergebnis_je_Aktie_verwässert!A$3:AK$103,6,FALSE)&lt;&gt;"",IF(VLOOKUP(A63,Ergebnis_je_Aktie_verwässert!A$3:AK$103,6,FALSE)&lt;=0,2,IF(VLOOKUP(A63,Dividende_je_Aktie!A$3:AM$103,6,FALSE)/VLOOKUP(A63,Ergebnis_je_Aktie_verwässert!A$3:AK$103,6,FALSE)&gt;=2,2,VLOOKUP(A63,Dividende_je_Aktie!A$3:AM$103,6,FALSE)/VLOOKUP(A63,Ergebnis_je_Aktie_verwässert!A$3:AK$103,6,FALSE))),""),"")</f>
        <v>0.57489878542510109</v>
      </c>
      <c r="G63" s="71">
        <f>IF(VLOOKUP(A63,Dividende_je_Aktie!A$3:AM$103,7,FALSE)&lt;&gt;"",IF(VLOOKUP(A63,Ergebnis_je_Aktie_verwässert!A$3:AK$103,7,FALSE)&lt;&gt;"",IF(VLOOKUP(A63,Ergebnis_je_Aktie_verwässert!A$3:AK$103,7,FALSE)&lt;=0,2,IF(VLOOKUP(A63,Dividende_je_Aktie!A$3:AM$103,7,FALSE)/VLOOKUP(A63,Ergebnis_je_Aktie_verwässert!A$3:AK$103,7,FALSE)&gt;=2,2,VLOOKUP(A63,Dividende_je_Aktie!A$3:AM$103,7,FALSE)/VLOOKUP(A63,Ergebnis_je_Aktie_verwässert!A$3:AK$103,7,FALSE))),""),"")</f>
        <v>0.55698924731182786</v>
      </c>
      <c r="H63" s="71">
        <f>IF(VLOOKUP(A63,Fiktive_Dividende!A$3:AM$103,14,FALSE)&lt;&gt;"",IF(VLOOKUP(A63,Ergebnis_je_Aktie_verwässert!A$3:AK$103,8,FALSE)&lt;&gt;"",IF(VLOOKUP(A63,Ergebnis_je_Aktie_verwässert!A$3:AK$103,8,FALSE)&lt;=0,2,IF(VLOOKUP(A63,Fiktive_Dividende!A$3:AM$103,14,FALSE)/VLOOKUP(A63,Ergebnis_je_Aktie_verwässert!A$3:AK$103,8,FALSE)&gt;=2,2,VLOOKUP(A63,Fiktive_Dividende!A$3:AM$103,14,FALSE)/VLOOKUP(A63,Ergebnis_je_Aktie_verwässert!A$3:AK$103,8,FALSE))),""),"")</f>
        <v>0.55427251732101612</v>
      </c>
      <c r="I63" s="71">
        <f>IF(VLOOKUP(A63,Fiktive_Dividende!A$3:AM$103,15,FALSE)&lt;&gt;"",IF(VLOOKUP(A63,Ergebnis_je_Aktie_verwässert!A$3:AK$103,9,FALSE)&lt;&gt;"",IF(VLOOKUP(A63,Ergebnis_je_Aktie_verwässert!A$3:AK$103,9,FALSE)&lt;=0,2,IF(VLOOKUP(A63,Fiktive_Dividende!A$3:AM$103,15,FALSE)/VLOOKUP(A63,Ergebnis_je_Aktie_verwässert!A$3:AK$103,9,FALSE)&gt;=2,2,VLOOKUP(A63,Fiktive_Dividende!A$3:AM$103,15,FALSE)/VLOOKUP(A63,Ergebnis_je_Aktie_verwässert!A$3:AK$103,9,FALSE))),""),"")</f>
        <v>0.97048201971127379</v>
      </c>
      <c r="J63" s="71">
        <f>IF(VLOOKUP(A63,Fiktive_Dividende!A$3:AM$103,16,FALSE)&lt;&gt;"",IF(VLOOKUP(A63,Ergebnis_je_Aktie_verwässert!A$3:AK$103,10,FALSE)&lt;&gt;"",IF(VLOOKUP(A63,Ergebnis_je_Aktie_verwässert!A$3:AK$103,10,FALSE)&lt;=0,2,IF(VLOOKUP(A63,Fiktive_Dividende!A$3:AM$103,16,FALSE)/VLOOKUP(A63,Ergebnis_je_Aktie_verwässert!A$3:AK$103,10,FALSE)&gt;=2,2,VLOOKUP(A63,Fiktive_Dividende!A$3:AM$103,16,FALSE)/VLOOKUP(A63,Ergebnis_je_Aktie_verwässert!A$3:AK$103,10,FALSE))),""),"")</f>
        <v>0.84923884293669127</v>
      </c>
      <c r="K63" s="71">
        <f>IF(VLOOKUP(A63,Fiktive_Dividende!A$3:AM$103,17,FALSE)&lt;&gt;"",IF(VLOOKUP(A63,Ergebnis_je_Aktie_verwässert!A$3:AK$103,11,FALSE)&lt;&gt;"",IF(VLOOKUP(A63,Ergebnis_je_Aktie_verwässert!A$3:AK$103,11,FALSE)&lt;=0,2,IF(VLOOKUP(A63,Fiktive_Dividende!A$3:AM$103,17,FALSE)/VLOOKUP(A63,Ergebnis_je_Aktie_verwässert!A$3:AK$103,11,FALSE)&gt;=2,2,VLOOKUP(A63,Fiktive_Dividende!A$3:AM$103,17,FALSE)/VLOOKUP(A63,Ergebnis_je_Aktie_verwässert!A$3:AK$103,11,FALSE))),""),"")</f>
        <v>0.48655913978494625</v>
      </c>
      <c r="L63" s="71">
        <f>IF(VLOOKUP(A63,Fiktive_Dividende!A$3:AM$103,18,FALSE)&lt;&gt;"",IF(VLOOKUP(A63,Ergebnis_je_Aktie_verwässert!A$3:AK$103,12,FALSE)&lt;&gt;"",IF(VLOOKUP(A63,Ergebnis_je_Aktie_verwässert!A$3:AK$103,12,FALSE)&lt;=0,2,IF(VLOOKUP(A63,Fiktive_Dividende!A$3:AM$103,18,FALSE)/VLOOKUP(A63,Ergebnis_je_Aktie_verwässert!A$3:AK$103,12,FALSE)&gt;=2,2,VLOOKUP(A63,Fiktive_Dividende!A$3:AM$103,18,FALSE)/VLOOKUP(A63,Ergebnis_je_Aktie_verwässert!A$3:AK$103,12,FALSE))),""),"")</f>
        <v>0.62291753898468682</v>
      </c>
      <c r="M63" s="71">
        <f>IF(VLOOKUP(A63,Fiktive_Dividende!A$3:AM$103,19,FALSE)&lt;&gt;"",IF(VLOOKUP(A63,Ergebnis_je_Aktie_verwässert!A$3:AK$103,13,FALSE)&lt;&gt;"",IF(VLOOKUP(A63,Ergebnis_je_Aktie_verwässert!A$3:AK$103,13,FALSE)&lt;=0,2,IF(VLOOKUP(A63,Fiktive_Dividende!A$3:AM$103,19,FALSE)/VLOOKUP(A63,Ergebnis_je_Aktie_verwässert!A$3:AK$103,13,FALSE)&gt;=2,2,VLOOKUP(A63,Fiktive_Dividende!A$3:AM$103,19,FALSE)/VLOOKUP(A63,Ergebnis_je_Aktie_verwässert!A$3:AK$103,13,FALSE))),""),"")</f>
        <v>0.66114343534569853</v>
      </c>
      <c r="N63" s="71">
        <f>IF(VLOOKUP(A63,Fiktive_Dividende!A$3:AM$103,20,FALSE)&lt;&gt;"",IF(VLOOKUP(A63,Ergebnis_je_Aktie_verwässert!A$3:AK$103,14,FALSE)&lt;&gt;"",IF(VLOOKUP(A63,Ergebnis_je_Aktie_verwässert!A$3:AK$103,14,FALSE)&lt;=0,2,IF(VLOOKUP(A63,Fiktive_Dividende!A$3:AM$103,20,FALSE)/VLOOKUP(A63,Ergebnis_je_Aktie_verwässert!A$3:AK$103,14,FALSE)&gt;=2,2,VLOOKUP(A63,Fiktive_Dividende!A$3:AM$103,20,FALSE)/VLOOKUP(A63,Ergebnis_je_Aktie_verwässert!A$3:AK$103,14,FALSE))),""),"")</f>
        <v>0.58341539258875363</v>
      </c>
      <c r="O63" s="71">
        <f>IF(VLOOKUP(A63,Fiktive_Dividende!A$3:AM$103,21,FALSE)&lt;&gt;"",IF(VLOOKUP(A63,Ergebnis_je_Aktie_verwässert!A$3:AK$103,15,FALSE)&lt;&gt;"",IF(VLOOKUP(A63,Ergebnis_je_Aktie_verwässert!A$3:AK$103,15,FALSE)&lt;=0,2,IF(VLOOKUP(A63,Fiktive_Dividende!A$3:AM$103,21,FALSE)/VLOOKUP(A63,Ergebnis_je_Aktie_verwässert!A$3:AK$103,15,FALSE)&gt;=2,2,VLOOKUP(A63,Fiktive_Dividende!A$3:AM$103,21,FALSE)/VLOOKUP(A63,Ergebnis_je_Aktie_verwässert!A$3:AK$103,15,FALSE))),""),"")</f>
        <v>0.54838709677419351</v>
      </c>
      <c r="P63" s="71">
        <f>IF(VLOOKUP(A63,Fiktive_Dividende!A$3:AM$103,22,FALSE)&lt;&gt;"",IF(VLOOKUP(A63,Ergebnis_je_Aktie_verwässert!A$3:AK$103,16,FALSE)&lt;&gt;"",IF(VLOOKUP(A63,Ergebnis_je_Aktie_verwässert!A$3:AK$103,16,FALSE)&lt;=0,2,IF(VLOOKUP(A63,Fiktive_Dividende!A$3:AM$103,22,FALSE)/VLOOKUP(A63,Ergebnis_je_Aktie_verwässert!A$3:AK$103,16,FALSE)&gt;=2,2,VLOOKUP(A63,Fiktive_Dividende!A$3:AM$103,22,FALSE)/VLOOKUP(A63,Ergebnis_je_Aktie_verwässert!A$3:AK$103,16,FALSE))),""),"")</f>
        <v>0.63297872340425532</v>
      </c>
      <c r="Q63" s="71">
        <f>IF(VLOOKUP(A63,Fiktive_Dividende!A$3:AM$103,23,FALSE)&lt;&gt;"",IF(VLOOKUP(A63,Ergebnis_je_Aktie_verwässert!A$3:AK$103,17,FALSE)&lt;&gt;"",IF(VLOOKUP(A63,Ergebnis_je_Aktie_verwässert!A$3:AK$103,17,FALSE)&lt;=0,2,IF(VLOOKUP(A63,Fiktive_Dividende!A$3:AM$103,23,FALSE)/VLOOKUP(A63,Ergebnis_je_Aktie_verwässert!A$3:AK$103,17,FALSE)&gt;=2,2,VLOOKUP(A63,Fiktive_Dividende!A$3:AM$103,23,FALSE)/VLOOKUP(A63,Ergebnis_je_Aktie_verwässert!A$3:AK$103,17,FALSE))),""),"")</f>
        <v>0.82344967807522951</v>
      </c>
      <c r="R63" s="71">
        <f>IF(VLOOKUP(A63,Fiktive_Dividende!A$3:AM$103,24,FALSE)&lt;&gt;"",IF(VLOOKUP(A63,Ergebnis_je_Aktie_verwässert!A$3:AK$103,18,FALSE)&lt;&gt;"",IF(VLOOKUP(A63,Ergebnis_je_Aktie_verwässert!A$3:AK$103,18,FALSE)&lt;=0,2,IF(VLOOKUP(A63,Fiktive_Dividende!A$3:AM$103,24,FALSE)/VLOOKUP(A63,Ergebnis_je_Aktie_verwässert!A$3:AK$103,18,FALSE)&gt;=2,2,VLOOKUP(A63,Fiktive_Dividende!A$3:AM$103,24,FALSE)/VLOOKUP(A63,Ergebnis_je_Aktie_verwässert!A$3:AK$103,18,FALSE))),""),"")</f>
        <v>1.3676803875334125</v>
      </c>
      <c r="S63" s="105">
        <f t="shared" si="7"/>
        <v>0.71018560039977585</v>
      </c>
      <c r="T63" s="71">
        <f>IF(VLOOKUP(A63,Dividende_je_Aktie!A$3:AM$103,6,FALSE)&lt;&gt;"",IF(VLOOKUP(A63,Ergebnis_je_Aktie_verwässert!A$3:AK$103,6,FALSE)&lt;&gt;"",IF(VLOOKUP(A63,Ergebnis_je_Aktie_verwässert!A$3:AK$103,6,FALSE)&lt;=0,2,IF(VLOOKUP(A63,Dividende_je_Aktie!A$3:AM$103,6,FALSE)/VLOOKUP(A63,Ergebnis_je_Aktie_verwässert!A$3:AK$103,6,FALSE)&gt;=2,2,VLOOKUP(A63,Dividende_je_Aktie!A$3:AM$103,6,FALSE)/VLOOKUP(A63,Ergebnis_je_Aktie_verwässert!A$3:AK$103,6,FALSE))),""),"")</f>
        <v>0.57489878542510109</v>
      </c>
      <c r="U63" s="71">
        <f>IF(VLOOKUP(A63,Dividende_je_Aktie!A$3:AM$103,7,FALSE)&lt;&gt;"",IF(VLOOKUP(A63,Ergebnis_je_Aktie_verwässert!A$3:AK$103,7,FALSE)&lt;&gt;"",IF(VLOOKUP(A63,Ergebnis_je_Aktie_verwässert!A$3:AK$103,7,FALSE)&lt;=0,2,IF(VLOOKUP(A63,Dividende_je_Aktie!A$3:AM$103,7,FALSE)/VLOOKUP(A63,Ergebnis_je_Aktie_verwässert!A$3:AK$103,7,FALSE)&gt;=2,2,VLOOKUP(A63,Dividende_je_Aktie!A$3:AM$103,7,FALSE)/VLOOKUP(A63,Ergebnis_je_Aktie_verwässert!A$3:AK$103,7,FALSE))),""),"")</f>
        <v>0.55698924731182786</v>
      </c>
      <c r="V63" s="71">
        <f>IF(VLOOKUP(A63,Dividende_je_Aktie!A$3:AM$103,8,FALSE)&lt;&gt;"",IF(VLOOKUP(A63,Ergebnis_je_Aktie_verwässert!A$3:AK$103,8,FALSE)&lt;&gt;"",IF(VLOOKUP(A63,Ergebnis_je_Aktie_verwässert!A$3:AK$103,8,FALSE)&lt;=0,2,IF(VLOOKUP(A63,Dividende_je_Aktie!A$3:AM$103,8,FALSE)/VLOOKUP(A63,Ergebnis_je_Aktie_verwässert!A$3:AK$103,8,FALSE)&gt;=2,2,VLOOKUP(A63,Dividende_je_Aktie!A$3:AM$103,8,FALSE)/VLOOKUP(A63,Ergebnis_je_Aktie_verwässert!A$3:AK$103,8,FALSE))),""),"")</f>
        <v>0.55427251732101612</v>
      </c>
      <c r="W63" s="71">
        <f>IF(VLOOKUP(A63,Dividende_je_Aktie!A$3:AM$103,9,FALSE)&lt;&gt;"",IF(VLOOKUP(A63,Ergebnis_je_Aktie_verwässert!A$3:AK$103,9,FALSE)&lt;&gt;"",IF(VLOOKUP(A63,Ergebnis_je_Aktie_verwässert!A$3:AK$103,9,FALSE)&lt;=0,2,IF(VLOOKUP(A63,Dividende_je_Aktie!A$3:AM$103,9,FALSE)/VLOOKUP(A63,Ergebnis_je_Aktie_verwässert!A$3:AK$103,9,FALSE)&gt;=2,2,VLOOKUP(A63,Dividende_je_Aktie!A$3:AM$103,9,FALSE)/VLOOKUP(A63,Ergebnis_je_Aktie_verwässert!A$3:AK$103,9,FALSE))),""),"")</f>
        <v>0.54368932038834961</v>
      </c>
      <c r="X63" s="71">
        <f>IF(VLOOKUP(A63,Dividende_je_Aktie!A$3:AM$103,10,FALSE)&lt;&gt;"",IF(VLOOKUP(A63,Ergebnis_je_Aktie_verwässert!A$3:AK$103,10,FALSE)&lt;&gt;"",IF(VLOOKUP(A63,Ergebnis_je_Aktie_verwässert!A$3:AK$103,10,FALSE)&lt;=0,2,IF(VLOOKUP(A63,Dividende_je_Aktie!A$3:AM$103,10,FALSE)/VLOOKUP(A63,Ergebnis_je_Aktie_verwässert!A$3:AK$103,10,FALSE)&gt;=2,2,VLOOKUP(A63,Dividende_je_Aktie!A$3:AM$103,10,FALSE)/VLOOKUP(A63,Ergebnis_je_Aktie_verwässert!A$3:AK$103,10,FALSE))),""),"")</f>
        <v>0.51256281407035176</v>
      </c>
      <c r="Y63" s="71">
        <f>IF(VLOOKUP(A63,Dividende_je_Aktie!A$3:AM$103,11,FALSE)&lt;&gt;"",IF(VLOOKUP(A63,Ergebnis_je_Aktie_verwässert!A$3:AK$103,11,FALSE)&lt;&gt;"",IF(VLOOKUP(A63,Ergebnis_je_Aktie_verwässert!A$3:AK$103,11,FALSE)&lt;=0,2,IF(VLOOKUP(A63,Dividende_je_Aktie!A$3:AM$103,11,FALSE)/VLOOKUP(A63,Ergebnis_je_Aktie_verwässert!A$3:AK$103,11,FALSE)&gt;=2,2,VLOOKUP(A63,Dividende_je_Aktie!A$3:AM$103,11,FALSE)/VLOOKUP(A63,Ergebnis_je_Aktie_verwässert!A$3:AK$103,11,FALSE))),""),"")</f>
        <v>0.48655913978494625</v>
      </c>
      <c r="Z63" s="71">
        <f>IF(VLOOKUP(A63,Dividende_je_Aktie!A$3:AM$103,12,FALSE)&lt;&gt;"",IF(VLOOKUP(A63,Ergebnis_je_Aktie_verwässert!A$3:AK$103,12,FALSE)&lt;&gt;"",IF(VLOOKUP(A63,Ergebnis_je_Aktie_verwässert!A$3:AK$103,12,FALSE)&lt;=0,2,IF(VLOOKUP(A63,Dividende_je_Aktie!A$3:AM$103,12,FALSE)/VLOOKUP(A63,Ergebnis_je_Aktie_verwässert!A$3:AK$103,12,FALSE)&gt;=2,2,VLOOKUP(A63,Dividende_je_Aktie!A$3:AM$103,12,FALSE)/VLOOKUP(A63,Ergebnis_je_Aktie_verwässert!A$3:AK$103,12,FALSE))),""),"")</f>
        <v>0.48148148148148145</v>
      </c>
      <c r="AA63" s="71">
        <f>IF(VLOOKUP(A63,Dividende_je_Aktie!A$3:AM$103,13,FALSE)&lt;&gt;"",IF(VLOOKUP(A63,Ergebnis_je_Aktie_verwässert!A$3:AK$103,13,FALSE)&lt;&gt;"",IF(VLOOKUP(A63,Ergebnis_je_Aktie_verwässert!A$3:AK$103,13,FALSE)&lt;=0,2,IF(VLOOKUP(A63,Dividende_je_Aktie!A$3:AM$103,13,FALSE)/VLOOKUP(A63,Ergebnis_je_Aktie_verwässert!A$3:AK$103,13,FALSE)&gt;=2,2,VLOOKUP(A63,Dividende_je_Aktie!A$3:AM$103,13,FALSE)/VLOOKUP(A63,Ergebnis_je_Aktie_verwässert!A$3:AK$103,13,FALSE))),""),"")</f>
        <v>0.48763250883392223</v>
      </c>
      <c r="AB63" s="71">
        <f>IF(VLOOKUP(A63,Dividende_je_Aktie!A$3:AM$103,14,FALSE)&lt;&gt;"",IF(VLOOKUP(A63,Ergebnis_je_Aktie_verwässert!A$3:AK$103,14,FALSE)&lt;&gt;"",IF(VLOOKUP(A63,Ergebnis_je_Aktie_verwässert!A$3:AK$103,14,FALSE)&lt;=0,2,IF(VLOOKUP(A63,Dividende_je_Aktie!A$3:AM$103,14,FALSE)/VLOOKUP(A63,Ergebnis_je_Aktie_verwässert!A$3:AK$103,14,FALSE)&gt;=2,2,VLOOKUP(A63,Dividende_je_Aktie!A$3:AM$103,14,FALSE)/VLOOKUP(A63,Ergebnis_je_Aktie_verwässert!A$3:AK$103,14,FALSE))),""),"")</f>
        <v>0.50196078431372548</v>
      </c>
      <c r="AC63" s="71">
        <f>IF(VLOOKUP(A63,Dividende_je_Aktie!A$3:AM$103,15,FALSE)&lt;&gt;"",IF(VLOOKUP(A63,Ergebnis_je_Aktie_verwässert!A$3:AK$103,15,FALSE)&lt;&gt;"",IF(VLOOKUP(A63,Ergebnis_je_Aktie_verwässert!A$3:AK$103,15,FALSE)&lt;=0,2,IF(VLOOKUP(A63,Dividende_je_Aktie!A$3:AM$103,15,FALSE)/VLOOKUP(A63,Ergebnis_je_Aktie_verwässert!A$3:AK$103,15,FALSE)&gt;=2,2,VLOOKUP(A63,Dividende_je_Aktie!A$3:AM$103,15,FALSE)/VLOOKUP(A63,Ergebnis_je_Aktie_verwässert!A$3:AK$103,15,FALSE))),""),"")</f>
        <v>0.54838709677419351</v>
      </c>
      <c r="AD63" s="71">
        <f>IF(VLOOKUP(A63,Dividende_je_Aktie!A$3:AM$103,16,FALSE)&lt;&gt;"",IF(VLOOKUP(A63,Ergebnis_je_Aktie_verwässert!A$3:AK$103,16,FALSE)&lt;&gt;"",IF(VLOOKUP(A63,Ergebnis_je_Aktie_verwässert!A$3:AK$103,16,FALSE)&lt;=0,2,IF(VLOOKUP(A63,Dividende_je_Aktie!A$3:AM$103,16,FALSE)/VLOOKUP(A63,Ergebnis_je_Aktie_verwässert!A$3:AK$103,16,FALSE)&gt;=2,2,VLOOKUP(A63,Dividende_je_Aktie!A$3:AM$103,16,FALSE)/VLOOKUP(A63,Ergebnis_je_Aktie_verwässert!A$3:AK$103,16,FALSE))),""),"")</f>
        <v>0.63297872340425532</v>
      </c>
      <c r="AE63" s="71">
        <f>IF(VLOOKUP(A63,Dividende_je_Aktie!A$3:AM$103,17,FALSE)&lt;&gt;"",IF(VLOOKUP(A63,Ergebnis_je_Aktie_verwässert!A$3:AK$103,17,FALSE)&lt;&gt;"",IF(VLOOKUP(A63,Ergebnis_je_Aktie_verwässert!A$3:AK$103,17,FALSE)&lt;=0,2,IF(VLOOKUP(A63,Dividende_je_Aktie!A$3:AM$103,17,FALSE)/VLOOKUP(A63,Ergebnis_je_Aktie_verwässert!A$3:AK$103,17,FALSE)&gt;=2,2,VLOOKUP(A63,Dividende_je_Aktie!A$3:AM$103,17,FALSE)/VLOOKUP(A63,Ergebnis_je_Aktie_verwässert!A$3:AK$103,17,FALSE))),""),"")</f>
        <v>0.54807692307692302</v>
      </c>
      <c r="AF63" s="71">
        <f>IF(VLOOKUP(A63,Dividende_je_Aktie!A$3:AM$103,18,FALSE)&lt;&gt;"",IF(VLOOKUP(A63,Ergebnis_je_Aktie_verwässert!A$3:AK$103,18,FALSE)&lt;&gt;"",IF(VLOOKUP(A63,Ergebnis_je_Aktie_verwässert!A$3:AK$103,18,FALSE)&lt;=0,2,IF(VLOOKUP(A63,Dividende_je_Aktie!A$3:AM$103,18,FALSE)/VLOOKUP(A63,Ergebnis_je_Aktie_verwässert!A$3:AK$103,18,FALSE)&gt;=2,2,VLOOKUP(A63,Dividende_je_Aktie!A$3:AM$103,18,FALSE)/VLOOKUP(A63,Ergebnis_je_Aktie_verwässert!A$3:AK$103,18,FALSE))),""),"")</f>
        <v>0.43459915611814343</v>
      </c>
      <c r="AG63" s="105">
        <f t="shared" si="8"/>
        <v>0.52800680756186447</v>
      </c>
      <c r="AH63" s="4">
        <f t="shared" ca="1" si="9"/>
        <v>0</v>
      </c>
      <c r="AI63" s="4">
        <f t="shared" ca="1" si="10"/>
        <v>108</v>
      </c>
      <c r="AJ63" s="4">
        <f t="shared" ca="1" si="11"/>
        <v>252</v>
      </c>
      <c r="AK63" s="10">
        <f t="shared" ca="1" si="12"/>
        <v>0.55508753631825969</v>
      </c>
      <c r="AL63" s="5">
        <f t="shared" ca="1" si="13"/>
        <v>5.1288597738812891E-2</v>
      </c>
    </row>
    <row r="64" spans="1:38">
      <c r="A64" t="s">
        <v>254</v>
      </c>
      <c r="B64" t="s">
        <v>255</v>
      </c>
      <c r="C64" s="60">
        <v>31</v>
      </c>
      <c r="D64" s="60">
        <v>12</v>
      </c>
      <c r="E64" s="60">
        <v>2016</v>
      </c>
      <c r="F64" s="71">
        <f>IF(VLOOKUP(A64,Dividende_je_Aktie!A$3:AM$103,6,FALSE)&lt;&gt;"",IF(VLOOKUP(A64,Ergebnis_je_Aktie_verwässert!A$3:AK$103,6,FALSE)&lt;&gt;"",IF(VLOOKUP(A64,Ergebnis_je_Aktie_verwässert!A$3:AK$103,6,FALSE)&lt;=0,2,IF(VLOOKUP(A64,Dividende_je_Aktie!A$3:AM$103,6,FALSE)/VLOOKUP(A64,Ergebnis_je_Aktie_verwässert!A$3:AK$103,6,FALSE)&gt;=2,2,VLOOKUP(A64,Dividende_je_Aktie!A$3:AM$103,6,FALSE)/VLOOKUP(A64,Ergebnis_je_Aktie_verwässert!A$3:AK$103,6,FALSE))),""),"")</f>
        <v>0.54524361948955924</v>
      </c>
      <c r="G64" s="71">
        <f>IF(VLOOKUP(A64,Dividende_je_Aktie!A$3:AM$103,7,FALSE)&lt;&gt;"",IF(VLOOKUP(A64,Ergebnis_je_Aktie_verwässert!A$3:AK$103,7,FALSE)&lt;&gt;"",IF(VLOOKUP(A64,Ergebnis_je_Aktie_verwässert!A$3:AK$103,7,FALSE)&lt;=0,2,IF(VLOOKUP(A64,Dividende_je_Aktie!A$3:AM$103,7,FALSE)/VLOOKUP(A64,Ergebnis_je_Aktie_verwässert!A$3:AK$103,7,FALSE)&gt;=2,2,VLOOKUP(A64,Dividende_je_Aktie!A$3:AM$103,7,FALSE)/VLOOKUP(A64,Ergebnis_je_Aktie_verwässert!A$3:AK$103,7,FALSE))),""),"")</f>
        <v>0.54871794871794877</v>
      </c>
      <c r="H64" s="71">
        <f>IF(VLOOKUP(A64,Fiktive_Dividende!A$3:AM$103,14,FALSE)&lt;&gt;"",IF(VLOOKUP(A64,Ergebnis_je_Aktie_verwässert!A$3:AK$103,8,FALSE)&lt;&gt;"",IF(VLOOKUP(A64,Ergebnis_je_Aktie_verwässert!A$3:AK$103,8,FALSE)&lt;=0,2,IF(VLOOKUP(A64,Fiktive_Dividende!A$3:AM$103,14,FALSE)/VLOOKUP(A64,Ergebnis_je_Aktie_verwässert!A$3:AK$103,8,FALSE)&gt;=2,2,VLOOKUP(A64,Fiktive_Dividende!A$3:AM$103,14,FALSE)/VLOOKUP(A64,Ergebnis_je_Aktie_verwässert!A$3:AK$103,8,FALSE))),""),"")</f>
        <v>0.57670454545454541</v>
      </c>
      <c r="I64" s="71">
        <f>IF(VLOOKUP(A64,Fiktive_Dividende!A$3:AM$103,15,FALSE)&lt;&gt;"",IF(VLOOKUP(A64,Ergebnis_je_Aktie_verwässert!A$3:AK$103,9,FALSE)&lt;&gt;"",IF(VLOOKUP(A64,Ergebnis_je_Aktie_verwässert!A$3:AK$103,9,FALSE)&lt;=0,2,IF(VLOOKUP(A64,Fiktive_Dividende!A$3:AM$103,15,FALSE)/VLOOKUP(A64,Ergebnis_je_Aktie_verwässert!A$3:AK$103,9,FALSE)&gt;=2,2,VLOOKUP(A64,Fiktive_Dividende!A$3:AM$103,15,FALSE)/VLOOKUP(A64,Ergebnis_je_Aktie_verwässert!A$3:AK$103,9,FALSE))),""),"")</f>
        <v>0.91327102736986554</v>
      </c>
      <c r="J64" s="71">
        <f>IF(VLOOKUP(A64,Fiktive_Dividende!A$3:AM$103,16,FALSE)&lt;&gt;"",IF(VLOOKUP(A64,Ergebnis_je_Aktie_verwässert!A$3:AK$103,10,FALSE)&lt;&gt;"",IF(VLOOKUP(A64,Ergebnis_je_Aktie_verwässert!A$3:AK$103,10,FALSE)&lt;=0,2,IF(VLOOKUP(A64,Fiktive_Dividende!A$3:AM$103,16,FALSE)/VLOOKUP(A64,Ergebnis_je_Aktie_verwässert!A$3:AK$103,10,FALSE)&gt;=2,2,VLOOKUP(A64,Fiktive_Dividende!A$3:AM$103,16,FALSE)/VLOOKUP(A64,Ergebnis_je_Aktie_verwässert!A$3:AK$103,10,FALSE))),""),"")</f>
        <v>0.82676575540417052</v>
      </c>
      <c r="K64" s="71">
        <f>IF(VLOOKUP(A64,Fiktive_Dividende!A$3:AM$103,17,FALSE)&lt;&gt;"",IF(VLOOKUP(A64,Ergebnis_je_Aktie_verwässert!A$3:AK$103,11,FALSE)&lt;&gt;"",IF(VLOOKUP(A64,Ergebnis_je_Aktie_verwässert!A$3:AK$103,11,FALSE)&lt;=0,2,IF(VLOOKUP(A64,Fiktive_Dividende!A$3:AM$103,17,FALSE)/VLOOKUP(A64,Ergebnis_je_Aktie_verwässert!A$3:AK$103,11,FALSE)&gt;=2,2,VLOOKUP(A64,Fiktive_Dividende!A$3:AM$103,17,FALSE)/VLOOKUP(A64,Ergebnis_je_Aktie_verwässert!A$3:AK$103,11,FALSE))),""),"")</f>
        <v>0.4774535809018568</v>
      </c>
      <c r="L64" s="71">
        <f>IF(VLOOKUP(A64,Fiktive_Dividende!A$3:AM$103,18,FALSE)&lt;&gt;"",IF(VLOOKUP(A64,Ergebnis_je_Aktie_verwässert!A$3:AK$103,12,FALSE)&lt;&gt;"",IF(VLOOKUP(A64,Ergebnis_je_Aktie_verwässert!A$3:AK$103,12,FALSE)&lt;=0,2,IF(VLOOKUP(A64,Fiktive_Dividende!A$3:AM$103,18,FALSE)/VLOOKUP(A64,Ergebnis_je_Aktie_verwässert!A$3:AK$103,12,FALSE)&gt;=2,2,VLOOKUP(A64,Fiktive_Dividende!A$3:AM$103,18,FALSE)/VLOOKUP(A64,Ergebnis_je_Aktie_verwässert!A$3:AK$103,12,FALSE))),""),"")</f>
        <v>0.48199445983379502</v>
      </c>
      <c r="M64" s="71">
        <f>IF(VLOOKUP(A64,Fiktive_Dividende!A$3:AM$103,19,FALSE)&lt;&gt;"",IF(VLOOKUP(A64,Ergebnis_je_Aktie_verwässert!A$3:AK$103,13,FALSE)&lt;&gt;"",IF(VLOOKUP(A64,Ergebnis_je_Aktie_verwässert!A$3:AK$103,13,FALSE)&lt;=0,2,IF(VLOOKUP(A64,Fiktive_Dividende!A$3:AM$103,19,FALSE)/VLOOKUP(A64,Ergebnis_je_Aktie_verwässert!A$3:AK$103,13,FALSE)&gt;=2,2,VLOOKUP(A64,Fiktive_Dividende!A$3:AM$103,19,FALSE)/VLOOKUP(A64,Ergebnis_je_Aktie_verwässert!A$3:AK$103,13,FALSE))),""),"")</f>
        <v>0.82069912906960052</v>
      </c>
      <c r="N64" s="71">
        <f>IF(VLOOKUP(A64,Fiktive_Dividende!A$3:AM$103,20,FALSE)&lt;&gt;"",IF(VLOOKUP(A64,Ergebnis_je_Aktie_verwässert!A$3:AK$103,14,FALSE)&lt;&gt;"",IF(VLOOKUP(A64,Ergebnis_je_Aktie_verwässert!A$3:AK$103,14,FALSE)&lt;=0,2,IF(VLOOKUP(A64,Fiktive_Dividende!A$3:AM$103,20,FALSE)/VLOOKUP(A64,Ergebnis_je_Aktie_verwässert!A$3:AK$103,14,FALSE)&gt;=2,2,VLOOKUP(A64,Fiktive_Dividende!A$3:AM$103,20,FALSE)/VLOOKUP(A64,Ergebnis_je_Aktie_verwässert!A$3:AK$103,14,FALSE))),""),"")</f>
        <v>1.1298656241959446</v>
      </c>
      <c r="O64" s="71">
        <f>IF(VLOOKUP(A64,Fiktive_Dividende!A$3:AM$103,21,FALSE)&lt;&gt;"",IF(VLOOKUP(A64,Ergebnis_je_Aktie_verwässert!A$3:AK$103,15,FALSE)&lt;&gt;"",IF(VLOOKUP(A64,Ergebnis_je_Aktie_verwässert!A$3:AK$103,15,FALSE)&lt;=0,2,IF(VLOOKUP(A64,Fiktive_Dividende!A$3:AM$103,21,FALSE)/VLOOKUP(A64,Ergebnis_je_Aktie_verwässert!A$3:AK$103,15,FALSE)&gt;=2,2,VLOOKUP(A64,Fiktive_Dividende!A$3:AM$103,21,FALSE)/VLOOKUP(A64,Ergebnis_je_Aktie_verwässert!A$3:AK$103,15,FALSE))),""),"")</f>
        <v>0.51003578626685175</v>
      </c>
      <c r="P64" s="71">
        <f>IF(VLOOKUP(A64,Fiktive_Dividende!A$3:AM$103,22,FALSE)&lt;&gt;"",IF(VLOOKUP(A64,Ergebnis_je_Aktie_verwässert!A$3:AK$103,16,FALSE)&lt;&gt;"",IF(VLOOKUP(A64,Ergebnis_je_Aktie_verwässert!A$3:AK$103,16,FALSE)&lt;=0,2,IF(VLOOKUP(A64,Fiktive_Dividende!A$3:AM$103,22,FALSE)/VLOOKUP(A64,Ergebnis_je_Aktie_verwässert!A$3:AK$103,16,FALSE)&gt;=2,2,VLOOKUP(A64,Fiktive_Dividende!A$3:AM$103,22,FALSE)/VLOOKUP(A64,Ergebnis_je_Aktie_verwässert!A$3:AK$103,16,FALSE))),""),"")</f>
        <v>0.74967531642964724</v>
      </c>
      <c r="Q64" s="71">
        <f>IF(VLOOKUP(A64,Fiktive_Dividende!A$3:AM$103,23,FALSE)&lt;&gt;"",IF(VLOOKUP(A64,Ergebnis_je_Aktie_verwässert!A$3:AK$103,17,FALSE)&lt;&gt;"",IF(VLOOKUP(A64,Ergebnis_je_Aktie_verwässert!A$3:AK$103,17,FALSE)&lt;=0,2,IF(VLOOKUP(A64,Fiktive_Dividende!A$3:AM$103,23,FALSE)/VLOOKUP(A64,Ergebnis_je_Aktie_verwässert!A$3:AK$103,17,FALSE)&gt;=2,2,VLOOKUP(A64,Fiktive_Dividende!A$3:AM$103,23,FALSE)/VLOOKUP(A64,Ergebnis_je_Aktie_verwässert!A$3:AK$103,17,FALSE))),""),"")</f>
        <v>0.80487351812429953</v>
      </c>
      <c r="R64" s="71">
        <f>IF(VLOOKUP(A64,Fiktive_Dividende!A$3:AM$103,24,FALSE)&lt;&gt;"",IF(VLOOKUP(A64,Ergebnis_je_Aktie_verwässert!A$3:AK$103,18,FALSE)&lt;&gt;"",IF(VLOOKUP(A64,Ergebnis_je_Aktie_verwässert!A$3:AK$103,18,FALSE)&lt;=0,2,IF(VLOOKUP(A64,Fiktive_Dividende!A$3:AM$103,24,FALSE)/VLOOKUP(A64,Ergebnis_je_Aktie_verwässert!A$3:AK$103,18,FALSE)&gt;=2,2,VLOOKUP(A64,Fiktive_Dividende!A$3:AM$103,24,FALSE)/VLOOKUP(A64,Ergebnis_je_Aktie_verwässert!A$3:AK$103,18,FALSE))),""),"")</f>
        <v>0.83592409341763063</v>
      </c>
      <c r="S64" s="105">
        <f t="shared" si="7"/>
        <v>0.70932495420582431</v>
      </c>
      <c r="T64" s="71">
        <f>IF(VLOOKUP(A64,Dividende_je_Aktie!A$3:AM$103,6,FALSE)&lt;&gt;"",IF(VLOOKUP(A64,Ergebnis_je_Aktie_verwässert!A$3:AK$103,6,FALSE)&lt;&gt;"",IF(VLOOKUP(A64,Ergebnis_je_Aktie_verwässert!A$3:AK$103,6,FALSE)&lt;=0,2,IF(VLOOKUP(A64,Dividende_je_Aktie!A$3:AM$103,6,FALSE)/VLOOKUP(A64,Ergebnis_je_Aktie_verwässert!A$3:AK$103,6,FALSE)&gt;=2,2,VLOOKUP(A64,Dividende_je_Aktie!A$3:AM$103,6,FALSE)/VLOOKUP(A64,Ergebnis_je_Aktie_verwässert!A$3:AK$103,6,FALSE))),""),"")</f>
        <v>0.54524361948955924</v>
      </c>
      <c r="U64" s="71">
        <f>IF(VLOOKUP(A64,Dividende_je_Aktie!A$3:AM$103,7,FALSE)&lt;&gt;"",IF(VLOOKUP(A64,Ergebnis_je_Aktie_verwässert!A$3:AK$103,7,FALSE)&lt;&gt;"",IF(VLOOKUP(A64,Ergebnis_je_Aktie_verwässert!A$3:AK$103,7,FALSE)&lt;=0,2,IF(VLOOKUP(A64,Dividende_je_Aktie!A$3:AM$103,7,FALSE)/VLOOKUP(A64,Ergebnis_je_Aktie_verwässert!A$3:AK$103,7,FALSE)&gt;=2,2,VLOOKUP(A64,Dividende_je_Aktie!A$3:AM$103,7,FALSE)/VLOOKUP(A64,Ergebnis_je_Aktie_verwässert!A$3:AK$103,7,FALSE))),""),"")</f>
        <v>0.54871794871794877</v>
      </c>
      <c r="V64" s="71">
        <f>IF(VLOOKUP(A64,Dividende_je_Aktie!A$3:AM$103,8,FALSE)&lt;&gt;"",IF(VLOOKUP(A64,Ergebnis_je_Aktie_verwässert!A$3:AK$103,8,FALSE)&lt;&gt;"",IF(VLOOKUP(A64,Ergebnis_je_Aktie_verwässert!A$3:AK$103,8,FALSE)&lt;=0,2,IF(VLOOKUP(A64,Dividende_je_Aktie!A$3:AM$103,8,FALSE)/VLOOKUP(A64,Ergebnis_je_Aktie_verwässert!A$3:AK$103,8,FALSE)&gt;=2,2,VLOOKUP(A64,Dividende_je_Aktie!A$3:AM$103,8,FALSE)/VLOOKUP(A64,Ergebnis_je_Aktie_verwässert!A$3:AK$103,8,FALSE))),""),"")</f>
        <v>0.57670454545454541</v>
      </c>
      <c r="W64" s="71">
        <f>IF(VLOOKUP(A64,Dividende_je_Aktie!A$3:AM$103,9,FALSE)&lt;&gt;"",IF(VLOOKUP(A64,Ergebnis_je_Aktie_verwässert!A$3:AK$103,9,FALSE)&lt;&gt;"",IF(VLOOKUP(A64,Ergebnis_je_Aktie_verwässert!A$3:AK$103,9,FALSE)&lt;=0,2,IF(VLOOKUP(A64,Dividende_je_Aktie!A$3:AM$103,9,FALSE)/VLOOKUP(A64,Ergebnis_je_Aktie_verwässert!A$3:AK$103,9,FALSE)&gt;=2,2,VLOOKUP(A64,Dividende_je_Aktie!A$3:AM$103,9,FALSE)/VLOOKUP(A64,Ergebnis_je_Aktie_verwässert!A$3:AK$103,9,FALSE))),""),"")</f>
        <v>0.5625</v>
      </c>
      <c r="X64" s="71">
        <f>IF(VLOOKUP(A64,Dividende_je_Aktie!A$3:AM$103,10,FALSE)&lt;&gt;"",IF(VLOOKUP(A64,Ergebnis_je_Aktie_verwässert!A$3:AK$103,10,FALSE)&lt;&gt;"",IF(VLOOKUP(A64,Ergebnis_je_Aktie_verwässert!A$3:AK$103,10,FALSE)&lt;=0,2,IF(VLOOKUP(A64,Dividende_je_Aktie!A$3:AM$103,10,FALSE)/VLOOKUP(A64,Ergebnis_je_Aktie_verwässert!A$3:AK$103,10,FALSE)&gt;=2,2,VLOOKUP(A64,Dividende_je_Aktie!A$3:AM$103,10,FALSE)/VLOOKUP(A64,Ergebnis_je_Aktie_verwässert!A$3:AK$103,10,FALSE))),""),"")</f>
        <v>0.49868766404199472</v>
      </c>
      <c r="Y64" s="71">
        <f>IF(VLOOKUP(A64,Dividende_je_Aktie!A$3:AM$103,11,FALSE)&lt;&gt;"",IF(VLOOKUP(A64,Ergebnis_je_Aktie_verwässert!A$3:AK$103,11,FALSE)&lt;&gt;"",IF(VLOOKUP(A64,Ergebnis_je_Aktie_verwässert!A$3:AK$103,11,FALSE)&lt;=0,2,IF(VLOOKUP(A64,Dividende_je_Aktie!A$3:AM$103,11,FALSE)/VLOOKUP(A64,Ergebnis_je_Aktie_verwässert!A$3:AK$103,11,FALSE)&gt;=2,2,VLOOKUP(A64,Dividende_je_Aktie!A$3:AM$103,11,FALSE)/VLOOKUP(A64,Ergebnis_je_Aktie_verwässert!A$3:AK$103,11,FALSE))),""),"")</f>
        <v>0.4774535809018568</v>
      </c>
      <c r="Z64" s="71">
        <f>IF(VLOOKUP(A64,Dividende_je_Aktie!A$3:AM$103,12,FALSE)&lt;&gt;"",IF(VLOOKUP(A64,Ergebnis_je_Aktie_verwässert!A$3:AK$103,12,FALSE)&lt;&gt;"",IF(VLOOKUP(A64,Ergebnis_je_Aktie_verwässert!A$3:AK$103,12,FALSE)&lt;=0,2,IF(VLOOKUP(A64,Dividende_je_Aktie!A$3:AM$103,12,FALSE)/VLOOKUP(A64,Ergebnis_je_Aktie_verwässert!A$3:AK$103,12,FALSE)&gt;=2,2,VLOOKUP(A64,Dividende_je_Aktie!A$3:AM$103,12,FALSE)/VLOOKUP(A64,Ergebnis_je_Aktie_verwässert!A$3:AK$103,12,FALSE))),""),"")</f>
        <v>0.48199445983379502</v>
      </c>
      <c r="AA64" s="71">
        <f>IF(VLOOKUP(A64,Dividende_je_Aktie!A$3:AM$103,13,FALSE)&lt;&gt;"",IF(VLOOKUP(A64,Ergebnis_je_Aktie_verwässert!A$3:AK$103,13,FALSE)&lt;&gt;"",IF(VLOOKUP(A64,Ergebnis_je_Aktie_verwässert!A$3:AK$103,13,FALSE)&lt;=0,2,IF(VLOOKUP(A64,Dividende_je_Aktie!A$3:AM$103,13,FALSE)/VLOOKUP(A64,Ergebnis_je_Aktie_verwässert!A$3:AK$103,13,FALSE)&gt;=2,2,VLOOKUP(A64,Dividende_je_Aktie!A$3:AM$103,13,FALSE)/VLOOKUP(A64,Ergebnis_je_Aktie_verwässert!A$3:AK$103,13,FALSE))),""),"")</f>
        <v>0.49408284023668636</v>
      </c>
      <c r="AB64" s="71">
        <f>IF(VLOOKUP(A64,Dividende_je_Aktie!A$3:AM$103,14,FALSE)&lt;&gt;"",IF(VLOOKUP(A64,Ergebnis_je_Aktie_verwässert!A$3:AK$103,14,FALSE)&lt;&gt;"",IF(VLOOKUP(A64,Ergebnis_je_Aktie_verwässert!A$3:AK$103,14,FALSE)&lt;=0,2,IF(VLOOKUP(A64,Dividende_je_Aktie!A$3:AM$103,14,FALSE)/VLOOKUP(A64,Ergebnis_je_Aktie_verwässert!A$3:AK$103,14,FALSE)&gt;=2,2,VLOOKUP(A64,Dividende_je_Aktie!A$3:AM$103,14,FALSE)/VLOOKUP(A64,Ergebnis_je_Aktie_verwässert!A$3:AK$103,14,FALSE))),""),"")</f>
        <v>0.47272727272727277</v>
      </c>
      <c r="AC64" s="71">
        <f>IF(VLOOKUP(A64,Dividende_je_Aktie!A$3:AM$103,15,FALSE)&lt;&gt;"",IF(VLOOKUP(A64,Ergebnis_je_Aktie_verwässert!A$3:AK$103,15,FALSE)&lt;&gt;"",IF(VLOOKUP(A64,Ergebnis_je_Aktie_verwässert!A$3:AK$103,15,FALSE)&lt;=0,2,IF(VLOOKUP(A64,Dividende_je_Aktie!A$3:AM$103,15,FALSE)/VLOOKUP(A64,Ergebnis_je_Aktie_verwässert!A$3:AK$103,15,FALSE)&gt;=2,2,VLOOKUP(A64,Dividende_je_Aktie!A$3:AM$103,15,FALSE)/VLOOKUP(A64,Ergebnis_je_Aktie_verwässert!A$3:AK$103,15,FALSE))),""),"")</f>
        <v>0.45253164556962022</v>
      </c>
      <c r="AD64" s="71">
        <f>IF(VLOOKUP(A64,Dividende_je_Aktie!A$3:AM$103,16,FALSE)&lt;&gt;"",IF(VLOOKUP(A64,Ergebnis_je_Aktie_verwässert!A$3:AK$103,16,FALSE)&lt;&gt;"",IF(VLOOKUP(A64,Ergebnis_je_Aktie_verwässert!A$3:AK$103,16,FALSE)&lt;=0,2,IF(VLOOKUP(A64,Dividende_je_Aktie!A$3:AM$103,16,FALSE)/VLOOKUP(A64,Ergebnis_je_Aktie_verwässert!A$3:AK$103,16,FALSE)&gt;=2,2,VLOOKUP(A64,Dividende_je_Aktie!A$3:AM$103,16,FALSE)/VLOOKUP(A64,Ergebnis_je_Aktie_verwässert!A$3:AK$103,16,FALSE))),""),"")</f>
        <v>0.43478260869565216</v>
      </c>
      <c r="AE64" s="71">
        <f>IF(VLOOKUP(A64,Dividende_je_Aktie!A$3:AM$103,17,FALSE)&lt;&gt;"",IF(VLOOKUP(A64,Ergebnis_je_Aktie_verwässert!A$3:AK$103,17,FALSE)&lt;&gt;"",IF(VLOOKUP(A64,Ergebnis_je_Aktie_verwässert!A$3:AK$103,17,FALSE)&lt;=0,2,IF(VLOOKUP(A64,Dividende_je_Aktie!A$3:AM$103,17,FALSE)/VLOOKUP(A64,Ergebnis_je_Aktie_verwässert!A$3:AK$103,17,FALSE)&gt;=2,2,VLOOKUP(A64,Dividende_je_Aktie!A$3:AM$103,17,FALSE)/VLOOKUP(A64,Ergebnis_je_Aktie_verwässert!A$3:AK$103,17,FALSE))),""),"")</f>
        <v>0.43478260869565222</v>
      </c>
      <c r="AF64" s="71">
        <f>IF(VLOOKUP(A64,Dividende_je_Aktie!A$3:AM$103,18,FALSE)&lt;&gt;"",IF(VLOOKUP(A64,Ergebnis_je_Aktie_verwässert!A$3:AK$103,18,FALSE)&lt;&gt;"",IF(VLOOKUP(A64,Ergebnis_je_Aktie_verwässert!A$3:AK$103,18,FALSE)&lt;=0,2,IF(VLOOKUP(A64,Dividende_je_Aktie!A$3:AM$103,18,FALSE)/VLOOKUP(A64,Ergebnis_je_Aktie_verwässert!A$3:AK$103,18,FALSE)&gt;=2,2,VLOOKUP(A64,Dividende_je_Aktie!A$3:AM$103,18,FALSE)/VLOOKUP(A64,Ergebnis_je_Aktie_verwässert!A$3:AK$103,18,FALSE))),""),"")</f>
        <v>0.4541832669322709</v>
      </c>
      <c r="AG64" s="105">
        <f t="shared" si="8"/>
        <v>0.49495323548437342</v>
      </c>
      <c r="AH64" s="4">
        <f t="shared" ca="1" si="9"/>
        <v>0</v>
      </c>
      <c r="AI64" s="4">
        <f t="shared" ca="1" si="10"/>
        <v>108</v>
      </c>
      <c r="AJ64" s="4">
        <f t="shared" ca="1" si="11"/>
        <v>252</v>
      </c>
      <c r="AK64" s="10">
        <f t="shared" ca="1" si="12"/>
        <v>0.56830856643356642</v>
      </c>
      <c r="AL64" s="5">
        <f t="shared" ca="1" si="13"/>
        <v>0.14820658941123122</v>
      </c>
    </row>
    <row r="65" spans="1:38">
      <c r="A65" t="s">
        <v>94</v>
      </c>
      <c r="B65" t="s">
        <v>95</v>
      </c>
      <c r="C65" s="60">
        <v>31</v>
      </c>
      <c r="D65" s="60">
        <v>12</v>
      </c>
      <c r="E65" s="60">
        <v>2016</v>
      </c>
      <c r="F65" s="71">
        <f>IF(VLOOKUP(A65,Dividende_je_Aktie!A$3:AM$103,6,FALSE)&lt;&gt;"",IF(VLOOKUP(A65,Ergebnis_je_Aktie_verwässert!A$3:AK$103,6,FALSE)&lt;&gt;"",IF(VLOOKUP(A65,Ergebnis_je_Aktie_verwässert!A$3:AK$103,6,FALSE)&lt;=0,2,IF(VLOOKUP(A65,Dividende_je_Aktie!A$3:AM$103,6,FALSE)/VLOOKUP(A65,Ergebnis_je_Aktie_verwässert!A$3:AK$103,6,FALSE)&gt;=2,2,VLOOKUP(A65,Dividende_je_Aktie!A$3:AM$103,6,FALSE)/VLOOKUP(A65,Ergebnis_je_Aktie_verwässert!A$3:AK$103,6,FALSE))),""),"")</f>
        <v>0.61438848920863298</v>
      </c>
      <c r="G65" s="71">
        <f>IF(VLOOKUP(A65,Dividende_je_Aktie!A$3:AM$103,7,FALSE)&lt;&gt;"",IF(VLOOKUP(A65,Ergebnis_je_Aktie_verwässert!A$3:AK$103,7,FALSE)&lt;&gt;"",IF(VLOOKUP(A65,Ergebnis_je_Aktie_verwässert!A$3:AK$103,7,FALSE)&lt;=0,2,IF(VLOOKUP(A65,Dividende_je_Aktie!A$3:AM$103,7,FALSE)/VLOOKUP(A65,Ergebnis_je_Aktie_verwässert!A$3:AK$103,7,FALSE)&gt;=2,2,VLOOKUP(A65,Dividende_je_Aktie!A$3:AM$103,7,FALSE)/VLOOKUP(A65,Ergebnis_je_Aktie_verwässert!A$3:AK$103,7,FALSE))),""),"")</f>
        <v>0.59480122324159024</v>
      </c>
      <c r="H65" s="71">
        <f>IF(VLOOKUP(A65,Fiktive_Dividende!A$3:AM$103,14,FALSE)&lt;&gt;"",IF(VLOOKUP(A65,Ergebnis_je_Aktie_verwässert!A$3:AK$103,8,FALSE)&lt;&gt;"",IF(VLOOKUP(A65,Ergebnis_je_Aktie_verwässert!A$3:AK$103,8,FALSE)&lt;=0,2,IF(VLOOKUP(A65,Fiktive_Dividende!A$3:AM$103,14,FALSE)/VLOOKUP(A65,Ergebnis_je_Aktie_verwässert!A$3:AK$103,8,FALSE)&gt;=2,2,VLOOKUP(A65,Fiktive_Dividende!A$3:AM$103,14,FALSE)/VLOOKUP(A65,Ergebnis_je_Aktie_verwässert!A$3:AK$103,8,FALSE))),""),"")</f>
        <v>0.60131795716639203</v>
      </c>
      <c r="I65" s="71">
        <f>IF(VLOOKUP(A65,Fiktive_Dividende!A$3:AM$103,15,FALSE)&lt;&gt;"",IF(VLOOKUP(A65,Ergebnis_je_Aktie_verwässert!A$3:AK$103,9,FALSE)&lt;&gt;"",IF(VLOOKUP(A65,Ergebnis_je_Aktie_verwässert!A$3:AK$103,9,FALSE)&lt;=0,2,IF(VLOOKUP(A65,Fiktive_Dividende!A$3:AM$103,15,FALSE)/VLOOKUP(A65,Ergebnis_je_Aktie_verwässert!A$3:AK$103,9,FALSE)&gt;=2,2,VLOOKUP(A65,Fiktive_Dividende!A$3:AM$103,15,FALSE)/VLOOKUP(A65,Ergebnis_je_Aktie_verwässert!A$3:AK$103,9,FALSE))),""),"")</f>
        <v>0.88055709491703049</v>
      </c>
      <c r="J65" s="71">
        <f>IF(VLOOKUP(A65,Fiktive_Dividende!A$3:AM$103,16,FALSE)&lt;&gt;"",IF(VLOOKUP(A65,Ergebnis_je_Aktie_verwässert!A$3:AK$103,10,FALSE)&lt;&gt;"",IF(VLOOKUP(A65,Ergebnis_je_Aktie_verwässert!A$3:AK$103,10,FALSE)&lt;=0,2,IF(VLOOKUP(A65,Fiktive_Dividende!A$3:AM$103,16,FALSE)/VLOOKUP(A65,Ergebnis_je_Aktie_verwässert!A$3:AK$103,10,FALSE)&gt;=2,2,VLOOKUP(A65,Fiktive_Dividende!A$3:AM$103,16,FALSE)/VLOOKUP(A65,Ergebnis_je_Aktie_verwässert!A$3:AK$103,10,FALSE))),""),"")</f>
        <v>1.4314732724259143</v>
      </c>
      <c r="K65" s="71">
        <f>IF(VLOOKUP(A65,Fiktive_Dividende!A$3:AM$103,17,FALSE)&lt;&gt;"",IF(VLOOKUP(A65,Ergebnis_je_Aktie_verwässert!A$3:AK$103,11,FALSE)&lt;&gt;"",IF(VLOOKUP(A65,Ergebnis_je_Aktie_verwässert!A$3:AK$103,11,FALSE)&lt;=0,2,IF(VLOOKUP(A65,Fiktive_Dividende!A$3:AM$103,17,FALSE)/VLOOKUP(A65,Ergebnis_je_Aktie_verwässert!A$3:AK$103,11,FALSE)&gt;=2,2,VLOOKUP(A65,Fiktive_Dividende!A$3:AM$103,17,FALSE)/VLOOKUP(A65,Ergebnis_je_Aktie_verwässert!A$3:AK$103,11,FALSE))),""),"")</f>
        <v>1.0053584317162447</v>
      </c>
      <c r="L65" s="71">
        <f>IF(VLOOKUP(A65,Fiktive_Dividende!A$3:AM$103,18,FALSE)&lt;&gt;"",IF(VLOOKUP(A65,Ergebnis_je_Aktie_verwässert!A$3:AK$103,12,FALSE)&lt;&gt;"",IF(VLOOKUP(A65,Ergebnis_je_Aktie_verwässert!A$3:AK$103,12,FALSE)&lt;=0,2,IF(VLOOKUP(A65,Fiktive_Dividende!A$3:AM$103,18,FALSE)/VLOOKUP(A65,Ergebnis_je_Aktie_verwässert!A$3:AK$103,12,FALSE)&gt;=2,2,VLOOKUP(A65,Fiktive_Dividende!A$3:AM$103,18,FALSE)/VLOOKUP(A65,Ergebnis_je_Aktie_verwässert!A$3:AK$103,12,FALSE))),""),"")</f>
        <v>0.86235804192127408</v>
      </c>
      <c r="M65" s="71">
        <f>IF(VLOOKUP(A65,Fiktive_Dividende!A$3:AM$103,19,FALSE)&lt;&gt;"",IF(VLOOKUP(A65,Ergebnis_je_Aktie_verwässert!A$3:AK$103,13,FALSE)&lt;&gt;"",IF(VLOOKUP(A65,Ergebnis_je_Aktie_verwässert!A$3:AK$103,13,FALSE)&lt;=0,2,IF(VLOOKUP(A65,Fiktive_Dividende!A$3:AM$103,19,FALSE)/VLOOKUP(A65,Ergebnis_je_Aktie_verwässert!A$3:AK$103,13,FALSE)&gt;=2,2,VLOOKUP(A65,Fiktive_Dividende!A$3:AM$103,19,FALSE)/VLOOKUP(A65,Ergebnis_je_Aktie_verwässert!A$3:AK$103,13,FALSE))),""),"")</f>
        <v>1.0590156547308727</v>
      </c>
      <c r="N65" s="71">
        <f>IF(VLOOKUP(A65,Fiktive_Dividende!A$3:AM$103,20,FALSE)&lt;&gt;"",IF(VLOOKUP(A65,Ergebnis_je_Aktie_verwässert!A$3:AK$103,14,FALSE)&lt;&gt;"",IF(VLOOKUP(A65,Ergebnis_je_Aktie_verwässert!A$3:AK$103,14,FALSE)&lt;=0,2,IF(VLOOKUP(A65,Fiktive_Dividende!A$3:AM$103,20,FALSE)/VLOOKUP(A65,Ergebnis_je_Aktie_verwässert!A$3:AK$103,14,FALSE)&gt;=2,2,VLOOKUP(A65,Fiktive_Dividende!A$3:AM$103,20,FALSE)/VLOOKUP(A65,Ergebnis_je_Aktie_verwässert!A$3:AK$103,14,FALSE))),""),"")</f>
        <v>0.9113055630201069</v>
      </c>
      <c r="O65" s="71">
        <f>IF(VLOOKUP(A65,Fiktive_Dividende!A$3:AM$103,21,FALSE)&lt;&gt;"",IF(VLOOKUP(A65,Ergebnis_je_Aktie_verwässert!A$3:AK$103,15,FALSE)&lt;&gt;"",IF(VLOOKUP(A65,Ergebnis_je_Aktie_verwässert!A$3:AK$103,15,FALSE)&lt;=0,2,IF(VLOOKUP(A65,Fiktive_Dividende!A$3:AM$103,21,FALSE)/VLOOKUP(A65,Ergebnis_je_Aktie_verwässert!A$3:AK$103,15,FALSE)&gt;=2,2,VLOOKUP(A65,Fiktive_Dividende!A$3:AM$103,21,FALSE)/VLOOKUP(A65,Ergebnis_je_Aktie_verwässert!A$3:AK$103,15,FALSE))),""),"")</f>
        <v>0.55286800276434001</v>
      </c>
      <c r="P65" s="71">
        <f>IF(VLOOKUP(A65,Fiktive_Dividende!A$3:AM$103,22,FALSE)&lt;&gt;"",IF(VLOOKUP(A65,Ergebnis_je_Aktie_verwässert!A$3:AK$103,16,FALSE)&lt;&gt;"",IF(VLOOKUP(A65,Ergebnis_je_Aktie_verwässert!A$3:AK$103,16,FALSE)&lt;=0,2,IF(VLOOKUP(A65,Fiktive_Dividende!A$3:AM$103,22,FALSE)/VLOOKUP(A65,Ergebnis_je_Aktie_verwässert!A$3:AK$103,16,FALSE)&gt;=2,2,VLOOKUP(A65,Fiktive_Dividende!A$3:AM$103,22,FALSE)/VLOOKUP(A65,Ergebnis_je_Aktie_verwässert!A$3:AK$103,16,FALSE))),""),"")</f>
        <v>0.81968126561263821</v>
      </c>
      <c r="Q65" s="71">
        <f>IF(VLOOKUP(A65,Fiktive_Dividende!A$3:AM$103,23,FALSE)&lt;&gt;"",IF(VLOOKUP(A65,Ergebnis_je_Aktie_verwässert!A$3:AK$103,17,FALSE)&lt;&gt;"",IF(VLOOKUP(A65,Ergebnis_je_Aktie_verwässert!A$3:AK$103,17,FALSE)&lt;=0,2,IF(VLOOKUP(A65,Fiktive_Dividende!A$3:AM$103,23,FALSE)/VLOOKUP(A65,Ergebnis_je_Aktie_verwässert!A$3:AK$103,17,FALSE)&gt;=2,2,VLOOKUP(A65,Fiktive_Dividende!A$3:AM$103,23,FALSE)/VLOOKUP(A65,Ergebnis_je_Aktie_verwässert!A$3:AK$103,17,FALSE))),""),"")</f>
        <v>1.9197831948035127</v>
      </c>
      <c r="R65" s="71">
        <f>IF(VLOOKUP(A65,Fiktive_Dividende!A$3:AM$103,24,FALSE)&lt;&gt;"",IF(VLOOKUP(A65,Ergebnis_je_Aktie_verwässert!A$3:AK$103,18,FALSE)&lt;&gt;"",IF(VLOOKUP(A65,Ergebnis_je_Aktie_verwässert!A$3:AK$103,18,FALSE)&lt;=0,2,IF(VLOOKUP(A65,Fiktive_Dividende!A$3:AM$103,24,FALSE)/VLOOKUP(A65,Ergebnis_je_Aktie_verwässert!A$3:AK$103,18,FALSE)&gt;=2,2,VLOOKUP(A65,Fiktive_Dividende!A$3:AM$103,24,FALSE)/VLOOKUP(A65,Ergebnis_je_Aktie_verwässert!A$3:AK$103,18,FALSE))),""),"")</f>
        <v>0.75812854167652899</v>
      </c>
      <c r="S65" s="105">
        <f t="shared" si="7"/>
        <v>0.92392590255423657</v>
      </c>
      <c r="T65" s="71">
        <f>IF(VLOOKUP(A65,Dividende_je_Aktie!A$3:AM$103,6,FALSE)&lt;&gt;"",IF(VLOOKUP(A65,Ergebnis_je_Aktie_verwässert!A$3:AK$103,6,FALSE)&lt;&gt;"",IF(VLOOKUP(A65,Ergebnis_je_Aktie_verwässert!A$3:AK$103,6,FALSE)&lt;=0,2,IF(VLOOKUP(A65,Dividende_je_Aktie!A$3:AM$103,6,FALSE)/VLOOKUP(A65,Ergebnis_je_Aktie_verwässert!A$3:AK$103,6,FALSE)&gt;=2,2,VLOOKUP(A65,Dividende_je_Aktie!A$3:AM$103,6,FALSE)/VLOOKUP(A65,Ergebnis_je_Aktie_verwässert!A$3:AK$103,6,FALSE))),""),"")</f>
        <v>0.61438848920863298</v>
      </c>
      <c r="U65" s="71">
        <f>IF(VLOOKUP(A65,Dividende_je_Aktie!A$3:AM$103,7,FALSE)&lt;&gt;"",IF(VLOOKUP(A65,Ergebnis_je_Aktie_verwässert!A$3:AK$103,7,FALSE)&lt;&gt;"",IF(VLOOKUP(A65,Ergebnis_je_Aktie_verwässert!A$3:AK$103,7,FALSE)&lt;=0,2,IF(VLOOKUP(A65,Dividende_je_Aktie!A$3:AM$103,7,FALSE)/VLOOKUP(A65,Ergebnis_je_Aktie_verwässert!A$3:AK$103,7,FALSE)&gt;=2,2,VLOOKUP(A65,Dividende_je_Aktie!A$3:AM$103,7,FALSE)/VLOOKUP(A65,Ergebnis_je_Aktie_verwässert!A$3:AK$103,7,FALSE))),""),"")</f>
        <v>0.59480122324159024</v>
      </c>
      <c r="V65" s="71">
        <f>IF(VLOOKUP(A65,Dividende_je_Aktie!A$3:AM$103,8,FALSE)&lt;&gt;"",IF(VLOOKUP(A65,Ergebnis_je_Aktie_verwässert!A$3:AK$103,8,FALSE)&lt;&gt;"",IF(VLOOKUP(A65,Ergebnis_je_Aktie_verwässert!A$3:AK$103,8,FALSE)&lt;=0,2,IF(VLOOKUP(A65,Dividende_je_Aktie!A$3:AM$103,8,FALSE)/VLOOKUP(A65,Ergebnis_je_Aktie_verwässert!A$3:AK$103,8,FALSE)&gt;=2,2,VLOOKUP(A65,Dividende_je_Aktie!A$3:AM$103,8,FALSE)/VLOOKUP(A65,Ergebnis_je_Aktie_verwässert!A$3:AK$103,8,FALSE))),""),"")</f>
        <v>0.60131795716639203</v>
      </c>
      <c r="W65" s="71">
        <f>IF(VLOOKUP(A65,Dividende_je_Aktie!A$3:AM$103,9,FALSE)&lt;&gt;"",IF(VLOOKUP(A65,Ergebnis_je_Aktie_verwässert!A$3:AK$103,9,FALSE)&lt;&gt;"",IF(VLOOKUP(A65,Ergebnis_je_Aktie_verwässert!A$3:AK$103,9,FALSE)&lt;=0,2,IF(VLOOKUP(A65,Dividende_je_Aktie!A$3:AM$103,9,FALSE)/VLOOKUP(A65,Ergebnis_je_Aktie_verwässert!A$3:AK$103,9,FALSE)&gt;=2,2,VLOOKUP(A65,Dividende_je_Aktie!A$3:AM$103,9,FALSE)/VLOOKUP(A65,Ergebnis_je_Aktie_verwässert!A$3:AK$103,9,FALSE))),""),"")</f>
        <v>0.61111111111111116</v>
      </c>
      <c r="X65" s="71">
        <f>IF(VLOOKUP(A65,Dividende_je_Aktie!A$3:AM$103,10,FALSE)&lt;&gt;"",IF(VLOOKUP(A65,Ergebnis_je_Aktie_verwässert!A$3:AK$103,10,FALSE)&lt;&gt;"",IF(VLOOKUP(A65,Ergebnis_je_Aktie_verwässert!A$3:AK$103,10,FALSE)&lt;=0,2,IF(VLOOKUP(A65,Dividende_je_Aktie!A$3:AM$103,10,FALSE)/VLOOKUP(A65,Ergebnis_je_Aktie_verwässert!A$3:AK$103,10,FALSE)&gt;=2,2,VLOOKUP(A65,Dividende_je_Aktie!A$3:AM$103,10,FALSE)/VLOOKUP(A65,Ergebnis_je_Aktie_verwässert!A$3:AK$103,10,FALSE))),""),"")</f>
        <v>0.58212058212058204</v>
      </c>
      <c r="Y65" s="71">
        <f>IF(VLOOKUP(A65,Dividende_je_Aktie!A$3:AM$103,11,FALSE)&lt;&gt;"",IF(VLOOKUP(A65,Ergebnis_je_Aktie_verwässert!A$3:AK$103,11,FALSE)&lt;&gt;"",IF(VLOOKUP(A65,Ergebnis_je_Aktie_verwässert!A$3:AK$103,11,FALSE)&lt;=0,2,IF(VLOOKUP(A65,Dividende_je_Aktie!A$3:AM$103,11,FALSE)/VLOOKUP(A65,Ergebnis_je_Aktie_verwässert!A$3:AK$103,11,FALSE)&gt;=2,2,VLOOKUP(A65,Dividende_je_Aktie!A$3:AM$103,11,FALSE)/VLOOKUP(A65,Ergebnis_je_Aktie_verwässert!A$3:AK$103,11,FALSE))),""),"")</f>
        <v>0.58462648863226274</v>
      </c>
      <c r="Z65" s="71">
        <f>IF(VLOOKUP(A65,Dividende_je_Aktie!A$3:AM$103,12,FALSE)&lt;&gt;"",IF(VLOOKUP(A65,Ergebnis_je_Aktie_verwässert!A$3:AK$103,12,FALSE)&lt;&gt;"",IF(VLOOKUP(A65,Ergebnis_je_Aktie_verwässert!A$3:AK$103,12,FALSE)&lt;=0,2,IF(VLOOKUP(A65,Dividende_je_Aktie!A$3:AM$103,12,FALSE)/VLOOKUP(A65,Ergebnis_je_Aktie_verwässert!A$3:AK$103,12,FALSE)&gt;=2,2,VLOOKUP(A65,Dividende_je_Aktie!A$3:AM$103,12,FALSE)/VLOOKUP(A65,Ergebnis_je_Aktie_verwässert!A$3:AK$103,12,FALSE))),""),"")</f>
        <v>0.58706862356207856</v>
      </c>
      <c r="AA65" s="71">
        <f>IF(VLOOKUP(A65,Dividende_je_Aktie!A$3:AM$103,13,FALSE)&lt;&gt;"",IF(VLOOKUP(A65,Ergebnis_je_Aktie_verwässert!A$3:AK$103,13,FALSE)&lt;&gt;"",IF(VLOOKUP(A65,Ergebnis_je_Aktie_verwässert!A$3:AK$103,13,FALSE)&lt;=0,2,IF(VLOOKUP(A65,Dividende_je_Aktie!A$3:AM$103,13,FALSE)/VLOOKUP(A65,Ergebnis_je_Aktie_verwässert!A$3:AK$103,13,FALSE)&gt;=2,2,VLOOKUP(A65,Dividende_je_Aktie!A$3:AM$103,13,FALSE)/VLOOKUP(A65,Ergebnis_je_Aktie_verwässert!A$3:AK$103,13,FALSE))),""),"")</f>
        <v>0.60737527114967449</v>
      </c>
      <c r="AB65" s="71">
        <f>IF(VLOOKUP(A65,Dividende_je_Aktie!A$3:AM$103,14,FALSE)&lt;&gt;"",IF(VLOOKUP(A65,Ergebnis_je_Aktie_verwässert!A$3:AK$103,14,FALSE)&lt;&gt;"",IF(VLOOKUP(A65,Ergebnis_je_Aktie_verwässert!A$3:AK$103,14,FALSE)&lt;=0,2,IF(VLOOKUP(A65,Dividende_je_Aktie!A$3:AM$103,14,FALSE)/VLOOKUP(A65,Ergebnis_je_Aktie_verwässert!A$3:AK$103,14,FALSE)&gt;=2,2,VLOOKUP(A65,Dividende_je_Aktie!A$3:AM$103,14,FALSE)/VLOOKUP(A65,Ergebnis_je_Aktie_verwässert!A$3:AK$103,14,FALSE))),""),"")</f>
        <v>0.58731924360400445</v>
      </c>
      <c r="AC65" s="71">
        <f>IF(VLOOKUP(A65,Dividende_je_Aktie!A$3:AM$103,15,FALSE)&lt;&gt;"",IF(VLOOKUP(A65,Ergebnis_je_Aktie_verwässert!A$3:AK$103,15,FALSE)&lt;&gt;"",IF(VLOOKUP(A65,Ergebnis_je_Aktie_verwässert!A$3:AK$103,15,FALSE)&lt;=0,2,IF(VLOOKUP(A65,Dividende_je_Aktie!A$3:AM$103,15,FALSE)/VLOOKUP(A65,Ergebnis_je_Aktie_verwässert!A$3:AK$103,15,FALSE)&gt;=2,2,VLOOKUP(A65,Dividende_je_Aktie!A$3:AM$103,15,FALSE)/VLOOKUP(A65,Ergebnis_je_Aktie_verwässert!A$3:AK$103,15,FALSE))),""),"")</f>
        <v>0.55286800276434001</v>
      </c>
      <c r="AD65" s="71">
        <f>IF(VLOOKUP(A65,Dividende_je_Aktie!A$3:AM$103,16,FALSE)&lt;&gt;"",IF(VLOOKUP(A65,Ergebnis_je_Aktie_verwässert!A$3:AK$103,16,FALSE)&lt;&gt;"",IF(VLOOKUP(A65,Ergebnis_je_Aktie_verwässert!A$3:AK$103,16,FALSE)&lt;=0,2,IF(VLOOKUP(A65,Dividende_je_Aktie!A$3:AM$103,16,FALSE)/VLOOKUP(A65,Ergebnis_je_Aktie_verwässert!A$3:AK$103,16,FALSE)&gt;=2,2,VLOOKUP(A65,Dividende_je_Aktie!A$3:AM$103,16,FALSE)/VLOOKUP(A65,Ergebnis_je_Aktie_verwässert!A$3:AK$103,16,FALSE))),""),"")</f>
        <v>0.58497226424609172</v>
      </c>
      <c r="AE65" s="71">
        <f>IF(VLOOKUP(A65,Dividende_je_Aktie!A$3:AM$103,17,FALSE)&lt;&gt;"",IF(VLOOKUP(A65,Ergebnis_je_Aktie_verwässert!A$3:AK$103,17,FALSE)&lt;&gt;"",IF(VLOOKUP(A65,Ergebnis_je_Aktie_verwässert!A$3:AK$103,17,FALSE)&lt;=0,2,IF(VLOOKUP(A65,Dividende_je_Aktie!A$3:AM$103,17,FALSE)/VLOOKUP(A65,Ergebnis_je_Aktie_verwässert!A$3:AK$103,17,FALSE)&gt;=2,2,VLOOKUP(A65,Dividende_je_Aktie!A$3:AM$103,17,FALSE)/VLOOKUP(A65,Ergebnis_je_Aktie_verwässert!A$3:AK$103,17,FALSE))),""),"")</f>
        <v>0.51935325820676148</v>
      </c>
      <c r="AF65" s="71">
        <f>IF(VLOOKUP(A65,Dividende_je_Aktie!A$3:AM$103,18,FALSE)&lt;&gt;"",IF(VLOOKUP(A65,Ergebnis_je_Aktie_verwässert!A$3:AK$103,18,FALSE)&lt;&gt;"",IF(VLOOKUP(A65,Ergebnis_je_Aktie_verwässert!A$3:AK$103,18,FALSE)&lt;=0,2,IF(VLOOKUP(A65,Dividende_je_Aktie!A$3:AM$103,18,FALSE)/VLOOKUP(A65,Ergebnis_je_Aktie_verwässert!A$3:AK$103,18,FALSE)&gt;=2,2,VLOOKUP(A65,Dividende_je_Aktie!A$3:AM$103,18,FALSE)/VLOOKUP(A65,Ergebnis_je_Aktie_verwässert!A$3:AK$103,18,FALSE))),""),"")</f>
        <v>0.52322477309129733</v>
      </c>
      <c r="AG65" s="105">
        <f t="shared" si="8"/>
        <v>0.5808113298542168</v>
      </c>
      <c r="AH65" s="4">
        <f t="shared" ca="1" si="9"/>
        <v>0</v>
      </c>
      <c r="AI65" s="4">
        <f t="shared" ca="1" si="10"/>
        <v>108</v>
      </c>
      <c r="AJ65" s="4">
        <f t="shared" ca="1" si="11"/>
        <v>252</v>
      </c>
      <c r="AK65" s="10">
        <f t="shared" ca="1" si="12"/>
        <v>0.59936293698895149</v>
      </c>
      <c r="AL65" s="5">
        <f t="shared" ca="1" si="13"/>
        <v>3.194084925889995E-2</v>
      </c>
    </row>
    <row r="66" spans="1:38">
      <c r="A66" t="s">
        <v>256</v>
      </c>
      <c r="B66" t="s">
        <v>257</v>
      </c>
      <c r="C66" s="60">
        <v>31</v>
      </c>
      <c r="D66" s="60">
        <v>12</v>
      </c>
      <c r="E66" s="60">
        <v>2016</v>
      </c>
      <c r="F66" s="71">
        <f>IF(VLOOKUP(A66,Dividende_je_Aktie!A$3:AM$103,6,FALSE)&lt;&gt;"",IF(VLOOKUP(A66,Ergebnis_je_Aktie_verwässert!A$3:AK$103,6,FALSE)&lt;&gt;"",IF(VLOOKUP(A66,Ergebnis_je_Aktie_verwässert!A$3:AK$103,6,FALSE)&lt;=0,2,IF(VLOOKUP(A66,Dividende_je_Aktie!A$3:AM$103,6,FALSE)/VLOOKUP(A66,Ergebnis_je_Aktie_verwässert!A$3:AK$103,6,FALSE)&gt;=2,2,VLOOKUP(A66,Dividende_je_Aktie!A$3:AM$103,6,FALSE)/VLOOKUP(A66,Ergebnis_je_Aktie_verwässert!A$3:AK$103,6,FALSE))),""),"")</f>
        <v>0.1610337972166998</v>
      </c>
      <c r="G66" s="71">
        <f>IF(VLOOKUP(A66,Dividende_je_Aktie!A$3:AM$103,7,FALSE)&lt;&gt;"",IF(VLOOKUP(A66,Ergebnis_je_Aktie_verwässert!A$3:AK$103,7,FALSE)&lt;&gt;"",IF(VLOOKUP(A66,Ergebnis_je_Aktie_verwässert!A$3:AK$103,7,FALSE)&lt;=0,2,IF(VLOOKUP(A66,Dividende_je_Aktie!A$3:AM$103,7,FALSE)/VLOOKUP(A66,Ergebnis_je_Aktie_verwässert!A$3:AK$103,7,FALSE)&gt;=2,2,VLOOKUP(A66,Dividende_je_Aktie!A$3:AM$103,7,FALSE)/VLOOKUP(A66,Ergebnis_je_Aktie_verwässert!A$3:AK$103,7,FALSE))),""),"")</f>
        <v>0.18990384615384615</v>
      </c>
      <c r="H66" s="71">
        <f>IF(VLOOKUP(A66,Fiktive_Dividende!A$3:AM$103,14,FALSE)&lt;&gt;"",IF(VLOOKUP(A66,Ergebnis_je_Aktie_verwässert!A$3:AK$103,8,FALSE)&lt;&gt;"",IF(VLOOKUP(A66,Ergebnis_je_Aktie_verwässert!A$3:AK$103,8,FALSE)&lt;=0,2,IF(VLOOKUP(A66,Fiktive_Dividende!A$3:AM$103,14,FALSE)/VLOOKUP(A66,Ergebnis_je_Aktie_verwässert!A$3:AK$103,8,FALSE)&gt;=2,2,VLOOKUP(A66,Fiktive_Dividende!A$3:AM$103,14,FALSE)/VLOOKUP(A66,Ergebnis_je_Aktie_verwässert!A$3:AK$103,8,FALSE))),""),"")</f>
        <v>0.20056497175141241</v>
      </c>
      <c r="I66" s="71">
        <f>IF(VLOOKUP(A66,Fiktive_Dividende!A$3:AM$103,15,FALSE)&lt;&gt;"",IF(VLOOKUP(A66,Ergebnis_je_Aktie_verwässert!A$3:AK$103,9,FALSE)&lt;&gt;"",IF(VLOOKUP(A66,Ergebnis_je_Aktie_verwässert!A$3:AK$103,9,FALSE)&lt;=0,2,IF(VLOOKUP(A66,Fiktive_Dividende!A$3:AM$103,15,FALSE)/VLOOKUP(A66,Ergebnis_je_Aktie_verwässert!A$3:AK$103,9,FALSE)&gt;=2,2,VLOOKUP(A66,Fiktive_Dividende!A$3:AM$103,15,FALSE)/VLOOKUP(A66,Ergebnis_je_Aktie_verwässert!A$3:AK$103,9,FALSE))),""),"")</f>
        <v>1.1276633541281336</v>
      </c>
      <c r="J66" s="71">
        <f>IF(VLOOKUP(A66,Fiktive_Dividende!A$3:AM$103,16,FALSE)&lt;&gt;"",IF(VLOOKUP(A66,Ergebnis_je_Aktie_verwässert!A$3:AK$103,10,FALSE)&lt;&gt;"",IF(VLOOKUP(A66,Ergebnis_je_Aktie_verwässert!A$3:AK$103,10,FALSE)&lt;=0,2,IF(VLOOKUP(A66,Fiktive_Dividende!A$3:AM$103,16,FALSE)/VLOOKUP(A66,Ergebnis_je_Aktie_verwässert!A$3:AK$103,10,FALSE)&gt;=2,2,VLOOKUP(A66,Fiktive_Dividende!A$3:AM$103,16,FALSE)/VLOOKUP(A66,Ergebnis_je_Aktie_verwässert!A$3:AK$103,10,FALSE))),""),"")</f>
        <v>1.1302576728310438</v>
      </c>
      <c r="K66" s="71">
        <f>IF(VLOOKUP(A66,Fiktive_Dividende!A$3:AM$103,17,FALSE)&lt;&gt;"",IF(VLOOKUP(A66,Ergebnis_je_Aktie_verwässert!A$3:AK$103,11,FALSE)&lt;&gt;"",IF(VLOOKUP(A66,Ergebnis_je_Aktie_verwässert!A$3:AK$103,11,FALSE)&lt;=0,2,IF(VLOOKUP(A66,Fiktive_Dividende!A$3:AM$103,17,FALSE)/VLOOKUP(A66,Ergebnis_je_Aktie_verwässert!A$3:AK$103,11,FALSE)&gt;=2,2,VLOOKUP(A66,Fiktive_Dividende!A$3:AM$103,17,FALSE)/VLOOKUP(A66,Ergebnis_je_Aktie_verwässert!A$3:AK$103,11,FALSE))),""),"")</f>
        <v>1.099202269328764</v>
      </c>
      <c r="L66" s="71">
        <f>IF(VLOOKUP(A66,Fiktive_Dividende!A$3:AM$103,18,FALSE)&lt;&gt;"",IF(VLOOKUP(A66,Ergebnis_je_Aktie_verwässert!A$3:AK$103,12,FALSE)&lt;&gt;"",IF(VLOOKUP(A66,Ergebnis_je_Aktie_verwässert!A$3:AK$103,12,FALSE)&lt;=0,2,IF(VLOOKUP(A66,Fiktive_Dividende!A$3:AM$103,18,FALSE)/VLOOKUP(A66,Ergebnis_je_Aktie_verwässert!A$3:AK$103,12,FALSE)&gt;=2,2,VLOOKUP(A66,Fiktive_Dividende!A$3:AM$103,18,FALSE)/VLOOKUP(A66,Ergebnis_je_Aktie_verwässert!A$3:AK$103,12,FALSE))),""),"")</f>
        <v>0.72388160840973903</v>
      </c>
      <c r="M66" s="71">
        <f>IF(VLOOKUP(A66,Fiktive_Dividende!A$3:AM$103,19,FALSE)&lt;&gt;"",IF(VLOOKUP(A66,Ergebnis_je_Aktie_verwässert!A$3:AK$103,13,FALSE)&lt;&gt;"",IF(VLOOKUP(A66,Ergebnis_je_Aktie_verwässert!A$3:AK$103,13,FALSE)&lt;=0,2,IF(VLOOKUP(A66,Fiktive_Dividende!A$3:AM$103,19,FALSE)/VLOOKUP(A66,Ergebnis_je_Aktie_verwässert!A$3:AK$103,13,FALSE)&gt;=2,2,VLOOKUP(A66,Fiktive_Dividende!A$3:AM$103,19,FALSE)/VLOOKUP(A66,Ergebnis_je_Aktie_verwässert!A$3:AK$103,13,FALSE))),""),"")</f>
        <v>0.6605141949322173</v>
      </c>
      <c r="N66" s="71">
        <f>IF(VLOOKUP(A66,Fiktive_Dividende!A$3:AM$103,20,FALSE)&lt;&gt;"",IF(VLOOKUP(A66,Ergebnis_je_Aktie_verwässert!A$3:AK$103,14,FALSE)&lt;&gt;"",IF(VLOOKUP(A66,Ergebnis_je_Aktie_verwässert!A$3:AK$103,14,FALSE)&lt;=0,2,IF(VLOOKUP(A66,Fiktive_Dividende!A$3:AM$103,20,FALSE)/VLOOKUP(A66,Ergebnis_je_Aktie_verwässert!A$3:AK$103,14,FALSE)&gt;=2,2,VLOOKUP(A66,Fiktive_Dividende!A$3:AM$103,20,FALSE)/VLOOKUP(A66,Ergebnis_je_Aktie_verwässert!A$3:AK$103,14,FALSE))),""),"")</f>
        <v>4.2704626334519567E-2</v>
      </c>
      <c r="O66" s="71">
        <f>IF(VLOOKUP(A66,Fiktive_Dividende!A$3:AM$103,21,FALSE)&lt;&gt;"",IF(VLOOKUP(A66,Ergebnis_je_Aktie_verwässert!A$3:AK$103,15,FALSE)&lt;&gt;"",IF(VLOOKUP(A66,Ergebnis_je_Aktie_verwässert!A$3:AK$103,15,FALSE)&lt;=0,2,IF(VLOOKUP(A66,Fiktive_Dividende!A$3:AM$103,21,FALSE)/VLOOKUP(A66,Ergebnis_je_Aktie_verwässert!A$3:AK$103,15,FALSE)&gt;=2,2,VLOOKUP(A66,Fiktive_Dividende!A$3:AM$103,21,FALSE)/VLOOKUP(A66,Ergebnis_je_Aktie_verwässert!A$3:AK$103,15,FALSE))),""),"")</f>
        <v>5.3619302949061663E-2</v>
      </c>
      <c r="P66" s="71">
        <f>IF(VLOOKUP(A66,Fiktive_Dividende!A$3:AM$103,22,FALSE)&lt;&gt;"",IF(VLOOKUP(A66,Ergebnis_je_Aktie_verwässert!A$3:AK$103,16,FALSE)&lt;&gt;"",IF(VLOOKUP(A66,Ergebnis_je_Aktie_verwässert!A$3:AK$103,16,FALSE)&lt;=0,2,IF(VLOOKUP(A66,Fiktive_Dividende!A$3:AM$103,22,FALSE)/VLOOKUP(A66,Ergebnis_je_Aktie_verwässert!A$3:AK$103,16,FALSE)&gt;=2,2,VLOOKUP(A66,Fiktive_Dividende!A$3:AM$103,22,FALSE)/VLOOKUP(A66,Ergebnis_je_Aktie_verwässert!A$3:AK$103,16,FALSE))),""),"")</f>
        <v>6.3761955366631248E-2</v>
      </c>
      <c r="Q66" s="71" t="str">
        <f>IF(VLOOKUP(A66,Fiktive_Dividende!A$3:AM$103,23,FALSE)&lt;&gt;"",IF(VLOOKUP(A66,Ergebnis_je_Aktie_verwässert!A$3:AK$103,17,FALSE)&lt;&gt;"",IF(VLOOKUP(A66,Ergebnis_je_Aktie_verwässert!A$3:AK$103,17,FALSE)&lt;=0,2,IF(VLOOKUP(A66,Fiktive_Dividende!A$3:AM$103,23,FALSE)/VLOOKUP(A66,Ergebnis_je_Aktie_verwässert!A$3:AK$103,17,FALSE)&gt;=2,2,VLOOKUP(A66,Fiktive_Dividende!A$3:AM$103,23,FALSE)/VLOOKUP(A66,Ergebnis_je_Aktie_verwässert!A$3:AK$103,17,FALSE))),""),"")</f>
        <v/>
      </c>
      <c r="R66" s="71" t="str">
        <f>IF(VLOOKUP(A66,Fiktive_Dividende!A$3:AM$103,24,FALSE)&lt;&gt;"",IF(VLOOKUP(A66,Ergebnis_je_Aktie_verwässert!A$3:AK$103,18,FALSE)&lt;&gt;"",IF(VLOOKUP(A66,Ergebnis_je_Aktie_verwässert!A$3:AK$103,18,FALSE)&lt;=0,2,IF(VLOOKUP(A66,Fiktive_Dividende!A$3:AM$103,24,FALSE)/VLOOKUP(A66,Ergebnis_je_Aktie_verwässert!A$3:AK$103,18,FALSE)&gt;=2,2,VLOOKUP(A66,Fiktive_Dividende!A$3:AM$103,24,FALSE)/VLOOKUP(A66,Ergebnis_je_Aktie_verwässert!A$3:AK$103,18,FALSE))),""),"")</f>
        <v/>
      </c>
      <c r="S66" s="105">
        <f t="shared" si="7"/>
        <v>0.49573705449109712</v>
      </c>
      <c r="T66" s="71">
        <f>IF(VLOOKUP(A66,Dividende_je_Aktie!A$3:AM$103,6,FALSE)&lt;&gt;"",IF(VLOOKUP(A66,Ergebnis_je_Aktie_verwässert!A$3:AK$103,6,FALSE)&lt;&gt;"",IF(VLOOKUP(A66,Ergebnis_je_Aktie_verwässert!A$3:AK$103,6,FALSE)&lt;=0,2,IF(VLOOKUP(A66,Dividende_je_Aktie!A$3:AM$103,6,FALSE)/VLOOKUP(A66,Ergebnis_je_Aktie_verwässert!A$3:AK$103,6,FALSE)&gt;=2,2,VLOOKUP(A66,Dividende_je_Aktie!A$3:AM$103,6,FALSE)/VLOOKUP(A66,Ergebnis_je_Aktie_verwässert!A$3:AK$103,6,FALSE))),""),"")</f>
        <v>0.1610337972166998</v>
      </c>
      <c r="U66" s="71">
        <f>IF(VLOOKUP(A66,Dividende_je_Aktie!A$3:AM$103,7,FALSE)&lt;&gt;"",IF(VLOOKUP(A66,Ergebnis_je_Aktie_verwässert!A$3:AK$103,7,FALSE)&lt;&gt;"",IF(VLOOKUP(A66,Ergebnis_je_Aktie_verwässert!A$3:AK$103,7,FALSE)&lt;=0,2,IF(VLOOKUP(A66,Dividende_je_Aktie!A$3:AM$103,7,FALSE)/VLOOKUP(A66,Ergebnis_je_Aktie_verwässert!A$3:AK$103,7,FALSE)&gt;=2,2,VLOOKUP(A66,Dividende_je_Aktie!A$3:AM$103,7,FALSE)/VLOOKUP(A66,Ergebnis_je_Aktie_verwässert!A$3:AK$103,7,FALSE))),""),"")</f>
        <v>0.18990384615384615</v>
      </c>
      <c r="V66" s="71">
        <f>IF(VLOOKUP(A66,Dividende_je_Aktie!A$3:AM$103,8,FALSE)&lt;&gt;"",IF(VLOOKUP(A66,Ergebnis_je_Aktie_verwässert!A$3:AK$103,8,FALSE)&lt;&gt;"",IF(VLOOKUP(A66,Ergebnis_je_Aktie_verwässert!A$3:AK$103,8,FALSE)&lt;=0,2,IF(VLOOKUP(A66,Dividende_je_Aktie!A$3:AM$103,8,FALSE)/VLOOKUP(A66,Ergebnis_je_Aktie_verwässert!A$3:AK$103,8,FALSE)&gt;=2,2,VLOOKUP(A66,Dividende_je_Aktie!A$3:AM$103,8,FALSE)/VLOOKUP(A66,Ergebnis_je_Aktie_verwässert!A$3:AK$103,8,FALSE))),""),"")</f>
        <v>0.20056497175141241</v>
      </c>
      <c r="W66" s="71">
        <f>IF(VLOOKUP(A66,Dividende_je_Aktie!A$3:AM$103,9,FALSE)&lt;&gt;"",IF(VLOOKUP(A66,Ergebnis_je_Aktie_verwässert!A$3:AK$103,9,FALSE)&lt;&gt;"",IF(VLOOKUP(A66,Ergebnis_je_Aktie_verwässert!A$3:AK$103,9,FALSE)&lt;=0,2,IF(VLOOKUP(A66,Dividende_je_Aktie!A$3:AM$103,9,FALSE)/VLOOKUP(A66,Ergebnis_je_Aktie_verwässert!A$3:AK$103,9,FALSE)&gt;=2,2,VLOOKUP(A66,Dividende_je_Aktie!A$3:AM$103,9,FALSE)/VLOOKUP(A66,Ergebnis_je_Aktie_verwässert!A$3:AK$103,9,FALSE))),""),"")</f>
        <v>0.18658892128279883</v>
      </c>
      <c r="X66" s="71">
        <f>IF(VLOOKUP(A66,Dividende_je_Aktie!A$3:AM$103,10,FALSE)&lt;&gt;"",IF(VLOOKUP(A66,Ergebnis_je_Aktie_verwässert!A$3:AK$103,10,FALSE)&lt;&gt;"",IF(VLOOKUP(A66,Ergebnis_je_Aktie_verwässert!A$3:AK$103,10,FALSE)&lt;=0,2,IF(VLOOKUP(A66,Dividende_je_Aktie!A$3:AM$103,10,FALSE)/VLOOKUP(A66,Ergebnis_je_Aktie_verwässert!A$3:AK$103,10,FALSE)&gt;=2,2,VLOOKUP(A66,Dividende_je_Aktie!A$3:AM$103,10,FALSE)/VLOOKUP(A66,Ergebnis_je_Aktie_verwässert!A$3:AK$103,10,FALSE))),""),"")</f>
        <v>0.14193548387096774</v>
      </c>
      <c r="Y66" s="71">
        <f>IF(VLOOKUP(A66,Dividende_je_Aktie!A$3:AM$103,11,FALSE)&lt;&gt;"",IF(VLOOKUP(A66,Ergebnis_je_Aktie_verwässert!A$3:AK$103,11,FALSE)&lt;&gt;"",IF(VLOOKUP(A66,Ergebnis_je_Aktie_verwässert!A$3:AK$103,11,FALSE)&lt;=0,2,IF(VLOOKUP(A66,Dividende_je_Aktie!A$3:AM$103,11,FALSE)/VLOOKUP(A66,Ergebnis_je_Aktie_verwässert!A$3:AK$103,11,FALSE)&gt;=2,2,VLOOKUP(A66,Dividende_je_Aktie!A$3:AM$103,11,FALSE)/VLOOKUP(A66,Ergebnis_je_Aktie_verwässert!A$3:AK$103,11,FALSE))),""),"")</f>
        <v>8.0459770114942528E-2</v>
      </c>
      <c r="Z66" s="71">
        <f>IF(VLOOKUP(A66,Dividende_je_Aktie!A$3:AM$103,12,FALSE)&lt;&gt;"",IF(VLOOKUP(A66,Ergebnis_je_Aktie_verwässert!A$3:AK$103,12,FALSE)&lt;&gt;"",IF(VLOOKUP(A66,Ergebnis_je_Aktie_verwässert!A$3:AK$103,12,FALSE)&lt;=0,2,IF(VLOOKUP(A66,Dividende_je_Aktie!A$3:AM$103,12,FALSE)/VLOOKUP(A66,Ergebnis_je_Aktie_verwässert!A$3:AK$103,12,FALSE)&gt;=2,2,VLOOKUP(A66,Dividende_je_Aktie!A$3:AM$103,12,FALSE)/VLOOKUP(A66,Ergebnis_je_Aktie_verwässert!A$3:AK$103,12,FALSE))),""),"")</f>
        <v>5.444646098003629E-2</v>
      </c>
      <c r="AA66" s="71">
        <f>IF(VLOOKUP(A66,Dividende_je_Aktie!A$3:AM$103,13,FALSE)&lt;&gt;"",IF(VLOOKUP(A66,Ergebnis_je_Aktie_verwässert!A$3:AK$103,13,FALSE)&lt;&gt;"",IF(VLOOKUP(A66,Ergebnis_je_Aktie_verwässert!A$3:AK$103,13,FALSE)&lt;=0,2,IF(VLOOKUP(A66,Dividende_je_Aktie!A$3:AM$103,13,FALSE)/VLOOKUP(A66,Ergebnis_je_Aktie_verwässert!A$3:AK$103,13,FALSE)&gt;=2,2,VLOOKUP(A66,Dividende_je_Aktie!A$3:AM$103,13,FALSE)/VLOOKUP(A66,Ergebnis_je_Aktie_verwässert!A$3:AK$103,13,FALSE))),""),"")</f>
        <v>3.20855614973262E-2</v>
      </c>
      <c r="AB66" s="71">
        <f>IF(VLOOKUP(A66,Dividende_je_Aktie!A$3:AM$103,14,FALSE)&lt;&gt;"",IF(VLOOKUP(A66,Ergebnis_je_Aktie_verwässert!A$3:AK$103,14,FALSE)&lt;&gt;"",IF(VLOOKUP(A66,Ergebnis_je_Aktie_verwässert!A$3:AK$103,14,FALSE)&lt;=0,2,IF(VLOOKUP(A66,Dividende_je_Aktie!A$3:AM$103,14,FALSE)/VLOOKUP(A66,Ergebnis_je_Aktie_verwässert!A$3:AK$103,14,FALSE)&gt;=2,2,VLOOKUP(A66,Dividende_je_Aktie!A$3:AM$103,14,FALSE)/VLOOKUP(A66,Ergebnis_je_Aktie_verwässert!A$3:AK$103,14,FALSE))),""),"")</f>
        <v>4.2704626334519567E-2</v>
      </c>
      <c r="AC66" s="71">
        <f>IF(VLOOKUP(A66,Dividende_je_Aktie!A$3:AM$103,15,FALSE)&lt;&gt;"",IF(VLOOKUP(A66,Ergebnis_je_Aktie_verwässert!A$3:AK$103,15,FALSE)&lt;&gt;"",IF(VLOOKUP(A66,Ergebnis_je_Aktie_verwässert!A$3:AK$103,15,FALSE)&lt;=0,2,IF(VLOOKUP(A66,Dividende_je_Aktie!A$3:AM$103,15,FALSE)/VLOOKUP(A66,Ergebnis_je_Aktie_verwässert!A$3:AK$103,15,FALSE)&gt;=2,2,VLOOKUP(A66,Dividende_je_Aktie!A$3:AM$103,15,FALSE)/VLOOKUP(A66,Ergebnis_je_Aktie_verwässert!A$3:AK$103,15,FALSE))),""),"")</f>
        <v>5.3619302949061663E-2</v>
      </c>
      <c r="AD66" s="71">
        <f>IF(VLOOKUP(A66,Dividende_je_Aktie!A$3:AM$103,16,FALSE)&lt;&gt;"",IF(VLOOKUP(A66,Ergebnis_je_Aktie_verwässert!A$3:AK$103,16,FALSE)&lt;&gt;"",IF(VLOOKUP(A66,Ergebnis_je_Aktie_verwässert!A$3:AK$103,16,FALSE)&lt;=0,2,IF(VLOOKUP(A66,Dividende_je_Aktie!A$3:AM$103,16,FALSE)/VLOOKUP(A66,Ergebnis_je_Aktie_verwässert!A$3:AK$103,16,FALSE)&gt;=2,2,VLOOKUP(A66,Dividende_je_Aktie!A$3:AM$103,16,FALSE)/VLOOKUP(A66,Ergebnis_je_Aktie_verwässert!A$3:AK$103,16,FALSE))),""),"")</f>
        <v>6.3761955366631248E-2</v>
      </c>
      <c r="AE66" s="71" t="str">
        <f>IF(VLOOKUP(A66,Dividende_je_Aktie!A$3:AM$103,17,FALSE)&lt;&gt;"",IF(VLOOKUP(A66,Ergebnis_je_Aktie_verwässert!A$3:AK$103,17,FALSE)&lt;&gt;"",IF(VLOOKUP(A66,Ergebnis_je_Aktie_verwässert!A$3:AK$103,17,FALSE)&lt;=0,2,IF(VLOOKUP(A66,Dividende_je_Aktie!A$3:AM$103,17,FALSE)/VLOOKUP(A66,Ergebnis_je_Aktie_verwässert!A$3:AK$103,17,FALSE)&gt;=2,2,VLOOKUP(A66,Dividende_je_Aktie!A$3:AM$103,17,FALSE)/VLOOKUP(A66,Ergebnis_je_Aktie_verwässert!A$3:AK$103,17,FALSE))),""),"")</f>
        <v/>
      </c>
      <c r="AF66" s="71" t="str">
        <f>IF(VLOOKUP(A66,Dividende_je_Aktie!A$3:AM$103,18,FALSE)&lt;&gt;"",IF(VLOOKUP(A66,Ergebnis_je_Aktie_verwässert!A$3:AK$103,18,FALSE)&lt;&gt;"",IF(VLOOKUP(A66,Ergebnis_je_Aktie_verwässert!A$3:AK$103,18,FALSE)&lt;=0,2,IF(VLOOKUP(A66,Dividende_je_Aktie!A$3:AM$103,18,FALSE)/VLOOKUP(A66,Ergebnis_je_Aktie_verwässert!A$3:AK$103,18,FALSE)&gt;=2,2,VLOOKUP(A66,Dividende_je_Aktie!A$3:AM$103,18,FALSE)/VLOOKUP(A66,Ergebnis_je_Aktie_verwässert!A$3:AK$103,18,FALSE))),""),"")</f>
        <v/>
      </c>
      <c r="AG66" s="105">
        <f t="shared" si="8"/>
        <v>0.10973679068347661</v>
      </c>
      <c r="AH66" s="4">
        <f t="shared" ca="1" si="9"/>
        <v>0</v>
      </c>
      <c r="AI66" s="4">
        <f t="shared" ca="1" si="10"/>
        <v>108</v>
      </c>
      <c r="AJ66" s="4">
        <f t="shared" ca="1" si="11"/>
        <v>252</v>
      </c>
      <c r="AK66" s="10">
        <f t="shared" ca="1" si="12"/>
        <v>0.19736663407214253</v>
      </c>
      <c r="AL66" s="5">
        <f t="shared" ca="1" si="13"/>
        <v>0.79854570962827154</v>
      </c>
    </row>
    <row r="67" spans="1:38">
      <c r="A67" t="s">
        <v>258</v>
      </c>
      <c r="B67" t="s">
        <v>259</v>
      </c>
      <c r="C67" s="60">
        <v>31</v>
      </c>
      <c r="D67" s="60">
        <v>12</v>
      </c>
      <c r="E67" s="60">
        <v>2016</v>
      </c>
      <c r="F67" s="71">
        <f>IF(VLOOKUP(A67,Dividende_je_Aktie!A$3:AM$103,6,FALSE)&lt;&gt;"",IF(VLOOKUP(A67,Ergebnis_je_Aktie_verwässert!A$3:AK$103,6,FALSE)&lt;&gt;"",IF(VLOOKUP(A67,Ergebnis_je_Aktie_verwässert!A$3:AK$103,6,FALSE)&lt;=0,2,IF(VLOOKUP(A67,Dividende_je_Aktie!A$3:AM$103,6,FALSE)/VLOOKUP(A67,Ergebnis_je_Aktie_verwässert!A$3:AK$103,6,FALSE)&gt;=2,2,VLOOKUP(A67,Dividende_je_Aktie!A$3:AM$103,6,FALSE)/VLOOKUP(A67,Ergebnis_je_Aktie_verwässert!A$3:AK$103,6,FALSE))),""),"")</f>
        <v>0.30706075533661742</v>
      </c>
      <c r="G67" s="71">
        <f>IF(VLOOKUP(A67,Dividende_je_Aktie!A$3:AM$103,7,FALSE)&lt;&gt;"",IF(VLOOKUP(A67,Ergebnis_je_Aktie_verwässert!A$3:AK$103,7,FALSE)&lt;&gt;"",IF(VLOOKUP(A67,Ergebnis_je_Aktie_verwässert!A$3:AK$103,7,FALSE)&lt;=0,2,IF(VLOOKUP(A67,Dividende_je_Aktie!A$3:AM$103,7,FALSE)/VLOOKUP(A67,Ergebnis_je_Aktie_verwässert!A$3:AK$103,7,FALSE)&gt;=2,2,VLOOKUP(A67,Dividende_je_Aktie!A$3:AM$103,7,FALSE)/VLOOKUP(A67,Ergebnis_je_Aktie_verwässert!A$3:AK$103,7,FALSE))),""),"")</f>
        <v>0.29259259259259257</v>
      </c>
      <c r="H67" s="71">
        <f>IF(VLOOKUP(A67,Fiktive_Dividende!A$3:AM$103,14,FALSE)&lt;&gt;"",IF(VLOOKUP(A67,Ergebnis_je_Aktie_verwässert!A$3:AK$103,8,FALSE)&lt;&gt;"",IF(VLOOKUP(A67,Ergebnis_je_Aktie_verwässert!A$3:AK$103,8,FALSE)&lt;=0,2,IF(VLOOKUP(A67,Fiktive_Dividende!A$3:AM$103,14,FALSE)/VLOOKUP(A67,Ergebnis_je_Aktie_verwässert!A$3:AK$103,8,FALSE)&gt;=2,2,VLOOKUP(A67,Fiktive_Dividende!A$3:AM$103,14,FALSE)/VLOOKUP(A67,Ergebnis_je_Aktie_verwässert!A$3:AK$103,8,FALSE))),""),"")</f>
        <v>0.31092436974789917</v>
      </c>
      <c r="I67" s="71">
        <f>IF(VLOOKUP(A67,Fiktive_Dividende!A$3:AM$103,15,FALSE)&lt;&gt;"",IF(VLOOKUP(A67,Ergebnis_je_Aktie_verwässert!A$3:AK$103,9,FALSE)&lt;&gt;"",IF(VLOOKUP(A67,Ergebnis_je_Aktie_verwässert!A$3:AK$103,9,FALSE)&lt;=0,2,IF(VLOOKUP(A67,Fiktive_Dividende!A$3:AM$103,15,FALSE)/VLOOKUP(A67,Ergebnis_je_Aktie_verwässert!A$3:AK$103,9,FALSE)&gt;=2,2,VLOOKUP(A67,Fiktive_Dividende!A$3:AM$103,15,FALSE)/VLOOKUP(A67,Ergebnis_je_Aktie_verwässert!A$3:AK$103,9,FALSE))),""),"")</f>
        <v>1.216766005002395</v>
      </c>
      <c r="J67" s="71">
        <f>IF(VLOOKUP(A67,Fiktive_Dividende!A$3:AM$103,16,FALSE)&lt;&gt;"",IF(VLOOKUP(A67,Ergebnis_je_Aktie_verwässert!A$3:AK$103,10,FALSE)&lt;&gt;"",IF(VLOOKUP(A67,Ergebnis_je_Aktie_verwässert!A$3:AK$103,10,FALSE)&lt;=0,2,IF(VLOOKUP(A67,Fiktive_Dividende!A$3:AM$103,16,FALSE)/VLOOKUP(A67,Ergebnis_je_Aktie_verwässert!A$3:AK$103,10,FALSE)&gt;=2,2,VLOOKUP(A67,Fiktive_Dividende!A$3:AM$103,16,FALSE)/VLOOKUP(A67,Ergebnis_je_Aktie_verwässert!A$3:AK$103,10,FALSE))),""),"")</f>
        <v>1.3493499664557298</v>
      </c>
      <c r="K67" s="71">
        <f>IF(VLOOKUP(A67,Fiktive_Dividende!A$3:AM$103,17,FALSE)&lt;&gt;"",IF(VLOOKUP(A67,Ergebnis_je_Aktie_verwässert!A$3:AK$103,11,FALSE)&lt;&gt;"",IF(VLOOKUP(A67,Ergebnis_je_Aktie_verwässert!A$3:AK$103,11,FALSE)&lt;=0,2,IF(VLOOKUP(A67,Fiktive_Dividende!A$3:AM$103,17,FALSE)/VLOOKUP(A67,Ergebnis_je_Aktie_verwässert!A$3:AK$103,11,FALSE)&gt;=2,2,VLOOKUP(A67,Fiktive_Dividende!A$3:AM$103,17,FALSE)/VLOOKUP(A67,Ergebnis_je_Aktie_verwässert!A$3:AK$103,11,FALSE))),""),"")</f>
        <v>1.2019492825441696</v>
      </c>
      <c r="L67" s="71">
        <f>IF(VLOOKUP(A67,Fiktive_Dividende!A$3:AM$103,18,FALSE)&lt;&gt;"",IF(VLOOKUP(A67,Ergebnis_je_Aktie_verwässert!A$3:AK$103,12,FALSE)&lt;&gt;"",IF(VLOOKUP(A67,Ergebnis_je_Aktie_verwässert!A$3:AK$103,12,FALSE)&lt;=0,2,IF(VLOOKUP(A67,Fiktive_Dividende!A$3:AM$103,18,FALSE)/VLOOKUP(A67,Ergebnis_je_Aktie_verwässert!A$3:AK$103,12,FALSE)&gt;=2,2,VLOOKUP(A67,Fiktive_Dividende!A$3:AM$103,18,FALSE)/VLOOKUP(A67,Ergebnis_je_Aktie_verwässert!A$3:AK$103,12,FALSE))),""),"")</f>
        <v>0.21404682274247491</v>
      </c>
      <c r="M67" s="71">
        <f>IF(VLOOKUP(A67,Fiktive_Dividende!A$3:AM$103,19,FALSE)&lt;&gt;"",IF(VLOOKUP(A67,Ergebnis_je_Aktie_verwässert!A$3:AK$103,13,FALSE)&lt;&gt;"",IF(VLOOKUP(A67,Ergebnis_je_Aktie_verwässert!A$3:AK$103,13,FALSE)&lt;=0,2,IF(VLOOKUP(A67,Fiktive_Dividende!A$3:AM$103,19,FALSE)/VLOOKUP(A67,Ergebnis_je_Aktie_verwässert!A$3:AK$103,13,FALSE)&gt;=2,2,VLOOKUP(A67,Fiktive_Dividende!A$3:AM$103,19,FALSE)/VLOOKUP(A67,Ergebnis_je_Aktie_verwässert!A$3:AK$103,13,FALSE))),""),"")</f>
        <v>0.73406549386479381</v>
      </c>
      <c r="N67" s="71">
        <f>IF(VLOOKUP(A67,Fiktive_Dividende!A$3:AM$103,20,FALSE)&lt;&gt;"",IF(VLOOKUP(A67,Ergebnis_je_Aktie_verwässert!A$3:AK$103,14,FALSE)&lt;&gt;"",IF(VLOOKUP(A67,Ergebnis_je_Aktie_verwässert!A$3:AK$103,14,FALSE)&lt;=0,2,IF(VLOOKUP(A67,Fiktive_Dividende!A$3:AM$103,20,FALSE)/VLOOKUP(A67,Ergebnis_je_Aktie_verwässert!A$3:AK$103,14,FALSE)&gt;=2,2,VLOOKUP(A67,Fiktive_Dividende!A$3:AM$103,20,FALSE)/VLOOKUP(A67,Ergebnis_je_Aktie_verwässert!A$3:AK$103,14,FALSE))),""),"")</f>
        <v>0.52650100487384122</v>
      </c>
      <c r="O67" s="71">
        <f>IF(VLOOKUP(A67,Fiktive_Dividende!A$3:AM$103,21,FALSE)&lt;&gt;"",IF(VLOOKUP(A67,Ergebnis_je_Aktie_verwässert!A$3:AK$103,15,FALSE)&lt;&gt;"",IF(VLOOKUP(A67,Ergebnis_je_Aktie_verwässert!A$3:AK$103,15,FALSE)&lt;=0,2,IF(VLOOKUP(A67,Fiktive_Dividende!A$3:AM$103,21,FALSE)/VLOOKUP(A67,Ergebnis_je_Aktie_verwässert!A$3:AK$103,15,FALSE)&gt;=2,2,VLOOKUP(A67,Fiktive_Dividende!A$3:AM$103,21,FALSE)/VLOOKUP(A67,Ergebnis_je_Aktie_verwässert!A$3:AK$103,15,FALSE))),""),"")</f>
        <v>0.23529411764705885</v>
      </c>
      <c r="P67" s="71">
        <f>IF(VLOOKUP(A67,Fiktive_Dividende!A$3:AM$103,22,FALSE)&lt;&gt;"",IF(VLOOKUP(A67,Ergebnis_je_Aktie_verwässert!A$3:AK$103,16,FALSE)&lt;&gt;"",IF(VLOOKUP(A67,Ergebnis_je_Aktie_verwässert!A$3:AK$103,16,FALSE)&lt;=0,2,IF(VLOOKUP(A67,Fiktive_Dividende!A$3:AM$103,22,FALSE)/VLOOKUP(A67,Ergebnis_je_Aktie_verwässert!A$3:AK$103,16,FALSE)&gt;=2,2,VLOOKUP(A67,Fiktive_Dividende!A$3:AM$103,22,FALSE)/VLOOKUP(A67,Ergebnis_je_Aktie_verwässert!A$3:AK$103,16,FALSE))),""),"")</f>
        <v>0.98510103252766001</v>
      </c>
      <c r="Q67" s="71">
        <f>IF(VLOOKUP(A67,Fiktive_Dividende!A$3:AM$103,23,FALSE)&lt;&gt;"",IF(VLOOKUP(A67,Ergebnis_je_Aktie_verwässert!A$3:AK$103,17,FALSE)&lt;&gt;"",IF(VLOOKUP(A67,Ergebnis_je_Aktie_verwässert!A$3:AK$103,17,FALSE)&lt;=0,2,IF(VLOOKUP(A67,Fiktive_Dividende!A$3:AM$103,23,FALSE)/VLOOKUP(A67,Ergebnis_je_Aktie_verwässert!A$3:AK$103,17,FALSE)&gt;=2,2,VLOOKUP(A67,Fiktive_Dividende!A$3:AM$103,23,FALSE)/VLOOKUP(A67,Ergebnis_je_Aktie_verwässert!A$3:AK$103,17,FALSE))),""),"")</f>
        <v>1.6810119331742253</v>
      </c>
      <c r="R67" s="71">
        <f>IF(VLOOKUP(A67,Fiktive_Dividende!A$3:AM$103,24,FALSE)&lt;&gt;"",IF(VLOOKUP(A67,Ergebnis_je_Aktie_verwässert!A$3:AK$103,18,FALSE)&lt;&gt;"",IF(VLOOKUP(A67,Ergebnis_je_Aktie_verwässert!A$3:AK$103,18,FALSE)&lt;=0,2,IF(VLOOKUP(A67,Fiktive_Dividende!A$3:AM$103,24,FALSE)/VLOOKUP(A67,Ergebnis_je_Aktie_verwässert!A$3:AK$103,18,FALSE)&gt;=2,2,VLOOKUP(A67,Fiktive_Dividende!A$3:AM$103,24,FALSE)/VLOOKUP(A67,Ergebnis_je_Aktie_verwässert!A$3:AK$103,18,FALSE))),""),"")</f>
        <v>1.4178766850123621</v>
      </c>
      <c r="S67" s="105">
        <f t="shared" si="7"/>
        <v>0.80558000473244762</v>
      </c>
      <c r="T67" s="71">
        <f>IF(VLOOKUP(A67,Dividende_je_Aktie!A$3:AM$103,6,FALSE)&lt;&gt;"",IF(VLOOKUP(A67,Ergebnis_je_Aktie_verwässert!A$3:AK$103,6,FALSE)&lt;&gt;"",IF(VLOOKUP(A67,Ergebnis_je_Aktie_verwässert!A$3:AK$103,6,FALSE)&lt;=0,2,IF(VLOOKUP(A67,Dividende_je_Aktie!A$3:AM$103,6,FALSE)/VLOOKUP(A67,Ergebnis_je_Aktie_verwässert!A$3:AK$103,6,FALSE)&gt;=2,2,VLOOKUP(A67,Dividende_je_Aktie!A$3:AM$103,6,FALSE)/VLOOKUP(A67,Ergebnis_je_Aktie_verwässert!A$3:AK$103,6,FALSE))),""),"")</f>
        <v>0.30706075533661742</v>
      </c>
      <c r="U67" s="71">
        <f>IF(VLOOKUP(A67,Dividende_je_Aktie!A$3:AM$103,7,FALSE)&lt;&gt;"",IF(VLOOKUP(A67,Ergebnis_je_Aktie_verwässert!A$3:AK$103,7,FALSE)&lt;&gt;"",IF(VLOOKUP(A67,Ergebnis_je_Aktie_verwässert!A$3:AK$103,7,FALSE)&lt;=0,2,IF(VLOOKUP(A67,Dividende_je_Aktie!A$3:AM$103,7,FALSE)/VLOOKUP(A67,Ergebnis_je_Aktie_verwässert!A$3:AK$103,7,FALSE)&gt;=2,2,VLOOKUP(A67,Dividende_je_Aktie!A$3:AM$103,7,FALSE)/VLOOKUP(A67,Ergebnis_je_Aktie_verwässert!A$3:AK$103,7,FALSE))),""),"")</f>
        <v>0.29259259259259257</v>
      </c>
      <c r="V67" s="71">
        <f>IF(VLOOKUP(A67,Dividende_je_Aktie!A$3:AM$103,8,FALSE)&lt;&gt;"",IF(VLOOKUP(A67,Ergebnis_je_Aktie_verwässert!A$3:AK$103,8,FALSE)&lt;&gt;"",IF(VLOOKUP(A67,Ergebnis_je_Aktie_verwässert!A$3:AK$103,8,FALSE)&lt;=0,2,IF(VLOOKUP(A67,Dividende_je_Aktie!A$3:AM$103,8,FALSE)/VLOOKUP(A67,Ergebnis_je_Aktie_verwässert!A$3:AK$103,8,FALSE)&gt;=2,2,VLOOKUP(A67,Dividende_je_Aktie!A$3:AM$103,8,FALSE)/VLOOKUP(A67,Ergebnis_je_Aktie_verwässert!A$3:AK$103,8,FALSE))),""),"")</f>
        <v>0.31092436974789917</v>
      </c>
      <c r="W67" s="71">
        <f>IF(VLOOKUP(A67,Dividende_je_Aktie!A$3:AM$103,9,FALSE)&lt;&gt;"",IF(VLOOKUP(A67,Ergebnis_je_Aktie_verwässert!A$3:AK$103,9,FALSE)&lt;&gt;"",IF(VLOOKUP(A67,Ergebnis_je_Aktie_verwässert!A$3:AK$103,9,FALSE)&lt;=0,2,IF(VLOOKUP(A67,Dividende_je_Aktie!A$3:AM$103,9,FALSE)/VLOOKUP(A67,Ergebnis_je_Aktie_verwässert!A$3:AK$103,9,FALSE)&gt;=2,2,VLOOKUP(A67,Dividende_je_Aktie!A$3:AM$103,9,FALSE)/VLOOKUP(A67,Ergebnis_je_Aktie_verwässert!A$3:AK$103,9,FALSE))),""),"")</f>
        <v>0.29565217391304355</v>
      </c>
      <c r="X67" s="71">
        <f>IF(VLOOKUP(A67,Dividende_je_Aktie!A$3:AM$103,10,FALSE)&lt;&gt;"",IF(VLOOKUP(A67,Ergebnis_je_Aktie_verwässert!A$3:AK$103,10,FALSE)&lt;&gt;"",IF(VLOOKUP(A67,Ergebnis_je_Aktie_verwässert!A$3:AK$103,10,FALSE)&lt;=0,2,IF(VLOOKUP(A67,Dividende_je_Aktie!A$3:AM$103,10,FALSE)/VLOOKUP(A67,Ergebnis_je_Aktie_verwässert!A$3:AK$103,10,FALSE)&gt;=2,2,VLOOKUP(A67,Dividende_je_Aktie!A$3:AM$103,10,FALSE)/VLOOKUP(A67,Ergebnis_je_Aktie_verwässert!A$3:AK$103,10,FALSE))),""),"")</f>
        <v>0.28028503562945367</v>
      </c>
      <c r="Y67" s="71">
        <f>IF(VLOOKUP(A67,Dividende_je_Aktie!A$3:AM$103,11,FALSE)&lt;&gt;"",IF(VLOOKUP(A67,Ergebnis_je_Aktie_verwässert!A$3:AK$103,11,FALSE)&lt;&gt;"",IF(VLOOKUP(A67,Ergebnis_je_Aktie_verwässert!A$3:AK$103,11,FALSE)&lt;=0,2,IF(VLOOKUP(A67,Dividende_je_Aktie!A$3:AM$103,11,FALSE)/VLOOKUP(A67,Ergebnis_je_Aktie_verwässert!A$3:AK$103,11,FALSE)&gt;=2,2,VLOOKUP(A67,Dividende_je_Aktie!A$3:AM$103,11,FALSE)/VLOOKUP(A67,Ergebnis_je_Aktie_verwässert!A$3:AK$103,11,FALSE))),""),"")</f>
        <v>0.26849315068493151</v>
      </c>
      <c r="Z67" s="71">
        <f>IF(VLOOKUP(A67,Dividende_je_Aktie!A$3:AM$103,12,FALSE)&lt;&gt;"",IF(VLOOKUP(A67,Ergebnis_je_Aktie_verwässert!A$3:AK$103,12,FALSE)&lt;&gt;"",IF(VLOOKUP(A67,Ergebnis_je_Aktie_verwässert!A$3:AK$103,12,FALSE)&lt;=0,2,IF(VLOOKUP(A67,Dividende_je_Aktie!A$3:AM$103,12,FALSE)/VLOOKUP(A67,Ergebnis_je_Aktie_verwässert!A$3:AK$103,12,FALSE)&gt;=2,2,VLOOKUP(A67,Dividende_je_Aktie!A$3:AM$103,12,FALSE)/VLOOKUP(A67,Ergebnis_je_Aktie_verwässert!A$3:AK$103,12,FALSE))),""),"")</f>
        <v>0.21404682274247491</v>
      </c>
      <c r="AA67" s="71">
        <f>IF(VLOOKUP(A67,Dividende_je_Aktie!A$3:AM$103,13,FALSE)&lt;&gt;"",IF(VLOOKUP(A67,Ergebnis_je_Aktie_verwässert!A$3:AK$103,13,FALSE)&lt;&gt;"",IF(VLOOKUP(A67,Ergebnis_je_Aktie_verwässert!A$3:AK$103,13,FALSE)&lt;=0,2,IF(VLOOKUP(A67,Dividende_je_Aktie!A$3:AM$103,13,FALSE)/VLOOKUP(A67,Ergebnis_je_Aktie_verwässert!A$3:AK$103,13,FALSE)&gt;=2,2,VLOOKUP(A67,Dividende_je_Aktie!A$3:AM$103,13,FALSE)/VLOOKUP(A67,Ergebnis_je_Aktie_verwässert!A$3:AK$103,13,FALSE))),""),"")</f>
        <v>0.21951219512195125</v>
      </c>
      <c r="AB67" s="71">
        <f>IF(VLOOKUP(A67,Dividende_je_Aktie!A$3:AM$103,14,FALSE)&lt;&gt;"",IF(VLOOKUP(A67,Ergebnis_je_Aktie_verwässert!A$3:AK$103,14,FALSE)&lt;&gt;"",IF(VLOOKUP(A67,Ergebnis_je_Aktie_verwässert!A$3:AK$103,14,FALSE)&lt;=0,2,IF(VLOOKUP(A67,Dividende_je_Aktie!A$3:AM$103,14,FALSE)/VLOOKUP(A67,Ergebnis_je_Aktie_verwässert!A$3:AK$103,14,FALSE)&gt;=2,2,VLOOKUP(A67,Dividende_je_Aktie!A$3:AM$103,14,FALSE)/VLOOKUP(A67,Ergebnis_je_Aktie_verwässert!A$3:AK$103,14,FALSE))),""),"")</f>
        <v>0.19718309859154931</v>
      </c>
      <c r="AC67" s="71">
        <f>IF(VLOOKUP(A67,Dividende_je_Aktie!A$3:AM$103,15,FALSE)&lt;&gt;"",IF(VLOOKUP(A67,Ergebnis_je_Aktie_verwässert!A$3:AK$103,15,FALSE)&lt;&gt;"",IF(VLOOKUP(A67,Ergebnis_je_Aktie_verwässert!A$3:AK$103,15,FALSE)&lt;=0,2,IF(VLOOKUP(A67,Dividende_je_Aktie!A$3:AM$103,15,FALSE)/VLOOKUP(A67,Ergebnis_je_Aktie_verwässert!A$3:AK$103,15,FALSE)&gt;=2,2,VLOOKUP(A67,Dividende_je_Aktie!A$3:AM$103,15,FALSE)/VLOOKUP(A67,Ergebnis_je_Aktie_verwässert!A$3:AK$103,15,FALSE))),""),"")</f>
        <v>0.23529411764705885</v>
      </c>
      <c r="AD67" s="71">
        <f>IF(VLOOKUP(A67,Dividende_je_Aktie!A$3:AM$103,16,FALSE)&lt;&gt;"",IF(VLOOKUP(A67,Ergebnis_je_Aktie_verwässert!A$3:AK$103,16,FALSE)&lt;&gt;"",IF(VLOOKUP(A67,Ergebnis_je_Aktie_verwässert!A$3:AK$103,16,FALSE)&lt;=0,2,IF(VLOOKUP(A67,Dividende_je_Aktie!A$3:AM$103,16,FALSE)/VLOOKUP(A67,Ergebnis_je_Aktie_verwässert!A$3:AK$103,16,FALSE)&gt;=2,2,VLOOKUP(A67,Dividende_je_Aktie!A$3:AM$103,16,FALSE)/VLOOKUP(A67,Ergebnis_je_Aktie_verwässert!A$3:AK$103,16,FALSE))),""),"")</f>
        <v>0.21978021978021978</v>
      </c>
      <c r="AE67" s="71">
        <f>IF(VLOOKUP(A67,Dividende_je_Aktie!A$3:AM$103,17,FALSE)&lt;&gt;"",IF(VLOOKUP(A67,Ergebnis_je_Aktie_verwässert!A$3:AK$103,17,FALSE)&lt;&gt;"",IF(VLOOKUP(A67,Ergebnis_je_Aktie_verwässert!A$3:AK$103,17,FALSE)&lt;=0,2,IF(VLOOKUP(A67,Dividende_je_Aktie!A$3:AM$103,17,FALSE)/VLOOKUP(A67,Ergebnis_je_Aktie_verwässert!A$3:AK$103,17,FALSE)&gt;=2,2,VLOOKUP(A67,Dividende_je_Aktie!A$3:AM$103,17,FALSE)/VLOOKUP(A67,Ergebnis_je_Aktie_verwässert!A$3:AK$103,17,FALSE))),""),"")</f>
        <v>0.13600000000000001</v>
      </c>
      <c r="AF67" s="71">
        <f>IF(VLOOKUP(A67,Dividende_je_Aktie!A$3:AM$103,18,FALSE)&lt;&gt;"",IF(VLOOKUP(A67,Ergebnis_je_Aktie_verwässert!A$3:AK$103,18,FALSE)&lt;&gt;"",IF(VLOOKUP(A67,Ergebnis_je_Aktie_verwässert!A$3:AK$103,18,FALSE)&lt;=0,2,IF(VLOOKUP(A67,Dividende_je_Aktie!A$3:AM$103,18,FALSE)/VLOOKUP(A67,Ergebnis_je_Aktie_verwässert!A$3:AK$103,18,FALSE)&gt;=2,2,VLOOKUP(A67,Dividende_je_Aktie!A$3:AM$103,18,FALSE)/VLOOKUP(A67,Ergebnis_je_Aktie_verwässert!A$3:AK$103,18,FALSE))),""),"")</f>
        <v>0.12888888888888889</v>
      </c>
      <c r="AG67" s="105">
        <f t="shared" si="8"/>
        <v>0.23890103235974475</v>
      </c>
      <c r="AH67" s="4">
        <f t="shared" ca="1" si="9"/>
        <v>0</v>
      </c>
      <c r="AI67" s="4">
        <f t="shared" ca="1" si="10"/>
        <v>108</v>
      </c>
      <c r="AJ67" s="4">
        <f t="shared" ca="1" si="11"/>
        <v>252</v>
      </c>
      <c r="AK67" s="10">
        <f t="shared" ca="1" si="12"/>
        <v>0.3054248366013072</v>
      </c>
      <c r="AL67" s="5">
        <f t="shared" ca="1" si="13"/>
        <v>0.27845758381399044</v>
      </c>
    </row>
    <row r="68" spans="1:38">
      <c r="A68" t="s">
        <v>269</v>
      </c>
      <c r="B68" t="s">
        <v>271</v>
      </c>
      <c r="C68" s="60">
        <v>31</v>
      </c>
      <c r="D68" s="60">
        <v>12</v>
      </c>
      <c r="E68" s="60">
        <v>2016</v>
      </c>
      <c r="F68" s="71">
        <f>IF(VLOOKUP(A68,Dividende_je_Aktie!A$3:AM$103,6,FALSE)&lt;&gt;"",IF(VLOOKUP(A68,Ergebnis_je_Aktie_verwässert!A$3:AK$103,6,FALSE)&lt;&gt;"",IF(VLOOKUP(A68,Ergebnis_je_Aktie_verwässert!A$3:AK$103,6,FALSE)&lt;=0,2,IF(VLOOKUP(A68,Dividende_je_Aktie!A$3:AM$103,6,FALSE)/VLOOKUP(A68,Ergebnis_je_Aktie_verwässert!A$3:AK$103,6,FALSE)&gt;=2,2,VLOOKUP(A68,Dividende_je_Aktie!A$3:AM$103,6,FALSE)/VLOOKUP(A68,Ergebnis_je_Aktie_verwässert!A$3:AK$103,6,FALSE))),""),"")</f>
        <v>0.11205976520811101</v>
      </c>
      <c r="G68" s="71">
        <f>IF(VLOOKUP(A68,Dividende_je_Aktie!A$3:AM$103,7,FALSE)&lt;&gt;"",IF(VLOOKUP(A68,Ergebnis_je_Aktie_verwässert!A$3:AK$103,7,FALSE)&lt;&gt;"",IF(VLOOKUP(A68,Ergebnis_je_Aktie_verwässert!A$3:AK$103,7,FALSE)&lt;=0,2,IF(VLOOKUP(A68,Dividende_je_Aktie!A$3:AM$103,7,FALSE)/VLOOKUP(A68,Ergebnis_je_Aktie_verwässert!A$3:AK$103,7,FALSE)&gt;=2,2,VLOOKUP(A68,Dividende_je_Aktie!A$3:AM$103,7,FALSE)/VLOOKUP(A68,Ergebnis_je_Aktie_verwässert!A$3:AK$103,7,FALSE))),""),"")</f>
        <v>0.20798065296251511</v>
      </c>
      <c r="H68" s="71">
        <f>IF(VLOOKUP(A68,Fiktive_Dividende!A$3:AM$103,14,FALSE)&lt;&gt;"",IF(VLOOKUP(A68,Ergebnis_je_Aktie_verwässert!A$3:AK$103,8,FALSE)&lt;&gt;"",IF(VLOOKUP(A68,Ergebnis_je_Aktie_verwässert!A$3:AK$103,8,FALSE)&lt;=0,2,IF(VLOOKUP(A68,Fiktive_Dividende!A$3:AM$103,14,FALSE)/VLOOKUP(A68,Ergebnis_je_Aktie_verwässert!A$3:AK$103,8,FALSE)&gt;=2,2,VLOOKUP(A68,Fiktive_Dividende!A$3:AM$103,14,FALSE)/VLOOKUP(A68,Ergebnis_je_Aktie_verwässert!A$3:AK$103,8,FALSE))),""),"")</f>
        <v>0.21497919556171985</v>
      </c>
      <c r="I68" s="71">
        <f>IF(VLOOKUP(A68,Fiktive_Dividende!A$3:AM$103,15,FALSE)&lt;&gt;"",IF(VLOOKUP(A68,Ergebnis_je_Aktie_verwässert!A$3:AK$103,9,FALSE)&lt;&gt;"",IF(VLOOKUP(A68,Ergebnis_je_Aktie_verwässert!A$3:AK$103,9,FALSE)&lt;=0,2,IF(VLOOKUP(A68,Fiktive_Dividende!A$3:AM$103,15,FALSE)/VLOOKUP(A68,Ergebnis_je_Aktie_verwässert!A$3:AK$103,9,FALSE)&gt;=2,2,VLOOKUP(A68,Fiktive_Dividende!A$3:AM$103,15,FALSE)/VLOOKUP(A68,Ergebnis_je_Aktie_verwässert!A$3:AK$103,9,FALSE))),""),"")</f>
        <v>0.33335137485093924</v>
      </c>
      <c r="J68" s="71">
        <f>IF(VLOOKUP(A68,Fiktive_Dividende!A$3:AM$103,16,FALSE)&lt;&gt;"",IF(VLOOKUP(A68,Ergebnis_je_Aktie_verwässert!A$3:AK$103,10,FALSE)&lt;&gt;"",IF(VLOOKUP(A68,Ergebnis_je_Aktie_verwässert!A$3:AK$103,10,FALSE)&lt;=0,2,IF(VLOOKUP(A68,Fiktive_Dividende!A$3:AM$103,16,FALSE)/VLOOKUP(A68,Ergebnis_je_Aktie_verwässert!A$3:AK$103,10,FALSE)&gt;=2,2,VLOOKUP(A68,Fiktive_Dividende!A$3:AM$103,16,FALSE)/VLOOKUP(A68,Ergebnis_je_Aktie_verwässert!A$3:AK$103,10,FALSE))),""),"")</f>
        <v>0.87943653683474932</v>
      </c>
      <c r="K68" s="71">
        <f>IF(VLOOKUP(A68,Fiktive_Dividende!A$3:AM$103,17,FALSE)&lt;&gt;"",IF(VLOOKUP(A68,Ergebnis_je_Aktie_verwässert!A$3:AK$103,11,FALSE)&lt;&gt;"",IF(VLOOKUP(A68,Ergebnis_je_Aktie_verwässert!A$3:AK$103,11,FALSE)&lt;=0,2,IF(VLOOKUP(A68,Fiktive_Dividende!A$3:AM$103,17,FALSE)/VLOOKUP(A68,Ergebnis_je_Aktie_verwässert!A$3:AK$103,11,FALSE)&gt;=2,2,VLOOKUP(A68,Fiktive_Dividende!A$3:AM$103,17,FALSE)/VLOOKUP(A68,Ergebnis_je_Aktie_verwässert!A$3:AK$103,11,FALSE))),""),"")</f>
        <v>0.62048214942951785</v>
      </c>
      <c r="L68" s="71">
        <f>IF(VLOOKUP(A68,Fiktive_Dividende!A$3:AM$103,18,FALSE)&lt;&gt;"",IF(VLOOKUP(A68,Ergebnis_je_Aktie_verwässert!A$3:AK$103,12,FALSE)&lt;&gt;"",IF(VLOOKUP(A68,Ergebnis_je_Aktie_verwässert!A$3:AK$103,12,FALSE)&lt;=0,2,IF(VLOOKUP(A68,Fiktive_Dividende!A$3:AM$103,18,FALSE)/VLOOKUP(A68,Ergebnis_je_Aktie_verwässert!A$3:AK$103,12,FALSE)&gt;=2,2,VLOOKUP(A68,Fiktive_Dividende!A$3:AM$103,18,FALSE)/VLOOKUP(A68,Ergebnis_je_Aktie_verwässert!A$3:AK$103,12,FALSE))),""),"")</f>
        <v>0.35313884676004398</v>
      </c>
      <c r="M68" s="71">
        <f>IF(VLOOKUP(A68,Fiktive_Dividende!A$3:AM$103,19,FALSE)&lt;&gt;"",IF(VLOOKUP(A68,Ergebnis_je_Aktie_verwässert!A$3:AK$103,13,FALSE)&lt;&gt;"",IF(VLOOKUP(A68,Ergebnis_je_Aktie_verwässert!A$3:AK$103,13,FALSE)&lt;=0,2,IF(VLOOKUP(A68,Fiktive_Dividende!A$3:AM$103,19,FALSE)/VLOOKUP(A68,Ergebnis_je_Aktie_verwässert!A$3:AK$103,13,FALSE)&gt;=2,2,VLOOKUP(A68,Fiktive_Dividende!A$3:AM$103,19,FALSE)/VLOOKUP(A68,Ergebnis_je_Aktie_verwässert!A$3:AK$103,13,FALSE))),""),"")</f>
        <v>0.61364704637529577</v>
      </c>
      <c r="N68" s="71">
        <f>IF(VLOOKUP(A68,Fiktive_Dividende!A$3:AM$103,20,FALSE)&lt;&gt;"",IF(VLOOKUP(A68,Ergebnis_je_Aktie_verwässert!A$3:AK$103,14,FALSE)&lt;&gt;"",IF(VLOOKUP(A68,Ergebnis_je_Aktie_verwässert!A$3:AK$103,14,FALSE)&lt;=0,2,IF(VLOOKUP(A68,Fiktive_Dividende!A$3:AM$103,20,FALSE)/VLOOKUP(A68,Ergebnis_je_Aktie_verwässert!A$3:AK$103,14,FALSE)&gt;=2,2,VLOOKUP(A68,Fiktive_Dividende!A$3:AM$103,20,FALSE)/VLOOKUP(A68,Ergebnis_je_Aktie_verwässert!A$3:AK$103,14,FALSE))),""),"")</f>
        <v>0.59348245968647539</v>
      </c>
      <c r="O68" s="71">
        <f>IF(VLOOKUP(A68,Fiktive_Dividende!A$3:AM$103,21,FALSE)&lt;&gt;"",IF(VLOOKUP(A68,Ergebnis_je_Aktie_verwässert!A$3:AK$103,15,FALSE)&lt;&gt;"",IF(VLOOKUP(A68,Ergebnis_je_Aktie_verwässert!A$3:AK$103,15,FALSE)&lt;=0,2,IF(VLOOKUP(A68,Fiktive_Dividende!A$3:AM$103,21,FALSE)/VLOOKUP(A68,Ergebnis_je_Aktie_verwässert!A$3:AK$103,15,FALSE)&gt;=2,2,VLOOKUP(A68,Fiktive_Dividende!A$3:AM$103,21,FALSE)/VLOOKUP(A68,Ergebnis_je_Aktie_verwässert!A$3:AK$103,15,FALSE))),""),"")</f>
        <v>0.45215376666989571</v>
      </c>
      <c r="P68" s="71">
        <f>IF(VLOOKUP(A68,Fiktive_Dividende!A$3:AM$103,22,FALSE)&lt;&gt;"",IF(VLOOKUP(A68,Ergebnis_je_Aktie_verwässert!A$3:AK$103,16,FALSE)&lt;&gt;"",IF(VLOOKUP(A68,Ergebnis_je_Aktie_verwässert!A$3:AK$103,16,FALSE)&lt;=0,2,IF(VLOOKUP(A68,Fiktive_Dividende!A$3:AM$103,22,FALSE)/VLOOKUP(A68,Ergebnis_je_Aktie_verwässert!A$3:AK$103,16,FALSE)&gt;=2,2,VLOOKUP(A68,Fiktive_Dividende!A$3:AM$103,22,FALSE)/VLOOKUP(A68,Ergebnis_je_Aktie_verwässert!A$3:AK$103,16,FALSE))),""),"")</f>
        <v>0.40057861386697524</v>
      </c>
      <c r="Q68" s="71">
        <f>IF(VLOOKUP(A68,Fiktive_Dividende!A$3:AM$103,23,FALSE)&lt;&gt;"",IF(VLOOKUP(A68,Ergebnis_je_Aktie_verwässert!A$3:AK$103,17,FALSE)&lt;&gt;"",IF(VLOOKUP(A68,Ergebnis_je_Aktie_verwässert!A$3:AK$103,17,FALSE)&lt;=0,2,IF(VLOOKUP(A68,Fiktive_Dividende!A$3:AM$103,23,FALSE)/VLOOKUP(A68,Ergebnis_je_Aktie_verwässert!A$3:AK$103,17,FALSE)&gt;=2,2,VLOOKUP(A68,Fiktive_Dividende!A$3:AM$103,23,FALSE)/VLOOKUP(A68,Ergebnis_je_Aktie_verwässert!A$3:AK$103,17,FALSE))),""),"")</f>
        <v>1.2295040474290277</v>
      </c>
      <c r="R68" s="71">
        <f>IF(VLOOKUP(A68,Fiktive_Dividende!A$3:AM$103,24,FALSE)&lt;&gt;"",IF(VLOOKUP(A68,Ergebnis_je_Aktie_verwässert!A$3:AK$103,18,FALSE)&lt;&gt;"",IF(VLOOKUP(A68,Ergebnis_je_Aktie_verwässert!A$3:AK$103,18,FALSE)&lt;=0,2,IF(VLOOKUP(A68,Fiktive_Dividende!A$3:AM$103,24,FALSE)/VLOOKUP(A68,Ergebnis_je_Aktie_verwässert!A$3:AK$103,18,FALSE)&gt;=2,2,VLOOKUP(A68,Fiktive_Dividende!A$3:AM$103,24,FALSE)/VLOOKUP(A68,Ergebnis_je_Aktie_verwässert!A$3:AK$103,18,FALSE))),""),"")</f>
        <v>0.18518518518518517</v>
      </c>
      <c r="S68" s="105">
        <f t="shared" ref="S68:S99" si="14">AVERAGE(F68:R68)</f>
        <v>0.47661381852465018</v>
      </c>
      <c r="T68" s="71">
        <f>IF(VLOOKUP(A68,Dividende_je_Aktie!A$3:AM$103,6,FALSE)&lt;&gt;"",IF(VLOOKUP(A68,Ergebnis_je_Aktie_verwässert!A$3:AK$103,6,FALSE)&lt;&gt;"",IF(VLOOKUP(A68,Ergebnis_je_Aktie_verwässert!A$3:AK$103,6,FALSE)&lt;=0,2,IF(VLOOKUP(A68,Dividende_je_Aktie!A$3:AM$103,6,FALSE)/VLOOKUP(A68,Ergebnis_je_Aktie_verwässert!A$3:AK$103,6,FALSE)&gt;=2,2,VLOOKUP(A68,Dividende_je_Aktie!A$3:AM$103,6,FALSE)/VLOOKUP(A68,Ergebnis_je_Aktie_verwässert!A$3:AK$103,6,FALSE))),""),"")</f>
        <v>0.11205976520811101</v>
      </c>
      <c r="U68" s="71">
        <f>IF(VLOOKUP(A68,Dividende_je_Aktie!A$3:AM$103,7,FALSE)&lt;&gt;"",IF(VLOOKUP(A68,Ergebnis_je_Aktie_verwässert!A$3:AK$103,7,FALSE)&lt;&gt;"",IF(VLOOKUP(A68,Ergebnis_je_Aktie_verwässert!A$3:AK$103,7,FALSE)&lt;=0,2,IF(VLOOKUP(A68,Dividende_je_Aktie!A$3:AM$103,7,FALSE)/VLOOKUP(A68,Ergebnis_je_Aktie_verwässert!A$3:AK$103,7,FALSE)&gt;=2,2,VLOOKUP(A68,Dividende_je_Aktie!A$3:AM$103,7,FALSE)/VLOOKUP(A68,Ergebnis_je_Aktie_verwässert!A$3:AK$103,7,FALSE))),""),"")</f>
        <v>0.20798065296251511</v>
      </c>
      <c r="V68" s="71">
        <f>IF(VLOOKUP(A68,Dividende_je_Aktie!A$3:AM$103,8,FALSE)&lt;&gt;"",IF(VLOOKUP(A68,Ergebnis_je_Aktie_verwässert!A$3:AK$103,8,FALSE)&lt;&gt;"",IF(VLOOKUP(A68,Ergebnis_je_Aktie_verwässert!A$3:AK$103,8,FALSE)&lt;=0,2,IF(VLOOKUP(A68,Dividende_je_Aktie!A$3:AM$103,8,FALSE)/VLOOKUP(A68,Ergebnis_je_Aktie_verwässert!A$3:AK$103,8,FALSE)&gt;=2,2,VLOOKUP(A68,Dividende_je_Aktie!A$3:AM$103,8,FALSE)/VLOOKUP(A68,Ergebnis_je_Aktie_verwässert!A$3:AK$103,8,FALSE))),""),"")</f>
        <v>0.21497919556171985</v>
      </c>
      <c r="W68" s="71">
        <f>IF(VLOOKUP(A68,Dividende_je_Aktie!A$3:AM$103,9,FALSE)&lt;&gt;"",IF(VLOOKUP(A68,Ergebnis_je_Aktie_verwässert!A$3:AK$103,9,FALSE)&lt;&gt;"",IF(VLOOKUP(A68,Ergebnis_je_Aktie_verwässert!A$3:AK$103,9,FALSE)&lt;=0,2,IF(VLOOKUP(A68,Dividende_je_Aktie!A$3:AM$103,9,FALSE)/VLOOKUP(A68,Ergebnis_je_Aktie_verwässert!A$3:AK$103,9,FALSE)&gt;=2,2,VLOOKUP(A68,Dividende_je_Aktie!A$3:AM$103,9,FALSE)/VLOOKUP(A68,Ergebnis_je_Aktie_verwässert!A$3:AK$103,9,FALSE))),""),"")</f>
        <v>0.31281198003327787</v>
      </c>
      <c r="X68" s="71">
        <f>IF(VLOOKUP(A68,Dividende_je_Aktie!A$3:AM$103,10,FALSE)&lt;&gt;"",IF(VLOOKUP(A68,Ergebnis_je_Aktie_verwässert!A$3:AK$103,10,FALSE)&lt;&gt;"",IF(VLOOKUP(A68,Ergebnis_je_Aktie_verwässert!A$3:AK$103,10,FALSE)&lt;=0,2,IF(VLOOKUP(A68,Dividende_je_Aktie!A$3:AM$103,10,FALSE)/VLOOKUP(A68,Ergebnis_je_Aktie_verwässert!A$3:AK$103,10,FALSE)&gt;=2,2,VLOOKUP(A68,Dividende_je_Aktie!A$3:AM$103,10,FALSE)/VLOOKUP(A68,Ergebnis_je_Aktie_verwässert!A$3:AK$103,10,FALSE))),""),"")</f>
        <v>0.24736842105263157</v>
      </c>
      <c r="Y68" s="71">
        <f>IF(VLOOKUP(A68,Dividende_je_Aktie!A$3:AM$103,11,FALSE)&lt;&gt;"",IF(VLOOKUP(A68,Ergebnis_je_Aktie_verwässert!A$3:AK$103,11,FALSE)&lt;&gt;"",IF(VLOOKUP(A68,Ergebnis_je_Aktie_verwässert!A$3:AK$103,11,FALSE)&lt;=0,2,IF(VLOOKUP(A68,Dividende_je_Aktie!A$3:AM$103,11,FALSE)/VLOOKUP(A68,Ergebnis_je_Aktie_verwässert!A$3:AK$103,11,FALSE)&gt;=2,2,VLOOKUP(A68,Dividende_je_Aktie!A$3:AM$103,11,FALSE)/VLOOKUP(A68,Ergebnis_je_Aktie_verwässert!A$3:AK$103,11,FALSE))),""),"")</f>
        <v>0.19090909090909092</v>
      </c>
      <c r="Z68" s="71">
        <f>IF(VLOOKUP(A68,Dividende_je_Aktie!A$3:AM$103,12,FALSE)&lt;&gt;"",IF(VLOOKUP(A68,Ergebnis_je_Aktie_verwässert!A$3:AK$103,12,FALSE)&lt;&gt;"",IF(VLOOKUP(A68,Ergebnis_je_Aktie_verwässert!A$3:AK$103,12,FALSE)&lt;=0,2,IF(VLOOKUP(A68,Dividende_je_Aktie!A$3:AM$103,12,FALSE)/VLOOKUP(A68,Ergebnis_je_Aktie_verwässert!A$3:AK$103,12,FALSE)&gt;=2,2,VLOOKUP(A68,Dividende_je_Aktie!A$3:AM$103,12,FALSE)/VLOOKUP(A68,Ergebnis_je_Aktie_verwässert!A$3:AK$103,12,FALSE))),""),"")</f>
        <v>0.15151515151515152</v>
      </c>
      <c r="AA68" s="71">
        <f>IF(VLOOKUP(A68,Dividende_je_Aktie!A$3:AM$103,13,FALSE)&lt;&gt;"",IF(VLOOKUP(A68,Ergebnis_je_Aktie_verwässert!A$3:AK$103,13,FALSE)&lt;&gt;"",IF(VLOOKUP(A68,Ergebnis_je_Aktie_verwässert!A$3:AK$103,13,FALSE)&lt;=0,2,IF(VLOOKUP(A68,Dividende_je_Aktie!A$3:AM$103,13,FALSE)/VLOOKUP(A68,Ergebnis_je_Aktie_verwässert!A$3:AK$103,13,FALSE)&gt;=2,2,VLOOKUP(A68,Dividende_je_Aktie!A$3:AM$103,13,FALSE)/VLOOKUP(A68,Ergebnis_je_Aktie_verwässert!A$3:AK$103,13,FALSE))),""),"")</f>
        <v>0.12896405919661733</v>
      </c>
      <c r="AB68" s="71">
        <f>IF(VLOOKUP(A68,Dividende_je_Aktie!A$3:AM$103,14,FALSE)&lt;&gt;"",IF(VLOOKUP(A68,Ergebnis_je_Aktie_verwässert!A$3:AK$103,14,FALSE)&lt;&gt;"",IF(VLOOKUP(A68,Ergebnis_je_Aktie_verwässert!A$3:AK$103,14,FALSE)&lt;=0,2,IF(VLOOKUP(A68,Dividende_je_Aktie!A$3:AM$103,14,FALSE)/VLOOKUP(A68,Ergebnis_je_Aktie_verwässert!A$3:AK$103,14,FALSE)&gt;=2,2,VLOOKUP(A68,Dividende_je_Aktie!A$3:AM$103,14,FALSE)/VLOOKUP(A68,Ergebnis_je_Aktie_verwässert!A$3:AK$103,14,FALSE))),""),"")</f>
        <v>9.8780487804878067E-2</v>
      </c>
      <c r="AC68" s="71">
        <f>IF(VLOOKUP(A68,Dividende_je_Aktie!A$3:AM$103,15,FALSE)&lt;&gt;"",IF(VLOOKUP(A68,Ergebnis_je_Aktie_verwässert!A$3:AK$103,15,FALSE)&lt;&gt;"",IF(VLOOKUP(A68,Ergebnis_je_Aktie_verwässert!A$3:AK$103,15,FALSE)&lt;=0,2,IF(VLOOKUP(A68,Dividende_je_Aktie!A$3:AM$103,15,FALSE)/VLOOKUP(A68,Ergebnis_je_Aktie_verwässert!A$3:AK$103,15,FALSE)&gt;=2,2,VLOOKUP(A68,Dividende_je_Aktie!A$3:AM$103,15,FALSE)/VLOOKUP(A68,Ergebnis_je_Aktie_verwässert!A$3:AK$103,15,FALSE))),""),"")</f>
        <v>9.2592592592592587E-3</v>
      </c>
      <c r="AD68" s="71">
        <f>IF(VLOOKUP(A68,Dividende_je_Aktie!A$3:AM$103,16,FALSE)&lt;&gt;"",IF(VLOOKUP(A68,Ergebnis_je_Aktie_verwässert!A$3:AK$103,16,FALSE)&lt;&gt;"",IF(VLOOKUP(A68,Ergebnis_je_Aktie_verwässert!A$3:AK$103,16,FALSE)&lt;=0,2,IF(VLOOKUP(A68,Dividende_je_Aktie!A$3:AM$103,16,FALSE)/VLOOKUP(A68,Ergebnis_je_Aktie_verwässert!A$3:AK$103,16,FALSE)&gt;=2,2,VLOOKUP(A68,Dividende_je_Aktie!A$3:AM$103,16,FALSE)/VLOOKUP(A68,Ergebnis_je_Aktie_verwässert!A$3:AK$103,16,FALSE))),""),"")</f>
        <v>1.0169491525423728E-2</v>
      </c>
      <c r="AE68" s="71">
        <f>IF(VLOOKUP(A68,Dividende_je_Aktie!A$3:AM$103,17,FALSE)&lt;&gt;"",IF(VLOOKUP(A68,Ergebnis_je_Aktie_verwässert!A$3:AK$103,17,FALSE)&lt;&gt;"",IF(VLOOKUP(A68,Ergebnis_je_Aktie_verwässert!A$3:AK$103,17,FALSE)&lt;=0,2,IF(VLOOKUP(A68,Dividende_je_Aktie!A$3:AM$103,17,FALSE)/VLOOKUP(A68,Ergebnis_je_Aktie_verwässert!A$3:AK$103,17,FALSE)&gt;=2,2,VLOOKUP(A68,Dividende_je_Aktie!A$3:AM$103,17,FALSE)/VLOOKUP(A68,Ergebnis_je_Aktie_verwässert!A$3:AK$103,17,FALSE))),""),"")</f>
        <v>8.5714285714285719E-3</v>
      </c>
      <c r="AF68" s="71">
        <f>IF(VLOOKUP(A68,Dividende_je_Aktie!A$3:AM$103,18,FALSE)&lt;&gt;"",IF(VLOOKUP(A68,Ergebnis_je_Aktie_verwässert!A$3:AK$103,18,FALSE)&lt;&gt;"",IF(VLOOKUP(A68,Ergebnis_je_Aktie_verwässert!A$3:AK$103,18,FALSE)&lt;=0,2,IF(VLOOKUP(A68,Dividende_je_Aktie!A$3:AM$103,18,FALSE)/VLOOKUP(A68,Ergebnis_je_Aktie_verwässert!A$3:AK$103,18,FALSE)&gt;=2,2,VLOOKUP(A68,Dividende_je_Aktie!A$3:AM$103,18,FALSE)/VLOOKUP(A68,Ergebnis_je_Aktie_verwässert!A$3:AK$103,18,FALSE))),""),"")</f>
        <v>1.01010101010101E-2</v>
      </c>
      <c r="AG68" s="105">
        <f t="shared" ref="AG68:AG99" si="15">AVERAGE(T68:AF68)</f>
        <v>0.13103615336162425</v>
      </c>
      <c r="AH68" s="4">
        <f t="shared" ref="AH68:AH99" ca="1" si="16">IF(DAYS360(TODAY(),DATE(E68+2,D68,C68))&gt;=720,0,360-AI68)</f>
        <v>0</v>
      </c>
      <c r="AI68" s="4">
        <f t="shared" ref="AI68:AI99" ca="1" si="17">IF(DAYS360(TODAY(),DATE(E68+1,D68,C68))&lt;=360,DAYS360(TODAY(),DATE(E68+1,D68,C68)),360-AJ68)</f>
        <v>108</v>
      </c>
      <c r="AJ68" s="4">
        <f t="shared" ref="AJ68:AJ103" ca="1" si="18">IF(DATE(E68,D68,C68)&lt;=TODAY(),0,DAYS360(TODAY(),DATE(E68,D68,C68)))</f>
        <v>252</v>
      </c>
      <c r="AK68" s="10">
        <f t="shared" ref="AK68:AK99" ca="1" si="19">IF(AH68&gt;0,(T68/360*AH68)+(U68/360*AI68)+(V68/360*AJ68),(U68/360*AI68)+(V68/360*AJ68))</f>
        <v>0.21287963278195843</v>
      </c>
      <c r="AL68" s="5">
        <f t="shared" ref="AL68:AL99" ca="1" si="20">IF(AG68=0,0,(AK68/AG68)-1)</f>
        <v>0.62458701145223916</v>
      </c>
    </row>
    <row r="69" spans="1:38">
      <c r="C69" s="60"/>
      <c r="D69" s="60"/>
      <c r="E69" s="60"/>
      <c r="F69" s="71" t="e">
        <f>IF(VLOOKUP(A69,Dividende_je_Aktie!A$3:AM$103,6,FALSE)&lt;&gt;"",IF(VLOOKUP(A69,Ergebnis_je_Aktie_verwässert!A$3:AK$103,6,FALSE)&lt;&gt;"",IF(VLOOKUP(A69,Ergebnis_je_Aktie_verwässert!A$3:AK$103,6,FALSE)&lt;=0,2,IF(VLOOKUP(A69,Dividende_je_Aktie!A$3:AM$103,6,FALSE)/VLOOKUP(A69,Ergebnis_je_Aktie_verwässert!A$3:AK$103,6,FALSE)&gt;=2,2,VLOOKUP(A69,Dividende_je_Aktie!A$3:AM$103,6,FALSE)/VLOOKUP(A69,Ergebnis_je_Aktie_verwässert!A$3:AK$103,6,FALSE))),""),"")</f>
        <v>#N/A</v>
      </c>
      <c r="G69" s="71" t="e">
        <f>IF(VLOOKUP(A69,Dividende_je_Aktie!A$3:AM$103,7,FALSE)&lt;&gt;"",IF(VLOOKUP(A69,Ergebnis_je_Aktie_verwässert!A$3:AK$103,7,FALSE)&lt;&gt;"",IF(VLOOKUP(A69,Ergebnis_je_Aktie_verwässert!A$3:AK$103,7,FALSE)&lt;=0,2,IF(VLOOKUP(A69,Dividende_je_Aktie!A$3:AM$103,7,FALSE)/VLOOKUP(A69,Ergebnis_je_Aktie_verwässert!A$3:AK$103,7,FALSE)&gt;=2,2,VLOOKUP(A69,Dividende_je_Aktie!A$3:AM$103,7,FALSE)/VLOOKUP(A69,Ergebnis_je_Aktie_verwässert!A$3:AK$103,7,FALSE))),""),"")</f>
        <v>#N/A</v>
      </c>
      <c r="H69" s="71" t="e">
        <f>IF(VLOOKUP(A69,Fiktive_Dividende!A$3:AM$103,14,FALSE)&lt;&gt;"",IF(VLOOKUP(A69,Ergebnis_je_Aktie_verwässert!A$3:AK$103,8,FALSE)&lt;&gt;"",IF(VLOOKUP(A69,Ergebnis_je_Aktie_verwässert!A$3:AK$103,8,FALSE)&lt;=0,2,IF(VLOOKUP(A69,Fiktive_Dividende!A$3:AM$103,14,FALSE)/VLOOKUP(A69,Ergebnis_je_Aktie_verwässert!A$3:AK$103,8,FALSE)&gt;=2,2,VLOOKUP(A69,Fiktive_Dividende!A$3:AM$103,14,FALSE)/VLOOKUP(A69,Ergebnis_je_Aktie_verwässert!A$3:AK$103,8,FALSE))),""),"")</f>
        <v>#N/A</v>
      </c>
      <c r="I69" s="71" t="e">
        <f>IF(VLOOKUP(A69,Fiktive_Dividende!A$3:AM$103,15,FALSE)&lt;&gt;"",IF(VLOOKUP(A69,Ergebnis_je_Aktie_verwässert!A$3:AK$103,9,FALSE)&lt;&gt;"",IF(VLOOKUP(A69,Ergebnis_je_Aktie_verwässert!A$3:AK$103,9,FALSE)&lt;=0,2,IF(VLOOKUP(A69,Fiktive_Dividende!A$3:AM$103,15,FALSE)/VLOOKUP(A69,Ergebnis_je_Aktie_verwässert!A$3:AK$103,9,FALSE)&gt;=2,2,VLOOKUP(A69,Fiktive_Dividende!A$3:AM$103,15,FALSE)/VLOOKUP(A69,Ergebnis_je_Aktie_verwässert!A$3:AK$103,9,FALSE))),""),"")</f>
        <v>#N/A</v>
      </c>
      <c r="J69" s="71" t="e">
        <f>IF(VLOOKUP(A69,Fiktive_Dividende!A$3:AM$103,16,FALSE)&lt;&gt;"",IF(VLOOKUP(A69,Ergebnis_je_Aktie_verwässert!A$3:AK$103,10,FALSE)&lt;&gt;"",IF(VLOOKUP(A69,Ergebnis_je_Aktie_verwässert!A$3:AK$103,10,FALSE)&lt;=0,2,IF(VLOOKUP(A69,Fiktive_Dividende!A$3:AM$103,16,FALSE)/VLOOKUP(A69,Ergebnis_je_Aktie_verwässert!A$3:AK$103,10,FALSE)&gt;=2,2,VLOOKUP(A69,Fiktive_Dividende!A$3:AM$103,16,FALSE)/VLOOKUP(A69,Ergebnis_je_Aktie_verwässert!A$3:AK$103,10,FALSE))),""),"")</f>
        <v>#N/A</v>
      </c>
      <c r="K69" s="71" t="e">
        <f>IF(VLOOKUP(A69,Fiktive_Dividende!A$3:AM$103,17,FALSE)&lt;&gt;"",IF(VLOOKUP(A69,Ergebnis_je_Aktie_verwässert!A$3:AK$103,11,FALSE)&lt;&gt;"",IF(VLOOKUP(A69,Ergebnis_je_Aktie_verwässert!A$3:AK$103,11,FALSE)&lt;=0,2,IF(VLOOKUP(A69,Fiktive_Dividende!A$3:AM$103,17,FALSE)/VLOOKUP(A69,Ergebnis_je_Aktie_verwässert!A$3:AK$103,11,FALSE)&gt;=2,2,VLOOKUP(A69,Fiktive_Dividende!A$3:AM$103,17,FALSE)/VLOOKUP(A69,Ergebnis_je_Aktie_verwässert!A$3:AK$103,11,FALSE))),""),"")</f>
        <v>#N/A</v>
      </c>
      <c r="L69" s="71" t="e">
        <f>IF(VLOOKUP(A69,Fiktive_Dividende!A$3:AM$103,18,FALSE)&lt;&gt;"",IF(VLOOKUP(A69,Ergebnis_je_Aktie_verwässert!A$3:AK$103,12,FALSE)&lt;&gt;"",IF(VLOOKUP(A69,Ergebnis_je_Aktie_verwässert!A$3:AK$103,12,FALSE)&lt;=0,2,IF(VLOOKUP(A69,Fiktive_Dividende!A$3:AM$103,18,FALSE)/VLOOKUP(A69,Ergebnis_je_Aktie_verwässert!A$3:AK$103,12,FALSE)&gt;=2,2,VLOOKUP(A69,Fiktive_Dividende!A$3:AM$103,18,FALSE)/VLOOKUP(A69,Ergebnis_je_Aktie_verwässert!A$3:AK$103,12,FALSE))),""),"")</f>
        <v>#N/A</v>
      </c>
      <c r="M69" s="71" t="e">
        <f>IF(VLOOKUP(A69,Fiktive_Dividende!A$3:AM$103,19,FALSE)&lt;&gt;"",IF(VLOOKUP(A69,Ergebnis_je_Aktie_verwässert!A$3:AK$103,13,FALSE)&lt;&gt;"",IF(VLOOKUP(A69,Ergebnis_je_Aktie_verwässert!A$3:AK$103,13,FALSE)&lt;=0,2,IF(VLOOKUP(A69,Fiktive_Dividende!A$3:AM$103,19,FALSE)/VLOOKUP(A69,Ergebnis_je_Aktie_verwässert!A$3:AK$103,13,FALSE)&gt;=2,2,VLOOKUP(A69,Fiktive_Dividende!A$3:AM$103,19,FALSE)/VLOOKUP(A69,Ergebnis_je_Aktie_verwässert!A$3:AK$103,13,FALSE))),""),"")</f>
        <v>#N/A</v>
      </c>
      <c r="N69" s="71" t="e">
        <f>IF(VLOOKUP(A69,Fiktive_Dividende!A$3:AM$103,20,FALSE)&lt;&gt;"",IF(VLOOKUP(A69,Ergebnis_je_Aktie_verwässert!A$3:AK$103,14,FALSE)&lt;&gt;"",IF(VLOOKUP(A69,Ergebnis_je_Aktie_verwässert!A$3:AK$103,14,FALSE)&lt;=0,2,IF(VLOOKUP(A69,Fiktive_Dividende!A$3:AM$103,20,FALSE)/VLOOKUP(A69,Ergebnis_je_Aktie_verwässert!A$3:AK$103,14,FALSE)&gt;=2,2,VLOOKUP(A69,Fiktive_Dividende!A$3:AM$103,20,FALSE)/VLOOKUP(A69,Ergebnis_je_Aktie_verwässert!A$3:AK$103,14,FALSE))),""),"")</f>
        <v>#N/A</v>
      </c>
      <c r="O69" s="71" t="e">
        <f>IF(VLOOKUP(A69,Fiktive_Dividende!A$3:AM$103,21,FALSE)&lt;&gt;"",IF(VLOOKUP(A69,Ergebnis_je_Aktie_verwässert!A$3:AK$103,15,FALSE)&lt;&gt;"",IF(VLOOKUP(A69,Ergebnis_je_Aktie_verwässert!A$3:AK$103,15,FALSE)&lt;=0,2,IF(VLOOKUP(A69,Fiktive_Dividende!A$3:AM$103,21,FALSE)/VLOOKUP(A69,Ergebnis_je_Aktie_verwässert!A$3:AK$103,15,FALSE)&gt;=2,2,VLOOKUP(A69,Fiktive_Dividende!A$3:AM$103,21,FALSE)/VLOOKUP(A69,Ergebnis_je_Aktie_verwässert!A$3:AK$103,15,FALSE))),""),"")</f>
        <v>#N/A</v>
      </c>
      <c r="P69" s="71" t="e">
        <f>IF(VLOOKUP(A69,Fiktive_Dividende!A$3:AM$103,22,FALSE)&lt;&gt;"",IF(VLOOKUP(A69,Ergebnis_je_Aktie_verwässert!A$3:AK$103,16,FALSE)&lt;&gt;"",IF(VLOOKUP(A69,Ergebnis_je_Aktie_verwässert!A$3:AK$103,16,FALSE)&lt;=0,2,IF(VLOOKUP(A69,Fiktive_Dividende!A$3:AM$103,22,FALSE)/VLOOKUP(A69,Ergebnis_je_Aktie_verwässert!A$3:AK$103,16,FALSE)&gt;=2,2,VLOOKUP(A69,Fiktive_Dividende!A$3:AM$103,22,FALSE)/VLOOKUP(A69,Ergebnis_je_Aktie_verwässert!A$3:AK$103,16,FALSE))),""),"")</f>
        <v>#N/A</v>
      </c>
      <c r="Q69" s="71" t="e">
        <f>IF(VLOOKUP(A69,Fiktive_Dividende!A$3:AM$103,23,FALSE)&lt;&gt;"",IF(VLOOKUP(A69,Ergebnis_je_Aktie_verwässert!A$3:AK$103,17,FALSE)&lt;&gt;"",IF(VLOOKUP(A69,Ergebnis_je_Aktie_verwässert!A$3:AK$103,17,FALSE)&lt;=0,2,IF(VLOOKUP(A69,Fiktive_Dividende!A$3:AM$103,23,FALSE)/VLOOKUP(A69,Ergebnis_je_Aktie_verwässert!A$3:AK$103,17,FALSE)&gt;=2,2,VLOOKUP(A69,Fiktive_Dividende!A$3:AM$103,23,FALSE)/VLOOKUP(A69,Ergebnis_je_Aktie_verwässert!A$3:AK$103,17,FALSE))),""),"")</f>
        <v>#N/A</v>
      </c>
      <c r="R69" s="71" t="e">
        <f>IF(VLOOKUP(A69,Fiktive_Dividende!A$3:AM$103,24,FALSE)&lt;&gt;"",IF(VLOOKUP(A69,Ergebnis_je_Aktie_verwässert!A$3:AK$103,18,FALSE)&lt;&gt;"",IF(VLOOKUP(A69,Ergebnis_je_Aktie_verwässert!A$3:AK$103,18,FALSE)&lt;=0,2,IF(VLOOKUP(A69,Fiktive_Dividende!A$3:AM$103,24,FALSE)/VLOOKUP(A69,Ergebnis_je_Aktie_verwässert!A$3:AK$103,18,FALSE)&gt;=2,2,VLOOKUP(A69,Fiktive_Dividende!A$3:AM$103,24,FALSE)/VLOOKUP(A69,Ergebnis_je_Aktie_verwässert!A$3:AK$103,18,FALSE))),""),"")</f>
        <v>#N/A</v>
      </c>
      <c r="S69" s="105" t="e">
        <f t="shared" si="14"/>
        <v>#N/A</v>
      </c>
      <c r="T69" s="71" t="e">
        <f>IF(VLOOKUP(A69,Dividende_je_Aktie!A$3:AM$103,6,FALSE)&lt;&gt;"",IF(VLOOKUP(A69,Ergebnis_je_Aktie_verwässert!A$3:AK$103,6,FALSE)&lt;&gt;"",IF(VLOOKUP(A69,Ergebnis_je_Aktie_verwässert!A$3:AK$103,6,FALSE)&lt;=0,2,IF(VLOOKUP(A69,Dividende_je_Aktie!A$3:AM$103,6,FALSE)/VLOOKUP(A69,Ergebnis_je_Aktie_verwässert!A$3:AK$103,6,FALSE)&gt;=2,2,VLOOKUP(A69,Dividende_je_Aktie!A$3:AM$103,6,FALSE)/VLOOKUP(A69,Ergebnis_je_Aktie_verwässert!A$3:AK$103,6,FALSE))),""),"")</f>
        <v>#N/A</v>
      </c>
      <c r="U69" s="71" t="e">
        <f>IF(VLOOKUP(A69,Dividende_je_Aktie!A$3:AM$103,7,FALSE)&lt;&gt;"",IF(VLOOKUP(A69,Ergebnis_je_Aktie_verwässert!A$3:AK$103,7,FALSE)&lt;&gt;"",IF(VLOOKUP(A69,Ergebnis_je_Aktie_verwässert!A$3:AK$103,7,FALSE)&lt;=0,2,IF(VLOOKUP(A69,Dividende_je_Aktie!A$3:AM$103,7,FALSE)/VLOOKUP(A69,Ergebnis_je_Aktie_verwässert!A$3:AK$103,7,FALSE)&gt;=2,2,VLOOKUP(A69,Dividende_je_Aktie!A$3:AM$103,7,FALSE)/VLOOKUP(A69,Ergebnis_je_Aktie_verwässert!A$3:AK$103,7,FALSE))),""),"")</f>
        <v>#N/A</v>
      </c>
      <c r="V69" s="71" t="e">
        <f>IF(VLOOKUP(A69,Dividende_je_Aktie!A$3:AM$103,8,FALSE)&lt;&gt;"",IF(VLOOKUP(A69,Ergebnis_je_Aktie_verwässert!A$3:AK$103,8,FALSE)&lt;&gt;"",IF(VLOOKUP(A69,Ergebnis_je_Aktie_verwässert!A$3:AK$103,8,FALSE)&lt;=0,2,IF(VLOOKUP(A69,Dividende_je_Aktie!A$3:AM$103,8,FALSE)/VLOOKUP(A69,Ergebnis_je_Aktie_verwässert!A$3:AK$103,8,FALSE)&gt;=2,2,VLOOKUP(A69,Dividende_je_Aktie!A$3:AM$103,8,FALSE)/VLOOKUP(A69,Ergebnis_je_Aktie_verwässert!A$3:AK$103,8,FALSE))),""),"")</f>
        <v>#N/A</v>
      </c>
      <c r="W69" s="71" t="e">
        <f>IF(VLOOKUP(A69,Dividende_je_Aktie!A$3:AM$103,9,FALSE)&lt;&gt;"",IF(VLOOKUP(A69,Ergebnis_je_Aktie_verwässert!A$3:AK$103,9,FALSE)&lt;&gt;"",IF(VLOOKUP(A69,Ergebnis_je_Aktie_verwässert!A$3:AK$103,9,FALSE)&lt;=0,2,IF(VLOOKUP(A69,Dividende_je_Aktie!A$3:AM$103,9,FALSE)/VLOOKUP(A69,Ergebnis_je_Aktie_verwässert!A$3:AK$103,9,FALSE)&gt;=2,2,VLOOKUP(A69,Dividende_je_Aktie!A$3:AM$103,9,FALSE)/VLOOKUP(A69,Ergebnis_je_Aktie_verwässert!A$3:AK$103,9,FALSE))),""),"")</f>
        <v>#N/A</v>
      </c>
      <c r="X69" s="71" t="e">
        <f>IF(VLOOKUP(A69,Dividende_je_Aktie!A$3:AM$103,10,FALSE)&lt;&gt;"",IF(VLOOKUP(A69,Ergebnis_je_Aktie_verwässert!A$3:AK$103,10,FALSE)&lt;&gt;"",IF(VLOOKUP(A69,Ergebnis_je_Aktie_verwässert!A$3:AK$103,10,FALSE)&lt;=0,2,IF(VLOOKUP(A69,Dividende_je_Aktie!A$3:AM$103,10,FALSE)/VLOOKUP(A69,Ergebnis_je_Aktie_verwässert!A$3:AK$103,10,FALSE)&gt;=2,2,VLOOKUP(A69,Dividende_je_Aktie!A$3:AM$103,10,FALSE)/VLOOKUP(A69,Ergebnis_je_Aktie_verwässert!A$3:AK$103,10,FALSE))),""),"")</f>
        <v>#N/A</v>
      </c>
      <c r="Y69" s="71" t="e">
        <f>IF(VLOOKUP(A69,Dividende_je_Aktie!A$3:AM$103,11,FALSE)&lt;&gt;"",IF(VLOOKUP(A69,Ergebnis_je_Aktie_verwässert!A$3:AK$103,11,FALSE)&lt;&gt;"",IF(VLOOKUP(A69,Ergebnis_je_Aktie_verwässert!A$3:AK$103,11,FALSE)&lt;=0,2,IF(VLOOKUP(A69,Dividende_je_Aktie!A$3:AM$103,11,FALSE)/VLOOKUP(A69,Ergebnis_je_Aktie_verwässert!A$3:AK$103,11,FALSE)&gt;=2,2,VLOOKUP(A69,Dividende_je_Aktie!A$3:AM$103,11,FALSE)/VLOOKUP(A69,Ergebnis_je_Aktie_verwässert!A$3:AK$103,11,FALSE))),""),"")</f>
        <v>#N/A</v>
      </c>
      <c r="Z69" s="71" t="e">
        <f>IF(VLOOKUP(A69,Dividende_je_Aktie!A$3:AM$103,12,FALSE)&lt;&gt;"",IF(VLOOKUP(A69,Ergebnis_je_Aktie_verwässert!A$3:AK$103,12,FALSE)&lt;&gt;"",IF(VLOOKUP(A69,Ergebnis_je_Aktie_verwässert!A$3:AK$103,12,FALSE)&lt;=0,2,IF(VLOOKUP(A69,Dividende_je_Aktie!A$3:AM$103,12,FALSE)/VLOOKUP(A69,Ergebnis_je_Aktie_verwässert!A$3:AK$103,12,FALSE)&gt;=2,2,VLOOKUP(A69,Dividende_je_Aktie!A$3:AM$103,12,FALSE)/VLOOKUP(A69,Ergebnis_je_Aktie_verwässert!A$3:AK$103,12,FALSE))),""),"")</f>
        <v>#N/A</v>
      </c>
      <c r="AA69" s="71" t="e">
        <f>IF(VLOOKUP(A69,Dividende_je_Aktie!A$3:AM$103,13,FALSE)&lt;&gt;"",IF(VLOOKUP(A69,Ergebnis_je_Aktie_verwässert!A$3:AK$103,13,FALSE)&lt;&gt;"",IF(VLOOKUP(A69,Ergebnis_je_Aktie_verwässert!A$3:AK$103,13,FALSE)&lt;=0,2,IF(VLOOKUP(A69,Dividende_je_Aktie!A$3:AM$103,13,FALSE)/VLOOKUP(A69,Ergebnis_je_Aktie_verwässert!A$3:AK$103,13,FALSE)&gt;=2,2,VLOOKUP(A69,Dividende_je_Aktie!A$3:AM$103,13,FALSE)/VLOOKUP(A69,Ergebnis_je_Aktie_verwässert!A$3:AK$103,13,FALSE))),""),"")</f>
        <v>#N/A</v>
      </c>
      <c r="AB69" s="71" t="e">
        <f>IF(VLOOKUP(A69,Dividende_je_Aktie!A$3:AM$103,14,FALSE)&lt;&gt;"",IF(VLOOKUP(A69,Ergebnis_je_Aktie_verwässert!A$3:AK$103,14,FALSE)&lt;&gt;"",IF(VLOOKUP(A69,Ergebnis_je_Aktie_verwässert!A$3:AK$103,14,FALSE)&lt;=0,2,IF(VLOOKUP(A69,Dividende_je_Aktie!A$3:AM$103,14,FALSE)/VLOOKUP(A69,Ergebnis_je_Aktie_verwässert!A$3:AK$103,14,FALSE)&gt;=2,2,VLOOKUP(A69,Dividende_je_Aktie!A$3:AM$103,14,FALSE)/VLOOKUP(A69,Ergebnis_je_Aktie_verwässert!A$3:AK$103,14,FALSE))),""),"")</f>
        <v>#N/A</v>
      </c>
      <c r="AC69" s="71" t="e">
        <f>IF(VLOOKUP(A69,Dividende_je_Aktie!A$3:AM$103,15,FALSE)&lt;&gt;"",IF(VLOOKUP(A69,Ergebnis_je_Aktie_verwässert!A$3:AK$103,15,FALSE)&lt;&gt;"",IF(VLOOKUP(A69,Ergebnis_je_Aktie_verwässert!A$3:AK$103,15,FALSE)&lt;=0,2,IF(VLOOKUP(A69,Dividende_je_Aktie!A$3:AM$103,15,FALSE)/VLOOKUP(A69,Ergebnis_je_Aktie_verwässert!A$3:AK$103,15,FALSE)&gt;=2,2,VLOOKUP(A69,Dividende_je_Aktie!A$3:AM$103,15,FALSE)/VLOOKUP(A69,Ergebnis_je_Aktie_verwässert!A$3:AK$103,15,FALSE))),""),"")</f>
        <v>#N/A</v>
      </c>
      <c r="AD69" s="71" t="e">
        <f>IF(VLOOKUP(A69,Dividende_je_Aktie!A$3:AM$103,16,FALSE)&lt;&gt;"",IF(VLOOKUP(A69,Ergebnis_je_Aktie_verwässert!A$3:AK$103,16,FALSE)&lt;&gt;"",IF(VLOOKUP(A69,Ergebnis_je_Aktie_verwässert!A$3:AK$103,16,FALSE)&lt;=0,2,IF(VLOOKUP(A69,Dividende_je_Aktie!A$3:AM$103,16,FALSE)/VLOOKUP(A69,Ergebnis_je_Aktie_verwässert!A$3:AK$103,16,FALSE)&gt;=2,2,VLOOKUP(A69,Dividende_je_Aktie!A$3:AM$103,16,FALSE)/VLOOKUP(A69,Ergebnis_je_Aktie_verwässert!A$3:AK$103,16,FALSE))),""),"")</f>
        <v>#N/A</v>
      </c>
      <c r="AE69" s="71" t="e">
        <f>IF(VLOOKUP(A69,Dividende_je_Aktie!A$3:AM$103,17,FALSE)&lt;&gt;"",IF(VLOOKUP(A69,Ergebnis_je_Aktie_verwässert!A$3:AK$103,17,FALSE)&lt;&gt;"",IF(VLOOKUP(A69,Ergebnis_je_Aktie_verwässert!A$3:AK$103,17,FALSE)&lt;=0,2,IF(VLOOKUP(A69,Dividende_je_Aktie!A$3:AM$103,17,FALSE)/VLOOKUP(A69,Ergebnis_je_Aktie_verwässert!A$3:AK$103,17,FALSE)&gt;=2,2,VLOOKUP(A69,Dividende_je_Aktie!A$3:AM$103,17,FALSE)/VLOOKUP(A69,Ergebnis_je_Aktie_verwässert!A$3:AK$103,17,FALSE))),""),"")</f>
        <v>#N/A</v>
      </c>
      <c r="AF69" s="71" t="e">
        <f>IF(VLOOKUP(A69,Dividende_je_Aktie!A$3:AM$103,18,FALSE)&lt;&gt;"",IF(VLOOKUP(A69,Ergebnis_je_Aktie_verwässert!A$3:AK$103,18,FALSE)&lt;&gt;"",IF(VLOOKUP(A69,Ergebnis_je_Aktie_verwässert!A$3:AK$103,18,FALSE)&lt;=0,2,IF(VLOOKUP(A69,Dividende_je_Aktie!A$3:AM$103,18,FALSE)/VLOOKUP(A69,Ergebnis_je_Aktie_verwässert!A$3:AK$103,18,FALSE)&gt;=2,2,VLOOKUP(A69,Dividende_je_Aktie!A$3:AM$103,18,FALSE)/VLOOKUP(A69,Ergebnis_je_Aktie_verwässert!A$3:AK$103,18,FALSE))),""),"")</f>
        <v>#N/A</v>
      </c>
      <c r="AG69" s="105" t="e">
        <f t="shared" si="15"/>
        <v>#N/A</v>
      </c>
      <c r="AH69" s="4">
        <f t="shared" ca="1" si="16"/>
        <v>41899</v>
      </c>
      <c r="AI69" s="4">
        <f t="shared" ca="1" si="17"/>
        <v>-41539</v>
      </c>
      <c r="AJ69" s="4" t="e">
        <f t="shared" ca="1" si="18"/>
        <v>#NUM!</v>
      </c>
      <c r="AK69" s="10" t="e">
        <f t="shared" ca="1" si="19"/>
        <v>#N/A</v>
      </c>
      <c r="AL69" s="5" t="e">
        <f t="shared" si="20"/>
        <v>#N/A</v>
      </c>
    </row>
    <row r="70" spans="1:38">
      <c r="C70" s="60"/>
      <c r="D70" s="60"/>
      <c r="E70" s="60"/>
      <c r="F70" s="71" t="e">
        <f>IF(VLOOKUP(A70,Dividende_je_Aktie!A$3:AM$103,6,FALSE)&lt;&gt;"",IF(VLOOKUP(A70,Ergebnis_je_Aktie_verwässert!A$3:AK$103,6,FALSE)&lt;&gt;"",IF(VLOOKUP(A70,Ergebnis_je_Aktie_verwässert!A$3:AK$103,6,FALSE)&lt;=0,2,IF(VLOOKUP(A70,Dividende_je_Aktie!A$3:AM$103,6,FALSE)/VLOOKUP(A70,Ergebnis_je_Aktie_verwässert!A$3:AK$103,6,FALSE)&gt;=2,2,VLOOKUP(A70,Dividende_je_Aktie!A$3:AM$103,6,FALSE)/VLOOKUP(A70,Ergebnis_je_Aktie_verwässert!A$3:AK$103,6,FALSE))),""),"")</f>
        <v>#N/A</v>
      </c>
      <c r="G70" s="71" t="e">
        <f>IF(VLOOKUP(A70,Dividende_je_Aktie!A$3:AM$103,7,FALSE)&lt;&gt;"",IF(VLOOKUP(A70,Ergebnis_je_Aktie_verwässert!A$3:AK$103,7,FALSE)&lt;&gt;"",IF(VLOOKUP(A70,Ergebnis_je_Aktie_verwässert!A$3:AK$103,7,FALSE)&lt;=0,2,IF(VLOOKUP(A70,Dividende_je_Aktie!A$3:AM$103,7,FALSE)/VLOOKUP(A70,Ergebnis_je_Aktie_verwässert!A$3:AK$103,7,FALSE)&gt;=2,2,VLOOKUP(A70,Dividende_je_Aktie!A$3:AM$103,7,FALSE)/VLOOKUP(A70,Ergebnis_je_Aktie_verwässert!A$3:AK$103,7,FALSE))),""),"")</f>
        <v>#N/A</v>
      </c>
      <c r="H70" s="71" t="e">
        <f>IF(VLOOKUP(A70,Fiktive_Dividende!A$3:AM$103,14,FALSE)&lt;&gt;"",IF(VLOOKUP(A70,Ergebnis_je_Aktie_verwässert!A$3:AK$103,8,FALSE)&lt;&gt;"",IF(VLOOKUP(A70,Ergebnis_je_Aktie_verwässert!A$3:AK$103,8,FALSE)&lt;=0,2,IF(VLOOKUP(A70,Fiktive_Dividende!A$3:AM$103,14,FALSE)/VLOOKUP(A70,Ergebnis_je_Aktie_verwässert!A$3:AK$103,8,FALSE)&gt;=2,2,VLOOKUP(A70,Fiktive_Dividende!A$3:AM$103,14,FALSE)/VLOOKUP(A70,Ergebnis_je_Aktie_verwässert!A$3:AK$103,8,FALSE))),""),"")</f>
        <v>#N/A</v>
      </c>
      <c r="I70" s="71" t="e">
        <f>IF(VLOOKUP(A70,Fiktive_Dividende!A$3:AM$103,15,FALSE)&lt;&gt;"",IF(VLOOKUP(A70,Ergebnis_je_Aktie_verwässert!A$3:AK$103,9,FALSE)&lt;&gt;"",IF(VLOOKUP(A70,Ergebnis_je_Aktie_verwässert!A$3:AK$103,9,FALSE)&lt;=0,2,IF(VLOOKUP(A70,Fiktive_Dividende!A$3:AM$103,15,FALSE)/VLOOKUP(A70,Ergebnis_je_Aktie_verwässert!A$3:AK$103,9,FALSE)&gt;=2,2,VLOOKUP(A70,Fiktive_Dividende!A$3:AM$103,15,FALSE)/VLOOKUP(A70,Ergebnis_je_Aktie_verwässert!A$3:AK$103,9,FALSE))),""),"")</f>
        <v>#N/A</v>
      </c>
      <c r="J70" s="71" t="e">
        <f>IF(VLOOKUP(A70,Fiktive_Dividende!A$3:AM$103,16,FALSE)&lt;&gt;"",IF(VLOOKUP(A70,Ergebnis_je_Aktie_verwässert!A$3:AK$103,10,FALSE)&lt;&gt;"",IF(VLOOKUP(A70,Ergebnis_je_Aktie_verwässert!A$3:AK$103,10,FALSE)&lt;=0,2,IF(VLOOKUP(A70,Fiktive_Dividende!A$3:AM$103,16,FALSE)/VLOOKUP(A70,Ergebnis_je_Aktie_verwässert!A$3:AK$103,10,FALSE)&gt;=2,2,VLOOKUP(A70,Fiktive_Dividende!A$3:AM$103,16,FALSE)/VLOOKUP(A70,Ergebnis_je_Aktie_verwässert!A$3:AK$103,10,FALSE))),""),"")</f>
        <v>#N/A</v>
      </c>
      <c r="K70" s="71" t="e">
        <f>IF(VLOOKUP(A70,Fiktive_Dividende!A$3:AM$103,17,FALSE)&lt;&gt;"",IF(VLOOKUP(A70,Ergebnis_je_Aktie_verwässert!A$3:AK$103,11,FALSE)&lt;&gt;"",IF(VLOOKUP(A70,Ergebnis_je_Aktie_verwässert!A$3:AK$103,11,FALSE)&lt;=0,2,IF(VLOOKUP(A70,Fiktive_Dividende!A$3:AM$103,17,FALSE)/VLOOKUP(A70,Ergebnis_je_Aktie_verwässert!A$3:AK$103,11,FALSE)&gt;=2,2,VLOOKUP(A70,Fiktive_Dividende!A$3:AM$103,17,FALSE)/VLOOKUP(A70,Ergebnis_je_Aktie_verwässert!A$3:AK$103,11,FALSE))),""),"")</f>
        <v>#N/A</v>
      </c>
      <c r="L70" s="71" t="e">
        <f>IF(VLOOKUP(A70,Fiktive_Dividende!A$3:AM$103,18,FALSE)&lt;&gt;"",IF(VLOOKUP(A70,Ergebnis_je_Aktie_verwässert!A$3:AK$103,12,FALSE)&lt;&gt;"",IF(VLOOKUP(A70,Ergebnis_je_Aktie_verwässert!A$3:AK$103,12,FALSE)&lt;=0,2,IF(VLOOKUP(A70,Fiktive_Dividende!A$3:AM$103,18,FALSE)/VLOOKUP(A70,Ergebnis_je_Aktie_verwässert!A$3:AK$103,12,FALSE)&gt;=2,2,VLOOKUP(A70,Fiktive_Dividende!A$3:AM$103,18,FALSE)/VLOOKUP(A70,Ergebnis_je_Aktie_verwässert!A$3:AK$103,12,FALSE))),""),"")</f>
        <v>#N/A</v>
      </c>
      <c r="M70" s="71" t="e">
        <f>IF(VLOOKUP(A70,Fiktive_Dividende!A$3:AM$103,19,FALSE)&lt;&gt;"",IF(VLOOKUP(A70,Ergebnis_je_Aktie_verwässert!A$3:AK$103,13,FALSE)&lt;&gt;"",IF(VLOOKUP(A70,Ergebnis_je_Aktie_verwässert!A$3:AK$103,13,FALSE)&lt;=0,2,IF(VLOOKUP(A70,Fiktive_Dividende!A$3:AM$103,19,FALSE)/VLOOKUP(A70,Ergebnis_je_Aktie_verwässert!A$3:AK$103,13,FALSE)&gt;=2,2,VLOOKUP(A70,Fiktive_Dividende!A$3:AM$103,19,FALSE)/VLOOKUP(A70,Ergebnis_je_Aktie_verwässert!A$3:AK$103,13,FALSE))),""),"")</f>
        <v>#N/A</v>
      </c>
      <c r="N70" s="71" t="e">
        <f>IF(VLOOKUP(A70,Fiktive_Dividende!A$3:AM$103,20,FALSE)&lt;&gt;"",IF(VLOOKUP(A70,Ergebnis_je_Aktie_verwässert!A$3:AK$103,14,FALSE)&lt;&gt;"",IF(VLOOKUP(A70,Ergebnis_je_Aktie_verwässert!A$3:AK$103,14,FALSE)&lt;=0,2,IF(VLOOKUP(A70,Fiktive_Dividende!A$3:AM$103,20,FALSE)/VLOOKUP(A70,Ergebnis_je_Aktie_verwässert!A$3:AK$103,14,FALSE)&gt;=2,2,VLOOKUP(A70,Fiktive_Dividende!A$3:AM$103,20,FALSE)/VLOOKUP(A70,Ergebnis_je_Aktie_verwässert!A$3:AK$103,14,FALSE))),""),"")</f>
        <v>#N/A</v>
      </c>
      <c r="O70" s="71" t="e">
        <f>IF(VLOOKUP(A70,Fiktive_Dividende!A$3:AM$103,21,FALSE)&lt;&gt;"",IF(VLOOKUP(A70,Ergebnis_je_Aktie_verwässert!A$3:AK$103,15,FALSE)&lt;&gt;"",IF(VLOOKUP(A70,Ergebnis_je_Aktie_verwässert!A$3:AK$103,15,FALSE)&lt;=0,2,IF(VLOOKUP(A70,Fiktive_Dividende!A$3:AM$103,21,FALSE)/VLOOKUP(A70,Ergebnis_je_Aktie_verwässert!A$3:AK$103,15,FALSE)&gt;=2,2,VLOOKUP(A70,Fiktive_Dividende!A$3:AM$103,21,FALSE)/VLOOKUP(A70,Ergebnis_je_Aktie_verwässert!A$3:AK$103,15,FALSE))),""),"")</f>
        <v>#N/A</v>
      </c>
      <c r="P70" s="71" t="e">
        <f>IF(VLOOKUP(A70,Fiktive_Dividende!A$3:AM$103,22,FALSE)&lt;&gt;"",IF(VLOOKUP(A70,Ergebnis_je_Aktie_verwässert!A$3:AK$103,16,FALSE)&lt;&gt;"",IF(VLOOKUP(A70,Ergebnis_je_Aktie_verwässert!A$3:AK$103,16,FALSE)&lt;=0,2,IF(VLOOKUP(A70,Fiktive_Dividende!A$3:AM$103,22,FALSE)/VLOOKUP(A70,Ergebnis_je_Aktie_verwässert!A$3:AK$103,16,FALSE)&gt;=2,2,VLOOKUP(A70,Fiktive_Dividende!A$3:AM$103,22,FALSE)/VLOOKUP(A70,Ergebnis_je_Aktie_verwässert!A$3:AK$103,16,FALSE))),""),"")</f>
        <v>#N/A</v>
      </c>
      <c r="Q70" s="71" t="e">
        <f>IF(VLOOKUP(A70,Fiktive_Dividende!A$3:AM$103,23,FALSE)&lt;&gt;"",IF(VLOOKUP(A70,Ergebnis_je_Aktie_verwässert!A$3:AK$103,17,FALSE)&lt;&gt;"",IF(VLOOKUP(A70,Ergebnis_je_Aktie_verwässert!A$3:AK$103,17,FALSE)&lt;=0,2,IF(VLOOKUP(A70,Fiktive_Dividende!A$3:AM$103,23,FALSE)/VLOOKUP(A70,Ergebnis_je_Aktie_verwässert!A$3:AK$103,17,FALSE)&gt;=2,2,VLOOKUP(A70,Fiktive_Dividende!A$3:AM$103,23,FALSE)/VLOOKUP(A70,Ergebnis_je_Aktie_verwässert!A$3:AK$103,17,FALSE))),""),"")</f>
        <v>#N/A</v>
      </c>
      <c r="R70" s="71" t="e">
        <f>IF(VLOOKUP(A70,Fiktive_Dividende!A$3:AM$103,24,FALSE)&lt;&gt;"",IF(VLOOKUP(A70,Ergebnis_je_Aktie_verwässert!A$3:AK$103,18,FALSE)&lt;&gt;"",IF(VLOOKUP(A70,Ergebnis_je_Aktie_verwässert!A$3:AK$103,18,FALSE)&lt;=0,2,IF(VLOOKUP(A70,Fiktive_Dividende!A$3:AM$103,24,FALSE)/VLOOKUP(A70,Ergebnis_je_Aktie_verwässert!A$3:AK$103,18,FALSE)&gt;=2,2,VLOOKUP(A70,Fiktive_Dividende!A$3:AM$103,24,FALSE)/VLOOKUP(A70,Ergebnis_je_Aktie_verwässert!A$3:AK$103,18,FALSE))),""),"")</f>
        <v>#N/A</v>
      </c>
      <c r="S70" s="105" t="e">
        <f t="shared" si="14"/>
        <v>#N/A</v>
      </c>
      <c r="T70" s="71" t="e">
        <f>IF(VLOOKUP(A70,Dividende_je_Aktie!A$3:AM$103,6,FALSE)&lt;&gt;"",IF(VLOOKUP(A70,Ergebnis_je_Aktie_verwässert!A$3:AK$103,6,FALSE)&lt;&gt;"",IF(VLOOKUP(A70,Ergebnis_je_Aktie_verwässert!A$3:AK$103,6,FALSE)&lt;=0,2,IF(VLOOKUP(A70,Dividende_je_Aktie!A$3:AM$103,6,FALSE)/VLOOKUP(A70,Ergebnis_je_Aktie_verwässert!A$3:AK$103,6,FALSE)&gt;=2,2,VLOOKUP(A70,Dividende_je_Aktie!A$3:AM$103,6,FALSE)/VLOOKUP(A70,Ergebnis_je_Aktie_verwässert!A$3:AK$103,6,FALSE))),""),"")</f>
        <v>#N/A</v>
      </c>
      <c r="U70" s="71" t="e">
        <f>IF(VLOOKUP(A70,Dividende_je_Aktie!A$3:AM$103,7,FALSE)&lt;&gt;"",IF(VLOOKUP(A70,Ergebnis_je_Aktie_verwässert!A$3:AK$103,7,FALSE)&lt;&gt;"",IF(VLOOKUP(A70,Ergebnis_je_Aktie_verwässert!A$3:AK$103,7,FALSE)&lt;=0,2,IF(VLOOKUP(A70,Dividende_je_Aktie!A$3:AM$103,7,FALSE)/VLOOKUP(A70,Ergebnis_je_Aktie_verwässert!A$3:AK$103,7,FALSE)&gt;=2,2,VLOOKUP(A70,Dividende_je_Aktie!A$3:AM$103,7,FALSE)/VLOOKUP(A70,Ergebnis_je_Aktie_verwässert!A$3:AK$103,7,FALSE))),""),"")</f>
        <v>#N/A</v>
      </c>
      <c r="V70" s="71" t="e">
        <f>IF(VLOOKUP(A70,Dividende_je_Aktie!A$3:AM$103,8,FALSE)&lt;&gt;"",IF(VLOOKUP(A70,Ergebnis_je_Aktie_verwässert!A$3:AK$103,8,FALSE)&lt;&gt;"",IF(VLOOKUP(A70,Ergebnis_je_Aktie_verwässert!A$3:AK$103,8,FALSE)&lt;=0,2,IF(VLOOKUP(A70,Dividende_je_Aktie!A$3:AM$103,8,FALSE)/VLOOKUP(A70,Ergebnis_je_Aktie_verwässert!A$3:AK$103,8,FALSE)&gt;=2,2,VLOOKUP(A70,Dividende_je_Aktie!A$3:AM$103,8,FALSE)/VLOOKUP(A70,Ergebnis_je_Aktie_verwässert!A$3:AK$103,8,FALSE))),""),"")</f>
        <v>#N/A</v>
      </c>
      <c r="W70" s="71" t="e">
        <f>IF(VLOOKUP(A70,Dividende_je_Aktie!A$3:AM$103,9,FALSE)&lt;&gt;"",IF(VLOOKUP(A70,Ergebnis_je_Aktie_verwässert!A$3:AK$103,9,FALSE)&lt;&gt;"",IF(VLOOKUP(A70,Ergebnis_je_Aktie_verwässert!A$3:AK$103,9,FALSE)&lt;=0,2,IF(VLOOKUP(A70,Dividende_je_Aktie!A$3:AM$103,9,FALSE)/VLOOKUP(A70,Ergebnis_je_Aktie_verwässert!A$3:AK$103,9,FALSE)&gt;=2,2,VLOOKUP(A70,Dividende_je_Aktie!A$3:AM$103,9,FALSE)/VLOOKUP(A70,Ergebnis_je_Aktie_verwässert!A$3:AK$103,9,FALSE))),""),"")</f>
        <v>#N/A</v>
      </c>
      <c r="X70" s="71" t="e">
        <f>IF(VLOOKUP(A70,Dividende_je_Aktie!A$3:AM$103,10,FALSE)&lt;&gt;"",IF(VLOOKUP(A70,Ergebnis_je_Aktie_verwässert!A$3:AK$103,10,FALSE)&lt;&gt;"",IF(VLOOKUP(A70,Ergebnis_je_Aktie_verwässert!A$3:AK$103,10,FALSE)&lt;=0,2,IF(VLOOKUP(A70,Dividende_je_Aktie!A$3:AM$103,10,FALSE)/VLOOKUP(A70,Ergebnis_je_Aktie_verwässert!A$3:AK$103,10,FALSE)&gt;=2,2,VLOOKUP(A70,Dividende_je_Aktie!A$3:AM$103,10,FALSE)/VLOOKUP(A70,Ergebnis_je_Aktie_verwässert!A$3:AK$103,10,FALSE))),""),"")</f>
        <v>#N/A</v>
      </c>
      <c r="Y70" s="71" t="e">
        <f>IF(VLOOKUP(A70,Dividende_je_Aktie!A$3:AM$103,11,FALSE)&lt;&gt;"",IF(VLOOKUP(A70,Ergebnis_je_Aktie_verwässert!A$3:AK$103,11,FALSE)&lt;&gt;"",IF(VLOOKUP(A70,Ergebnis_je_Aktie_verwässert!A$3:AK$103,11,FALSE)&lt;=0,2,IF(VLOOKUP(A70,Dividende_je_Aktie!A$3:AM$103,11,FALSE)/VLOOKUP(A70,Ergebnis_je_Aktie_verwässert!A$3:AK$103,11,FALSE)&gt;=2,2,VLOOKUP(A70,Dividende_je_Aktie!A$3:AM$103,11,FALSE)/VLOOKUP(A70,Ergebnis_je_Aktie_verwässert!A$3:AK$103,11,FALSE))),""),"")</f>
        <v>#N/A</v>
      </c>
      <c r="Z70" s="71" t="e">
        <f>IF(VLOOKUP(A70,Dividende_je_Aktie!A$3:AM$103,12,FALSE)&lt;&gt;"",IF(VLOOKUP(A70,Ergebnis_je_Aktie_verwässert!A$3:AK$103,12,FALSE)&lt;&gt;"",IF(VLOOKUP(A70,Ergebnis_je_Aktie_verwässert!A$3:AK$103,12,FALSE)&lt;=0,2,IF(VLOOKUP(A70,Dividende_je_Aktie!A$3:AM$103,12,FALSE)/VLOOKUP(A70,Ergebnis_je_Aktie_verwässert!A$3:AK$103,12,FALSE)&gt;=2,2,VLOOKUP(A70,Dividende_je_Aktie!A$3:AM$103,12,FALSE)/VLOOKUP(A70,Ergebnis_je_Aktie_verwässert!A$3:AK$103,12,FALSE))),""),"")</f>
        <v>#N/A</v>
      </c>
      <c r="AA70" s="71" t="e">
        <f>IF(VLOOKUP(A70,Dividende_je_Aktie!A$3:AM$103,13,FALSE)&lt;&gt;"",IF(VLOOKUP(A70,Ergebnis_je_Aktie_verwässert!A$3:AK$103,13,FALSE)&lt;&gt;"",IF(VLOOKUP(A70,Ergebnis_je_Aktie_verwässert!A$3:AK$103,13,FALSE)&lt;=0,2,IF(VLOOKUP(A70,Dividende_je_Aktie!A$3:AM$103,13,FALSE)/VLOOKUP(A70,Ergebnis_je_Aktie_verwässert!A$3:AK$103,13,FALSE)&gt;=2,2,VLOOKUP(A70,Dividende_je_Aktie!A$3:AM$103,13,FALSE)/VLOOKUP(A70,Ergebnis_je_Aktie_verwässert!A$3:AK$103,13,FALSE))),""),"")</f>
        <v>#N/A</v>
      </c>
      <c r="AB70" s="71" t="e">
        <f>IF(VLOOKUP(A70,Dividende_je_Aktie!A$3:AM$103,14,FALSE)&lt;&gt;"",IF(VLOOKUP(A70,Ergebnis_je_Aktie_verwässert!A$3:AK$103,14,FALSE)&lt;&gt;"",IF(VLOOKUP(A70,Ergebnis_je_Aktie_verwässert!A$3:AK$103,14,FALSE)&lt;=0,2,IF(VLOOKUP(A70,Dividende_je_Aktie!A$3:AM$103,14,FALSE)/VLOOKUP(A70,Ergebnis_je_Aktie_verwässert!A$3:AK$103,14,FALSE)&gt;=2,2,VLOOKUP(A70,Dividende_je_Aktie!A$3:AM$103,14,FALSE)/VLOOKUP(A70,Ergebnis_je_Aktie_verwässert!A$3:AK$103,14,FALSE))),""),"")</f>
        <v>#N/A</v>
      </c>
      <c r="AC70" s="71" t="e">
        <f>IF(VLOOKUP(A70,Dividende_je_Aktie!A$3:AM$103,15,FALSE)&lt;&gt;"",IF(VLOOKUP(A70,Ergebnis_je_Aktie_verwässert!A$3:AK$103,15,FALSE)&lt;&gt;"",IF(VLOOKUP(A70,Ergebnis_je_Aktie_verwässert!A$3:AK$103,15,FALSE)&lt;=0,2,IF(VLOOKUP(A70,Dividende_je_Aktie!A$3:AM$103,15,FALSE)/VLOOKUP(A70,Ergebnis_je_Aktie_verwässert!A$3:AK$103,15,FALSE)&gt;=2,2,VLOOKUP(A70,Dividende_je_Aktie!A$3:AM$103,15,FALSE)/VLOOKUP(A70,Ergebnis_je_Aktie_verwässert!A$3:AK$103,15,FALSE))),""),"")</f>
        <v>#N/A</v>
      </c>
      <c r="AD70" s="71" t="e">
        <f>IF(VLOOKUP(A70,Dividende_je_Aktie!A$3:AM$103,16,FALSE)&lt;&gt;"",IF(VLOOKUP(A70,Ergebnis_je_Aktie_verwässert!A$3:AK$103,16,FALSE)&lt;&gt;"",IF(VLOOKUP(A70,Ergebnis_je_Aktie_verwässert!A$3:AK$103,16,FALSE)&lt;=0,2,IF(VLOOKUP(A70,Dividende_je_Aktie!A$3:AM$103,16,FALSE)/VLOOKUP(A70,Ergebnis_je_Aktie_verwässert!A$3:AK$103,16,FALSE)&gt;=2,2,VLOOKUP(A70,Dividende_je_Aktie!A$3:AM$103,16,FALSE)/VLOOKUP(A70,Ergebnis_je_Aktie_verwässert!A$3:AK$103,16,FALSE))),""),"")</f>
        <v>#N/A</v>
      </c>
      <c r="AE70" s="71" t="e">
        <f>IF(VLOOKUP(A70,Dividende_je_Aktie!A$3:AM$103,17,FALSE)&lt;&gt;"",IF(VLOOKUP(A70,Ergebnis_je_Aktie_verwässert!A$3:AK$103,17,FALSE)&lt;&gt;"",IF(VLOOKUP(A70,Ergebnis_je_Aktie_verwässert!A$3:AK$103,17,FALSE)&lt;=0,2,IF(VLOOKUP(A70,Dividende_je_Aktie!A$3:AM$103,17,FALSE)/VLOOKUP(A70,Ergebnis_je_Aktie_verwässert!A$3:AK$103,17,FALSE)&gt;=2,2,VLOOKUP(A70,Dividende_je_Aktie!A$3:AM$103,17,FALSE)/VLOOKUP(A70,Ergebnis_je_Aktie_verwässert!A$3:AK$103,17,FALSE))),""),"")</f>
        <v>#N/A</v>
      </c>
      <c r="AF70" s="71" t="e">
        <f>IF(VLOOKUP(A70,Dividende_je_Aktie!A$3:AM$103,18,FALSE)&lt;&gt;"",IF(VLOOKUP(A70,Ergebnis_je_Aktie_verwässert!A$3:AK$103,18,FALSE)&lt;&gt;"",IF(VLOOKUP(A70,Ergebnis_je_Aktie_verwässert!A$3:AK$103,18,FALSE)&lt;=0,2,IF(VLOOKUP(A70,Dividende_je_Aktie!A$3:AM$103,18,FALSE)/VLOOKUP(A70,Ergebnis_je_Aktie_verwässert!A$3:AK$103,18,FALSE)&gt;=2,2,VLOOKUP(A70,Dividende_je_Aktie!A$3:AM$103,18,FALSE)/VLOOKUP(A70,Ergebnis_je_Aktie_verwässert!A$3:AK$103,18,FALSE))),""),"")</f>
        <v>#N/A</v>
      </c>
      <c r="AG70" s="105" t="e">
        <f t="shared" si="15"/>
        <v>#N/A</v>
      </c>
      <c r="AH70" s="4">
        <f t="shared" ca="1" si="16"/>
        <v>41899</v>
      </c>
      <c r="AI70" s="4">
        <f t="shared" ca="1" si="17"/>
        <v>-41539</v>
      </c>
      <c r="AJ70" s="4" t="e">
        <f t="shared" ca="1" si="18"/>
        <v>#NUM!</v>
      </c>
      <c r="AK70" s="10" t="e">
        <f t="shared" ca="1" si="19"/>
        <v>#N/A</v>
      </c>
      <c r="AL70" s="5" t="e">
        <f t="shared" si="20"/>
        <v>#N/A</v>
      </c>
    </row>
    <row r="71" spans="1:38">
      <c r="C71" s="60"/>
      <c r="D71" s="60"/>
      <c r="E71" s="60"/>
      <c r="F71" s="71" t="e">
        <f>IF(VLOOKUP(A71,Dividende_je_Aktie!A$3:AM$103,6,FALSE)&lt;&gt;"",IF(VLOOKUP(A71,Ergebnis_je_Aktie_verwässert!A$3:AK$103,6,FALSE)&lt;&gt;"",IF(VLOOKUP(A71,Ergebnis_je_Aktie_verwässert!A$3:AK$103,6,FALSE)&lt;=0,2,IF(VLOOKUP(A71,Dividende_je_Aktie!A$3:AM$103,6,FALSE)/VLOOKUP(A71,Ergebnis_je_Aktie_verwässert!A$3:AK$103,6,FALSE)&gt;=2,2,VLOOKUP(A71,Dividende_je_Aktie!A$3:AM$103,6,FALSE)/VLOOKUP(A71,Ergebnis_je_Aktie_verwässert!A$3:AK$103,6,FALSE))),""),"")</f>
        <v>#N/A</v>
      </c>
      <c r="G71" s="71" t="e">
        <f>IF(VLOOKUP(A71,Dividende_je_Aktie!A$3:AM$103,7,FALSE)&lt;&gt;"",IF(VLOOKUP(A71,Ergebnis_je_Aktie_verwässert!A$3:AK$103,7,FALSE)&lt;&gt;"",IF(VLOOKUP(A71,Ergebnis_je_Aktie_verwässert!A$3:AK$103,7,FALSE)&lt;=0,2,IF(VLOOKUP(A71,Dividende_je_Aktie!A$3:AM$103,7,FALSE)/VLOOKUP(A71,Ergebnis_je_Aktie_verwässert!A$3:AK$103,7,FALSE)&gt;=2,2,VLOOKUP(A71,Dividende_je_Aktie!A$3:AM$103,7,FALSE)/VLOOKUP(A71,Ergebnis_je_Aktie_verwässert!A$3:AK$103,7,FALSE))),""),"")</f>
        <v>#N/A</v>
      </c>
      <c r="H71" s="71" t="e">
        <f>IF(VLOOKUP(A71,Fiktive_Dividende!A$3:AM$103,14,FALSE)&lt;&gt;"",IF(VLOOKUP(A71,Ergebnis_je_Aktie_verwässert!A$3:AK$103,8,FALSE)&lt;&gt;"",IF(VLOOKUP(A71,Ergebnis_je_Aktie_verwässert!A$3:AK$103,8,FALSE)&lt;=0,2,IF(VLOOKUP(A71,Fiktive_Dividende!A$3:AM$103,14,FALSE)/VLOOKUP(A71,Ergebnis_je_Aktie_verwässert!A$3:AK$103,8,FALSE)&gt;=2,2,VLOOKUP(A71,Fiktive_Dividende!A$3:AM$103,14,FALSE)/VLOOKUP(A71,Ergebnis_je_Aktie_verwässert!A$3:AK$103,8,FALSE))),""),"")</f>
        <v>#N/A</v>
      </c>
      <c r="I71" s="71" t="e">
        <f>IF(VLOOKUP(A71,Fiktive_Dividende!A$3:AM$103,15,FALSE)&lt;&gt;"",IF(VLOOKUP(A71,Ergebnis_je_Aktie_verwässert!A$3:AK$103,9,FALSE)&lt;&gt;"",IF(VLOOKUP(A71,Ergebnis_je_Aktie_verwässert!A$3:AK$103,9,FALSE)&lt;=0,2,IF(VLOOKUP(A71,Fiktive_Dividende!A$3:AM$103,15,FALSE)/VLOOKUP(A71,Ergebnis_je_Aktie_verwässert!A$3:AK$103,9,FALSE)&gt;=2,2,VLOOKUP(A71,Fiktive_Dividende!A$3:AM$103,15,FALSE)/VLOOKUP(A71,Ergebnis_je_Aktie_verwässert!A$3:AK$103,9,FALSE))),""),"")</f>
        <v>#N/A</v>
      </c>
      <c r="J71" s="71" t="e">
        <f>IF(VLOOKUP(A71,Fiktive_Dividende!A$3:AM$103,16,FALSE)&lt;&gt;"",IF(VLOOKUP(A71,Ergebnis_je_Aktie_verwässert!A$3:AK$103,10,FALSE)&lt;&gt;"",IF(VLOOKUP(A71,Ergebnis_je_Aktie_verwässert!A$3:AK$103,10,FALSE)&lt;=0,2,IF(VLOOKUP(A71,Fiktive_Dividende!A$3:AM$103,16,FALSE)/VLOOKUP(A71,Ergebnis_je_Aktie_verwässert!A$3:AK$103,10,FALSE)&gt;=2,2,VLOOKUP(A71,Fiktive_Dividende!A$3:AM$103,16,FALSE)/VLOOKUP(A71,Ergebnis_je_Aktie_verwässert!A$3:AK$103,10,FALSE))),""),"")</f>
        <v>#N/A</v>
      </c>
      <c r="K71" s="71" t="e">
        <f>IF(VLOOKUP(A71,Fiktive_Dividende!A$3:AM$103,17,FALSE)&lt;&gt;"",IF(VLOOKUP(A71,Ergebnis_je_Aktie_verwässert!A$3:AK$103,11,FALSE)&lt;&gt;"",IF(VLOOKUP(A71,Ergebnis_je_Aktie_verwässert!A$3:AK$103,11,FALSE)&lt;=0,2,IF(VLOOKUP(A71,Fiktive_Dividende!A$3:AM$103,17,FALSE)/VLOOKUP(A71,Ergebnis_je_Aktie_verwässert!A$3:AK$103,11,FALSE)&gt;=2,2,VLOOKUP(A71,Fiktive_Dividende!A$3:AM$103,17,FALSE)/VLOOKUP(A71,Ergebnis_je_Aktie_verwässert!A$3:AK$103,11,FALSE))),""),"")</f>
        <v>#N/A</v>
      </c>
      <c r="L71" s="71" t="e">
        <f>IF(VLOOKUP(A71,Fiktive_Dividende!A$3:AM$103,18,FALSE)&lt;&gt;"",IF(VLOOKUP(A71,Ergebnis_je_Aktie_verwässert!A$3:AK$103,12,FALSE)&lt;&gt;"",IF(VLOOKUP(A71,Ergebnis_je_Aktie_verwässert!A$3:AK$103,12,FALSE)&lt;=0,2,IF(VLOOKUP(A71,Fiktive_Dividende!A$3:AM$103,18,FALSE)/VLOOKUP(A71,Ergebnis_je_Aktie_verwässert!A$3:AK$103,12,FALSE)&gt;=2,2,VLOOKUP(A71,Fiktive_Dividende!A$3:AM$103,18,FALSE)/VLOOKUP(A71,Ergebnis_je_Aktie_verwässert!A$3:AK$103,12,FALSE))),""),"")</f>
        <v>#N/A</v>
      </c>
      <c r="M71" s="71" t="e">
        <f>IF(VLOOKUP(A71,Fiktive_Dividende!A$3:AM$103,19,FALSE)&lt;&gt;"",IF(VLOOKUP(A71,Ergebnis_je_Aktie_verwässert!A$3:AK$103,13,FALSE)&lt;&gt;"",IF(VLOOKUP(A71,Ergebnis_je_Aktie_verwässert!A$3:AK$103,13,FALSE)&lt;=0,2,IF(VLOOKUP(A71,Fiktive_Dividende!A$3:AM$103,19,FALSE)/VLOOKUP(A71,Ergebnis_je_Aktie_verwässert!A$3:AK$103,13,FALSE)&gt;=2,2,VLOOKUP(A71,Fiktive_Dividende!A$3:AM$103,19,FALSE)/VLOOKUP(A71,Ergebnis_je_Aktie_verwässert!A$3:AK$103,13,FALSE))),""),"")</f>
        <v>#N/A</v>
      </c>
      <c r="N71" s="71" t="e">
        <f>IF(VLOOKUP(A71,Fiktive_Dividende!A$3:AM$103,20,FALSE)&lt;&gt;"",IF(VLOOKUP(A71,Ergebnis_je_Aktie_verwässert!A$3:AK$103,14,FALSE)&lt;&gt;"",IF(VLOOKUP(A71,Ergebnis_je_Aktie_verwässert!A$3:AK$103,14,FALSE)&lt;=0,2,IF(VLOOKUP(A71,Fiktive_Dividende!A$3:AM$103,20,FALSE)/VLOOKUP(A71,Ergebnis_je_Aktie_verwässert!A$3:AK$103,14,FALSE)&gt;=2,2,VLOOKUP(A71,Fiktive_Dividende!A$3:AM$103,20,FALSE)/VLOOKUP(A71,Ergebnis_je_Aktie_verwässert!A$3:AK$103,14,FALSE))),""),"")</f>
        <v>#N/A</v>
      </c>
      <c r="O71" s="71" t="e">
        <f>IF(VLOOKUP(A71,Fiktive_Dividende!A$3:AM$103,21,FALSE)&lt;&gt;"",IF(VLOOKUP(A71,Ergebnis_je_Aktie_verwässert!A$3:AK$103,15,FALSE)&lt;&gt;"",IF(VLOOKUP(A71,Ergebnis_je_Aktie_verwässert!A$3:AK$103,15,FALSE)&lt;=0,2,IF(VLOOKUP(A71,Fiktive_Dividende!A$3:AM$103,21,FALSE)/VLOOKUP(A71,Ergebnis_je_Aktie_verwässert!A$3:AK$103,15,FALSE)&gt;=2,2,VLOOKUP(A71,Fiktive_Dividende!A$3:AM$103,21,FALSE)/VLOOKUP(A71,Ergebnis_je_Aktie_verwässert!A$3:AK$103,15,FALSE))),""),"")</f>
        <v>#N/A</v>
      </c>
      <c r="P71" s="71" t="e">
        <f>IF(VLOOKUP(A71,Fiktive_Dividende!A$3:AM$103,22,FALSE)&lt;&gt;"",IF(VLOOKUP(A71,Ergebnis_je_Aktie_verwässert!A$3:AK$103,16,FALSE)&lt;&gt;"",IF(VLOOKUP(A71,Ergebnis_je_Aktie_verwässert!A$3:AK$103,16,FALSE)&lt;=0,2,IF(VLOOKUP(A71,Fiktive_Dividende!A$3:AM$103,22,FALSE)/VLOOKUP(A71,Ergebnis_je_Aktie_verwässert!A$3:AK$103,16,FALSE)&gt;=2,2,VLOOKUP(A71,Fiktive_Dividende!A$3:AM$103,22,FALSE)/VLOOKUP(A71,Ergebnis_je_Aktie_verwässert!A$3:AK$103,16,FALSE))),""),"")</f>
        <v>#N/A</v>
      </c>
      <c r="Q71" s="71" t="e">
        <f>IF(VLOOKUP(A71,Fiktive_Dividende!A$3:AM$103,23,FALSE)&lt;&gt;"",IF(VLOOKUP(A71,Ergebnis_je_Aktie_verwässert!A$3:AK$103,17,FALSE)&lt;&gt;"",IF(VLOOKUP(A71,Ergebnis_je_Aktie_verwässert!A$3:AK$103,17,FALSE)&lt;=0,2,IF(VLOOKUP(A71,Fiktive_Dividende!A$3:AM$103,23,FALSE)/VLOOKUP(A71,Ergebnis_je_Aktie_verwässert!A$3:AK$103,17,FALSE)&gt;=2,2,VLOOKUP(A71,Fiktive_Dividende!A$3:AM$103,23,FALSE)/VLOOKUP(A71,Ergebnis_je_Aktie_verwässert!A$3:AK$103,17,FALSE))),""),"")</f>
        <v>#N/A</v>
      </c>
      <c r="R71" s="71" t="e">
        <f>IF(VLOOKUP(A71,Fiktive_Dividende!A$3:AM$103,24,FALSE)&lt;&gt;"",IF(VLOOKUP(A71,Ergebnis_je_Aktie_verwässert!A$3:AK$103,18,FALSE)&lt;&gt;"",IF(VLOOKUP(A71,Ergebnis_je_Aktie_verwässert!A$3:AK$103,18,FALSE)&lt;=0,2,IF(VLOOKUP(A71,Fiktive_Dividende!A$3:AM$103,24,FALSE)/VLOOKUP(A71,Ergebnis_je_Aktie_verwässert!A$3:AK$103,18,FALSE)&gt;=2,2,VLOOKUP(A71,Fiktive_Dividende!A$3:AM$103,24,FALSE)/VLOOKUP(A71,Ergebnis_je_Aktie_verwässert!A$3:AK$103,18,FALSE))),""),"")</f>
        <v>#N/A</v>
      </c>
      <c r="S71" s="105" t="e">
        <f t="shared" si="14"/>
        <v>#N/A</v>
      </c>
      <c r="T71" s="71" t="e">
        <f>IF(VLOOKUP(A71,Dividende_je_Aktie!A$3:AM$103,6,FALSE)&lt;&gt;"",IF(VLOOKUP(A71,Ergebnis_je_Aktie_verwässert!A$3:AK$103,6,FALSE)&lt;&gt;"",IF(VLOOKUP(A71,Ergebnis_je_Aktie_verwässert!A$3:AK$103,6,FALSE)&lt;=0,2,IF(VLOOKUP(A71,Dividende_je_Aktie!A$3:AM$103,6,FALSE)/VLOOKUP(A71,Ergebnis_je_Aktie_verwässert!A$3:AK$103,6,FALSE)&gt;=2,2,VLOOKUP(A71,Dividende_je_Aktie!A$3:AM$103,6,FALSE)/VLOOKUP(A71,Ergebnis_je_Aktie_verwässert!A$3:AK$103,6,FALSE))),""),"")</f>
        <v>#N/A</v>
      </c>
      <c r="U71" s="71" t="e">
        <f>IF(VLOOKUP(A71,Dividende_je_Aktie!A$3:AM$103,7,FALSE)&lt;&gt;"",IF(VLOOKUP(A71,Ergebnis_je_Aktie_verwässert!A$3:AK$103,7,FALSE)&lt;&gt;"",IF(VLOOKUP(A71,Ergebnis_je_Aktie_verwässert!A$3:AK$103,7,FALSE)&lt;=0,2,IF(VLOOKUP(A71,Dividende_je_Aktie!A$3:AM$103,7,FALSE)/VLOOKUP(A71,Ergebnis_je_Aktie_verwässert!A$3:AK$103,7,FALSE)&gt;=2,2,VLOOKUP(A71,Dividende_je_Aktie!A$3:AM$103,7,FALSE)/VLOOKUP(A71,Ergebnis_je_Aktie_verwässert!A$3:AK$103,7,FALSE))),""),"")</f>
        <v>#N/A</v>
      </c>
      <c r="V71" s="71" t="e">
        <f>IF(VLOOKUP(A71,Dividende_je_Aktie!A$3:AM$103,8,FALSE)&lt;&gt;"",IF(VLOOKUP(A71,Ergebnis_je_Aktie_verwässert!A$3:AK$103,8,FALSE)&lt;&gt;"",IF(VLOOKUP(A71,Ergebnis_je_Aktie_verwässert!A$3:AK$103,8,FALSE)&lt;=0,2,IF(VLOOKUP(A71,Dividende_je_Aktie!A$3:AM$103,8,FALSE)/VLOOKUP(A71,Ergebnis_je_Aktie_verwässert!A$3:AK$103,8,FALSE)&gt;=2,2,VLOOKUP(A71,Dividende_je_Aktie!A$3:AM$103,8,FALSE)/VLOOKUP(A71,Ergebnis_je_Aktie_verwässert!A$3:AK$103,8,FALSE))),""),"")</f>
        <v>#N/A</v>
      </c>
      <c r="W71" s="71" t="e">
        <f>IF(VLOOKUP(A71,Dividende_je_Aktie!A$3:AM$103,9,FALSE)&lt;&gt;"",IF(VLOOKUP(A71,Ergebnis_je_Aktie_verwässert!A$3:AK$103,9,FALSE)&lt;&gt;"",IF(VLOOKUP(A71,Ergebnis_je_Aktie_verwässert!A$3:AK$103,9,FALSE)&lt;=0,2,IF(VLOOKUP(A71,Dividende_je_Aktie!A$3:AM$103,9,FALSE)/VLOOKUP(A71,Ergebnis_je_Aktie_verwässert!A$3:AK$103,9,FALSE)&gt;=2,2,VLOOKUP(A71,Dividende_je_Aktie!A$3:AM$103,9,FALSE)/VLOOKUP(A71,Ergebnis_je_Aktie_verwässert!A$3:AK$103,9,FALSE))),""),"")</f>
        <v>#N/A</v>
      </c>
      <c r="X71" s="71" t="e">
        <f>IF(VLOOKUP(A71,Dividende_je_Aktie!A$3:AM$103,10,FALSE)&lt;&gt;"",IF(VLOOKUP(A71,Ergebnis_je_Aktie_verwässert!A$3:AK$103,10,FALSE)&lt;&gt;"",IF(VLOOKUP(A71,Ergebnis_je_Aktie_verwässert!A$3:AK$103,10,FALSE)&lt;=0,2,IF(VLOOKUP(A71,Dividende_je_Aktie!A$3:AM$103,10,FALSE)/VLOOKUP(A71,Ergebnis_je_Aktie_verwässert!A$3:AK$103,10,FALSE)&gt;=2,2,VLOOKUP(A71,Dividende_je_Aktie!A$3:AM$103,10,FALSE)/VLOOKUP(A71,Ergebnis_je_Aktie_verwässert!A$3:AK$103,10,FALSE))),""),"")</f>
        <v>#N/A</v>
      </c>
      <c r="Y71" s="71" t="e">
        <f>IF(VLOOKUP(A71,Dividende_je_Aktie!A$3:AM$103,11,FALSE)&lt;&gt;"",IF(VLOOKUP(A71,Ergebnis_je_Aktie_verwässert!A$3:AK$103,11,FALSE)&lt;&gt;"",IF(VLOOKUP(A71,Ergebnis_je_Aktie_verwässert!A$3:AK$103,11,FALSE)&lt;=0,2,IF(VLOOKUP(A71,Dividende_je_Aktie!A$3:AM$103,11,FALSE)/VLOOKUP(A71,Ergebnis_je_Aktie_verwässert!A$3:AK$103,11,FALSE)&gt;=2,2,VLOOKUP(A71,Dividende_je_Aktie!A$3:AM$103,11,FALSE)/VLOOKUP(A71,Ergebnis_je_Aktie_verwässert!A$3:AK$103,11,FALSE))),""),"")</f>
        <v>#N/A</v>
      </c>
      <c r="Z71" s="71" t="e">
        <f>IF(VLOOKUP(A71,Dividende_je_Aktie!A$3:AM$103,12,FALSE)&lt;&gt;"",IF(VLOOKUP(A71,Ergebnis_je_Aktie_verwässert!A$3:AK$103,12,FALSE)&lt;&gt;"",IF(VLOOKUP(A71,Ergebnis_je_Aktie_verwässert!A$3:AK$103,12,FALSE)&lt;=0,2,IF(VLOOKUP(A71,Dividende_je_Aktie!A$3:AM$103,12,FALSE)/VLOOKUP(A71,Ergebnis_je_Aktie_verwässert!A$3:AK$103,12,FALSE)&gt;=2,2,VLOOKUP(A71,Dividende_je_Aktie!A$3:AM$103,12,FALSE)/VLOOKUP(A71,Ergebnis_je_Aktie_verwässert!A$3:AK$103,12,FALSE))),""),"")</f>
        <v>#N/A</v>
      </c>
      <c r="AA71" s="71" t="e">
        <f>IF(VLOOKUP(A71,Dividende_je_Aktie!A$3:AM$103,13,FALSE)&lt;&gt;"",IF(VLOOKUP(A71,Ergebnis_je_Aktie_verwässert!A$3:AK$103,13,FALSE)&lt;&gt;"",IF(VLOOKUP(A71,Ergebnis_je_Aktie_verwässert!A$3:AK$103,13,FALSE)&lt;=0,2,IF(VLOOKUP(A71,Dividende_je_Aktie!A$3:AM$103,13,FALSE)/VLOOKUP(A71,Ergebnis_je_Aktie_verwässert!A$3:AK$103,13,FALSE)&gt;=2,2,VLOOKUP(A71,Dividende_je_Aktie!A$3:AM$103,13,FALSE)/VLOOKUP(A71,Ergebnis_je_Aktie_verwässert!A$3:AK$103,13,FALSE))),""),"")</f>
        <v>#N/A</v>
      </c>
      <c r="AB71" s="71" t="e">
        <f>IF(VLOOKUP(A71,Dividende_je_Aktie!A$3:AM$103,14,FALSE)&lt;&gt;"",IF(VLOOKUP(A71,Ergebnis_je_Aktie_verwässert!A$3:AK$103,14,FALSE)&lt;&gt;"",IF(VLOOKUP(A71,Ergebnis_je_Aktie_verwässert!A$3:AK$103,14,FALSE)&lt;=0,2,IF(VLOOKUP(A71,Dividende_je_Aktie!A$3:AM$103,14,FALSE)/VLOOKUP(A71,Ergebnis_je_Aktie_verwässert!A$3:AK$103,14,FALSE)&gt;=2,2,VLOOKUP(A71,Dividende_je_Aktie!A$3:AM$103,14,FALSE)/VLOOKUP(A71,Ergebnis_je_Aktie_verwässert!A$3:AK$103,14,FALSE))),""),"")</f>
        <v>#N/A</v>
      </c>
      <c r="AC71" s="71" t="e">
        <f>IF(VLOOKUP(A71,Dividende_je_Aktie!A$3:AM$103,15,FALSE)&lt;&gt;"",IF(VLOOKUP(A71,Ergebnis_je_Aktie_verwässert!A$3:AK$103,15,FALSE)&lt;&gt;"",IF(VLOOKUP(A71,Ergebnis_je_Aktie_verwässert!A$3:AK$103,15,FALSE)&lt;=0,2,IF(VLOOKUP(A71,Dividende_je_Aktie!A$3:AM$103,15,FALSE)/VLOOKUP(A71,Ergebnis_je_Aktie_verwässert!A$3:AK$103,15,FALSE)&gt;=2,2,VLOOKUP(A71,Dividende_je_Aktie!A$3:AM$103,15,FALSE)/VLOOKUP(A71,Ergebnis_je_Aktie_verwässert!A$3:AK$103,15,FALSE))),""),"")</f>
        <v>#N/A</v>
      </c>
      <c r="AD71" s="71" t="e">
        <f>IF(VLOOKUP(A71,Dividende_je_Aktie!A$3:AM$103,16,FALSE)&lt;&gt;"",IF(VLOOKUP(A71,Ergebnis_je_Aktie_verwässert!A$3:AK$103,16,FALSE)&lt;&gt;"",IF(VLOOKUP(A71,Ergebnis_je_Aktie_verwässert!A$3:AK$103,16,FALSE)&lt;=0,2,IF(VLOOKUP(A71,Dividende_je_Aktie!A$3:AM$103,16,FALSE)/VLOOKUP(A71,Ergebnis_je_Aktie_verwässert!A$3:AK$103,16,FALSE)&gt;=2,2,VLOOKUP(A71,Dividende_je_Aktie!A$3:AM$103,16,FALSE)/VLOOKUP(A71,Ergebnis_je_Aktie_verwässert!A$3:AK$103,16,FALSE))),""),"")</f>
        <v>#N/A</v>
      </c>
      <c r="AE71" s="71" t="e">
        <f>IF(VLOOKUP(A71,Dividende_je_Aktie!A$3:AM$103,17,FALSE)&lt;&gt;"",IF(VLOOKUP(A71,Ergebnis_je_Aktie_verwässert!A$3:AK$103,17,FALSE)&lt;&gt;"",IF(VLOOKUP(A71,Ergebnis_je_Aktie_verwässert!A$3:AK$103,17,FALSE)&lt;=0,2,IF(VLOOKUP(A71,Dividende_je_Aktie!A$3:AM$103,17,FALSE)/VLOOKUP(A71,Ergebnis_je_Aktie_verwässert!A$3:AK$103,17,FALSE)&gt;=2,2,VLOOKUP(A71,Dividende_je_Aktie!A$3:AM$103,17,FALSE)/VLOOKUP(A71,Ergebnis_je_Aktie_verwässert!A$3:AK$103,17,FALSE))),""),"")</f>
        <v>#N/A</v>
      </c>
      <c r="AF71" s="71" t="e">
        <f>IF(VLOOKUP(A71,Dividende_je_Aktie!A$3:AM$103,18,FALSE)&lt;&gt;"",IF(VLOOKUP(A71,Ergebnis_je_Aktie_verwässert!A$3:AK$103,18,FALSE)&lt;&gt;"",IF(VLOOKUP(A71,Ergebnis_je_Aktie_verwässert!A$3:AK$103,18,FALSE)&lt;=0,2,IF(VLOOKUP(A71,Dividende_je_Aktie!A$3:AM$103,18,FALSE)/VLOOKUP(A71,Ergebnis_je_Aktie_verwässert!A$3:AK$103,18,FALSE)&gt;=2,2,VLOOKUP(A71,Dividende_je_Aktie!A$3:AM$103,18,FALSE)/VLOOKUP(A71,Ergebnis_je_Aktie_verwässert!A$3:AK$103,18,FALSE))),""),"")</f>
        <v>#N/A</v>
      </c>
      <c r="AG71" s="105" t="e">
        <f t="shared" si="15"/>
        <v>#N/A</v>
      </c>
      <c r="AH71" s="4">
        <f t="shared" ca="1" si="16"/>
        <v>41899</v>
      </c>
      <c r="AI71" s="4">
        <f t="shared" ca="1" si="17"/>
        <v>-41539</v>
      </c>
      <c r="AJ71" s="4" t="e">
        <f t="shared" ca="1" si="18"/>
        <v>#NUM!</v>
      </c>
      <c r="AK71" s="10" t="e">
        <f t="shared" ca="1" si="19"/>
        <v>#N/A</v>
      </c>
      <c r="AL71" s="5" t="e">
        <f t="shared" si="20"/>
        <v>#N/A</v>
      </c>
    </row>
    <row r="72" spans="1:38">
      <c r="C72" s="60"/>
      <c r="D72" s="60"/>
      <c r="E72" s="60"/>
      <c r="F72" s="71" t="e">
        <f>IF(VLOOKUP(A72,Dividende_je_Aktie!A$3:AM$103,6,FALSE)&lt;&gt;"",IF(VLOOKUP(A72,Ergebnis_je_Aktie_verwässert!A$3:AK$103,6,FALSE)&lt;&gt;"",IF(VLOOKUP(A72,Ergebnis_je_Aktie_verwässert!A$3:AK$103,6,FALSE)&lt;=0,2,IF(VLOOKUP(A72,Dividende_je_Aktie!A$3:AM$103,6,FALSE)/VLOOKUP(A72,Ergebnis_je_Aktie_verwässert!A$3:AK$103,6,FALSE)&gt;=2,2,VLOOKUP(A72,Dividende_je_Aktie!A$3:AM$103,6,FALSE)/VLOOKUP(A72,Ergebnis_je_Aktie_verwässert!A$3:AK$103,6,FALSE))),""),"")</f>
        <v>#N/A</v>
      </c>
      <c r="G72" s="71" t="e">
        <f>IF(VLOOKUP(A72,Dividende_je_Aktie!A$3:AM$103,7,FALSE)&lt;&gt;"",IF(VLOOKUP(A72,Ergebnis_je_Aktie_verwässert!A$3:AK$103,7,FALSE)&lt;&gt;"",IF(VLOOKUP(A72,Ergebnis_je_Aktie_verwässert!A$3:AK$103,7,FALSE)&lt;=0,2,IF(VLOOKUP(A72,Dividende_je_Aktie!A$3:AM$103,7,FALSE)/VLOOKUP(A72,Ergebnis_je_Aktie_verwässert!A$3:AK$103,7,FALSE)&gt;=2,2,VLOOKUP(A72,Dividende_je_Aktie!A$3:AM$103,7,FALSE)/VLOOKUP(A72,Ergebnis_je_Aktie_verwässert!A$3:AK$103,7,FALSE))),""),"")</f>
        <v>#N/A</v>
      </c>
      <c r="H72" s="71" t="e">
        <f>IF(VLOOKUP(A72,Fiktive_Dividende!A$3:AM$103,14,FALSE)&lt;&gt;"",IF(VLOOKUP(A72,Ergebnis_je_Aktie_verwässert!A$3:AK$103,8,FALSE)&lt;&gt;"",IF(VLOOKUP(A72,Ergebnis_je_Aktie_verwässert!A$3:AK$103,8,FALSE)&lt;=0,2,IF(VLOOKUP(A72,Fiktive_Dividende!A$3:AM$103,14,FALSE)/VLOOKUP(A72,Ergebnis_je_Aktie_verwässert!A$3:AK$103,8,FALSE)&gt;=2,2,VLOOKUP(A72,Fiktive_Dividende!A$3:AM$103,14,FALSE)/VLOOKUP(A72,Ergebnis_je_Aktie_verwässert!A$3:AK$103,8,FALSE))),""),"")</f>
        <v>#N/A</v>
      </c>
      <c r="I72" s="71" t="e">
        <f>IF(VLOOKUP(A72,Fiktive_Dividende!A$3:AM$103,15,FALSE)&lt;&gt;"",IF(VLOOKUP(A72,Ergebnis_je_Aktie_verwässert!A$3:AK$103,9,FALSE)&lt;&gt;"",IF(VLOOKUP(A72,Ergebnis_je_Aktie_verwässert!A$3:AK$103,9,FALSE)&lt;=0,2,IF(VLOOKUP(A72,Fiktive_Dividende!A$3:AM$103,15,FALSE)/VLOOKUP(A72,Ergebnis_je_Aktie_verwässert!A$3:AK$103,9,FALSE)&gt;=2,2,VLOOKUP(A72,Fiktive_Dividende!A$3:AM$103,15,FALSE)/VLOOKUP(A72,Ergebnis_je_Aktie_verwässert!A$3:AK$103,9,FALSE))),""),"")</f>
        <v>#N/A</v>
      </c>
      <c r="J72" s="71" t="e">
        <f>IF(VLOOKUP(A72,Fiktive_Dividende!A$3:AM$103,16,FALSE)&lt;&gt;"",IF(VLOOKUP(A72,Ergebnis_je_Aktie_verwässert!A$3:AK$103,10,FALSE)&lt;&gt;"",IF(VLOOKUP(A72,Ergebnis_je_Aktie_verwässert!A$3:AK$103,10,FALSE)&lt;=0,2,IF(VLOOKUP(A72,Fiktive_Dividende!A$3:AM$103,16,FALSE)/VLOOKUP(A72,Ergebnis_je_Aktie_verwässert!A$3:AK$103,10,FALSE)&gt;=2,2,VLOOKUP(A72,Fiktive_Dividende!A$3:AM$103,16,FALSE)/VLOOKUP(A72,Ergebnis_je_Aktie_verwässert!A$3:AK$103,10,FALSE))),""),"")</f>
        <v>#N/A</v>
      </c>
      <c r="K72" s="71" t="e">
        <f>IF(VLOOKUP(A72,Fiktive_Dividende!A$3:AM$103,17,FALSE)&lt;&gt;"",IF(VLOOKUP(A72,Ergebnis_je_Aktie_verwässert!A$3:AK$103,11,FALSE)&lt;&gt;"",IF(VLOOKUP(A72,Ergebnis_je_Aktie_verwässert!A$3:AK$103,11,FALSE)&lt;=0,2,IF(VLOOKUP(A72,Fiktive_Dividende!A$3:AM$103,17,FALSE)/VLOOKUP(A72,Ergebnis_je_Aktie_verwässert!A$3:AK$103,11,FALSE)&gt;=2,2,VLOOKUP(A72,Fiktive_Dividende!A$3:AM$103,17,FALSE)/VLOOKUP(A72,Ergebnis_je_Aktie_verwässert!A$3:AK$103,11,FALSE))),""),"")</f>
        <v>#N/A</v>
      </c>
      <c r="L72" s="71" t="e">
        <f>IF(VLOOKUP(A72,Fiktive_Dividende!A$3:AM$103,18,FALSE)&lt;&gt;"",IF(VLOOKUP(A72,Ergebnis_je_Aktie_verwässert!A$3:AK$103,12,FALSE)&lt;&gt;"",IF(VLOOKUP(A72,Ergebnis_je_Aktie_verwässert!A$3:AK$103,12,FALSE)&lt;=0,2,IF(VLOOKUP(A72,Fiktive_Dividende!A$3:AM$103,18,FALSE)/VLOOKUP(A72,Ergebnis_je_Aktie_verwässert!A$3:AK$103,12,FALSE)&gt;=2,2,VLOOKUP(A72,Fiktive_Dividende!A$3:AM$103,18,FALSE)/VLOOKUP(A72,Ergebnis_je_Aktie_verwässert!A$3:AK$103,12,FALSE))),""),"")</f>
        <v>#N/A</v>
      </c>
      <c r="M72" s="71" t="e">
        <f>IF(VLOOKUP(A72,Fiktive_Dividende!A$3:AM$103,19,FALSE)&lt;&gt;"",IF(VLOOKUP(A72,Ergebnis_je_Aktie_verwässert!A$3:AK$103,13,FALSE)&lt;&gt;"",IF(VLOOKUP(A72,Ergebnis_je_Aktie_verwässert!A$3:AK$103,13,FALSE)&lt;=0,2,IF(VLOOKUP(A72,Fiktive_Dividende!A$3:AM$103,19,FALSE)/VLOOKUP(A72,Ergebnis_je_Aktie_verwässert!A$3:AK$103,13,FALSE)&gt;=2,2,VLOOKUP(A72,Fiktive_Dividende!A$3:AM$103,19,FALSE)/VLOOKUP(A72,Ergebnis_je_Aktie_verwässert!A$3:AK$103,13,FALSE))),""),"")</f>
        <v>#N/A</v>
      </c>
      <c r="N72" s="71" t="e">
        <f>IF(VLOOKUP(A72,Fiktive_Dividende!A$3:AM$103,20,FALSE)&lt;&gt;"",IF(VLOOKUP(A72,Ergebnis_je_Aktie_verwässert!A$3:AK$103,14,FALSE)&lt;&gt;"",IF(VLOOKUP(A72,Ergebnis_je_Aktie_verwässert!A$3:AK$103,14,FALSE)&lt;=0,2,IF(VLOOKUP(A72,Fiktive_Dividende!A$3:AM$103,20,FALSE)/VLOOKUP(A72,Ergebnis_je_Aktie_verwässert!A$3:AK$103,14,FALSE)&gt;=2,2,VLOOKUP(A72,Fiktive_Dividende!A$3:AM$103,20,FALSE)/VLOOKUP(A72,Ergebnis_je_Aktie_verwässert!A$3:AK$103,14,FALSE))),""),"")</f>
        <v>#N/A</v>
      </c>
      <c r="O72" s="71" t="e">
        <f>IF(VLOOKUP(A72,Fiktive_Dividende!A$3:AM$103,21,FALSE)&lt;&gt;"",IF(VLOOKUP(A72,Ergebnis_je_Aktie_verwässert!A$3:AK$103,15,FALSE)&lt;&gt;"",IF(VLOOKUP(A72,Ergebnis_je_Aktie_verwässert!A$3:AK$103,15,FALSE)&lt;=0,2,IF(VLOOKUP(A72,Fiktive_Dividende!A$3:AM$103,21,FALSE)/VLOOKUP(A72,Ergebnis_je_Aktie_verwässert!A$3:AK$103,15,FALSE)&gt;=2,2,VLOOKUP(A72,Fiktive_Dividende!A$3:AM$103,21,FALSE)/VLOOKUP(A72,Ergebnis_je_Aktie_verwässert!A$3:AK$103,15,FALSE))),""),"")</f>
        <v>#N/A</v>
      </c>
      <c r="P72" s="71" t="e">
        <f>IF(VLOOKUP(A72,Fiktive_Dividende!A$3:AM$103,22,FALSE)&lt;&gt;"",IF(VLOOKUP(A72,Ergebnis_je_Aktie_verwässert!A$3:AK$103,16,FALSE)&lt;&gt;"",IF(VLOOKUP(A72,Ergebnis_je_Aktie_verwässert!A$3:AK$103,16,FALSE)&lt;=0,2,IF(VLOOKUP(A72,Fiktive_Dividende!A$3:AM$103,22,FALSE)/VLOOKUP(A72,Ergebnis_je_Aktie_verwässert!A$3:AK$103,16,FALSE)&gt;=2,2,VLOOKUP(A72,Fiktive_Dividende!A$3:AM$103,22,FALSE)/VLOOKUP(A72,Ergebnis_je_Aktie_verwässert!A$3:AK$103,16,FALSE))),""),"")</f>
        <v>#N/A</v>
      </c>
      <c r="Q72" s="71" t="e">
        <f>IF(VLOOKUP(A72,Fiktive_Dividende!A$3:AM$103,23,FALSE)&lt;&gt;"",IF(VLOOKUP(A72,Ergebnis_je_Aktie_verwässert!A$3:AK$103,17,FALSE)&lt;&gt;"",IF(VLOOKUP(A72,Ergebnis_je_Aktie_verwässert!A$3:AK$103,17,FALSE)&lt;=0,2,IF(VLOOKUP(A72,Fiktive_Dividende!A$3:AM$103,23,FALSE)/VLOOKUP(A72,Ergebnis_je_Aktie_verwässert!A$3:AK$103,17,FALSE)&gt;=2,2,VLOOKUP(A72,Fiktive_Dividende!A$3:AM$103,23,FALSE)/VLOOKUP(A72,Ergebnis_je_Aktie_verwässert!A$3:AK$103,17,FALSE))),""),"")</f>
        <v>#N/A</v>
      </c>
      <c r="R72" s="71" t="e">
        <f>IF(VLOOKUP(A72,Fiktive_Dividende!A$3:AM$103,24,FALSE)&lt;&gt;"",IF(VLOOKUP(A72,Ergebnis_je_Aktie_verwässert!A$3:AK$103,18,FALSE)&lt;&gt;"",IF(VLOOKUP(A72,Ergebnis_je_Aktie_verwässert!A$3:AK$103,18,FALSE)&lt;=0,2,IF(VLOOKUP(A72,Fiktive_Dividende!A$3:AM$103,24,FALSE)/VLOOKUP(A72,Ergebnis_je_Aktie_verwässert!A$3:AK$103,18,FALSE)&gt;=2,2,VLOOKUP(A72,Fiktive_Dividende!A$3:AM$103,24,FALSE)/VLOOKUP(A72,Ergebnis_je_Aktie_verwässert!A$3:AK$103,18,FALSE))),""),"")</f>
        <v>#N/A</v>
      </c>
      <c r="S72" s="105" t="e">
        <f t="shared" si="14"/>
        <v>#N/A</v>
      </c>
      <c r="T72" s="71" t="e">
        <f>IF(VLOOKUP(A72,Dividende_je_Aktie!A$3:AM$103,6,FALSE)&lt;&gt;"",IF(VLOOKUP(A72,Ergebnis_je_Aktie_verwässert!A$3:AK$103,6,FALSE)&lt;&gt;"",IF(VLOOKUP(A72,Ergebnis_je_Aktie_verwässert!A$3:AK$103,6,FALSE)&lt;=0,2,IF(VLOOKUP(A72,Dividende_je_Aktie!A$3:AM$103,6,FALSE)/VLOOKUP(A72,Ergebnis_je_Aktie_verwässert!A$3:AK$103,6,FALSE)&gt;=2,2,VLOOKUP(A72,Dividende_je_Aktie!A$3:AM$103,6,FALSE)/VLOOKUP(A72,Ergebnis_je_Aktie_verwässert!A$3:AK$103,6,FALSE))),""),"")</f>
        <v>#N/A</v>
      </c>
      <c r="U72" s="71" t="e">
        <f>IF(VLOOKUP(A72,Dividende_je_Aktie!A$3:AM$103,7,FALSE)&lt;&gt;"",IF(VLOOKUP(A72,Ergebnis_je_Aktie_verwässert!A$3:AK$103,7,FALSE)&lt;&gt;"",IF(VLOOKUP(A72,Ergebnis_je_Aktie_verwässert!A$3:AK$103,7,FALSE)&lt;=0,2,IF(VLOOKUP(A72,Dividende_je_Aktie!A$3:AM$103,7,FALSE)/VLOOKUP(A72,Ergebnis_je_Aktie_verwässert!A$3:AK$103,7,FALSE)&gt;=2,2,VLOOKUP(A72,Dividende_je_Aktie!A$3:AM$103,7,FALSE)/VLOOKUP(A72,Ergebnis_je_Aktie_verwässert!A$3:AK$103,7,FALSE))),""),"")</f>
        <v>#N/A</v>
      </c>
      <c r="V72" s="71" t="e">
        <f>IF(VLOOKUP(A72,Dividende_je_Aktie!A$3:AM$103,8,FALSE)&lt;&gt;"",IF(VLOOKUP(A72,Ergebnis_je_Aktie_verwässert!A$3:AK$103,8,FALSE)&lt;&gt;"",IF(VLOOKUP(A72,Ergebnis_je_Aktie_verwässert!A$3:AK$103,8,FALSE)&lt;=0,2,IF(VLOOKUP(A72,Dividende_je_Aktie!A$3:AM$103,8,FALSE)/VLOOKUP(A72,Ergebnis_je_Aktie_verwässert!A$3:AK$103,8,FALSE)&gt;=2,2,VLOOKUP(A72,Dividende_je_Aktie!A$3:AM$103,8,FALSE)/VLOOKUP(A72,Ergebnis_je_Aktie_verwässert!A$3:AK$103,8,FALSE))),""),"")</f>
        <v>#N/A</v>
      </c>
      <c r="W72" s="71" t="e">
        <f>IF(VLOOKUP(A72,Dividende_je_Aktie!A$3:AM$103,9,FALSE)&lt;&gt;"",IF(VLOOKUP(A72,Ergebnis_je_Aktie_verwässert!A$3:AK$103,9,FALSE)&lt;&gt;"",IF(VLOOKUP(A72,Ergebnis_je_Aktie_verwässert!A$3:AK$103,9,FALSE)&lt;=0,2,IF(VLOOKUP(A72,Dividende_je_Aktie!A$3:AM$103,9,FALSE)/VLOOKUP(A72,Ergebnis_je_Aktie_verwässert!A$3:AK$103,9,FALSE)&gt;=2,2,VLOOKUP(A72,Dividende_je_Aktie!A$3:AM$103,9,FALSE)/VLOOKUP(A72,Ergebnis_je_Aktie_verwässert!A$3:AK$103,9,FALSE))),""),"")</f>
        <v>#N/A</v>
      </c>
      <c r="X72" s="71" t="e">
        <f>IF(VLOOKUP(A72,Dividende_je_Aktie!A$3:AM$103,10,FALSE)&lt;&gt;"",IF(VLOOKUP(A72,Ergebnis_je_Aktie_verwässert!A$3:AK$103,10,FALSE)&lt;&gt;"",IF(VLOOKUP(A72,Ergebnis_je_Aktie_verwässert!A$3:AK$103,10,FALSE)&lt;=0,2,IF(VLOOKUP(A72,Dividende_je_Aktie!A$3:AM$103,10,FALSE)/VLOOKUP(A72,Ergebnis_je_Aktie_verwässert!A$3:AK$103,10,FALSE)&gt;=2,2,VLOOKUP(A72,Dividende_je_Aktie!A$3:AM$103,10,FALSE)/VLOOKUP(A72,Ergebnis_je_Aktie_verwässert!A$3:AK$103,10,FALSE))),""),"")</f>
        <v>#N/A</v>
      </c>
      <c r="Y72" s="71" t="e">
        <f>IF(VLOOKUP(A72,Dividende_je_Aktie!A$3:AM$103,11,FALSE)&lt;&gt;"",IF(VLOOKUP(A72,Ergebnis_je_Aktie_verwässert!A$3:AK$103,11,FALSE)&lt;&gt;"",IF(VLOOKUP(A72,Ergebnis_je_Aktie_verwässert!A$3:AK$103,11,FALSE)&lt;=0,2,IF(VLOOKUP(A72,Dividende_je_Aktie!A$3:AM$103,11,FALSE)/VLOOKUP(A72,Ergebnis_je_Aktie_verwässert!A$3:AK$103,11,FALSE)&gt;=2,2,VLOOKUP(A72,Dividende_je_Aktie!A$3:AM$103,11,FALSE)/VLOOKUP(A72,Ergebnis_je_Aktie_verwässert!A$3:AK$103,11,FALSE))),""),"")</f>
        <v>#N/A</v>
      </c>
      <c r="Z72" s="71" t="e">
        <f>IF(VLOOKUP(A72,Dividende_je_Aktie!A$3:AM$103,12,FALSE)&lt;&gt;"",IF(VLOOKUP(A72,Ergebnis_je_Aktie_verwässert!A$3:AK$103,12,FALSE)&lt;&gt;"",IF(VLOOKUP(A72,Ergebnis_je_Aktie_verwässert!A$3:AK$103,12,FALSE)&lt;=0,2,IF(VLOOKUP(A72,Dividende_je_Aktie!A$3:AM$103,12,FALSE)/VLOOKUP(A72,Ergebnis_je_Aktie_verwässert!A$3:AK$103,12,FALSE)&gt;=2,2,VLOOKUP(A72,Dividende_je_Aktie!A$3:AM$103,12,FALSE)/VLOOKUP(A72,Ergebnis_je_Aktie_verwässert!A$3:AK$103,12,FALSE))),""),"")</f>
        <v>#N/A</v>
      </c>
      <c r="AA72" s="71" t="e">
        <f>IF(VLOOKUP(A72,Dividende_je_Aktie!A$3:AM$103,13,FALSE)&lt;&gt;"",IF(VLOOKUP(A72,Ergebnis_je_Aktie_verwässert!A$3:AK$103,13,FALSE)&lt;&gt;"",IF(VLOOKUP(A72,Ergebnis_je_Aktie_verwässert!A$3:AK$103,13,FALSE)&lt;=0,2,IF(VLOOKUP(A72,Dividende_je_Aktie!A$3:AM$103,13,FALSE)/VLOOKUP(A72,Ergebnis_je_Aktie_verwässert!A$3:AK$103,13,FALSE)&gt;=2,2,VLOOKUP(A72,Dividende_je_Aktie!A$3:AM$103,13,FALSE)/VLOOKUP(A72,Ergebnis_je_Aktie_verwässert!A$3:AK$103,13,FALSE))),""),"")</f>
        <v>#N/A</v>
      </c>
      <c r="AB72" s="71" t="e">
        <f>IF(VLOOKUP(A72,Dividende_je_Aktie!A$3:AM$103,14,FALSE)&lt;&gt;"",IF(VLOOKUP(A72,Ergebnis_je_Aktie_verwässert!A$3:AK$103,14,FALSE)&lt;&gt;"",IF(VLOOKUP(A72,Ergebnis_je_Aktie_verwässert!A$3:AK$103,14,FALSE)&lt;=0,2,IF(VLOOKUP(A72,Dividende_je_Aktie!A$3:AM$103,14,FALSE)/VLOOKUP(A72,Ergebnis_je_Aktie_verwässert!A$3:AK$103,14,FALSE)&gt;=2,2,VLOOKUP(A72,Dividende_je_Aktie!A$3:AM$103,14,FALSE)/VLOOKUP(A72,Ergebnis_je_Aktie_verwässert!A$3:AK$103,14,FALSE))),""),"")</f>
        <v>#N/A</v>
      </c>
      <c r="AC72" s="71" t="e">
        <f>IF(VLOOKUP(A72,Dividende_je_Aktie!A$3:AM$103,15,FALSE)&lt;&gt;"",IF(VLOOKUP(A72,Ergebnis_je_Aktie_verwässert!A$3:AK$103,15,FALSE)&lt;&gt;"",IF(VLOOKUP(A72,Ergebnis_je_Aktie_verwässert!A$3:AK$103,15,FALSE)&lt;=0,2,IF(VLOOKUP(A72,Dividende_je_Aktie!A$3:AM$103,15,FALSE)/VLOOKUP(A72,Ergebnis_je_Aktie_verwässert!A$3:AK$103,15,FALSE)&gt;=2,2,VLOOKUP(A72,Dividende_je_Aktie!A$3:AM$103,15,FALSE)/VLOOKUP(A72,Ergebnis_je_Aktie_verwässert!A$3:AK$103,15,FALSE))),""),"")</f>
        <v>#N/A</v>
      </c>
      <c r="AD72" s="71" t="e">
        <f>IF(VLOOKUP(A72,Dividende_je_Aktie!A$3:AM$103,16,FALSE)&lt;&gt;"",IF(VLOOKUP(A72,Ergebnis_je_Aktie_verwässert!A$3:AK$103,16,FALSE)&lt;&gt;"",IF(VLOOKUP(A72,Ergebnis_je_Aktie_verwässert!A$3:AK$103,16,FALSE)&lt;=0,2,IF(VLOOKUP(A72,Dividende_je_Aktie!A$3:AM$103,16,FALSE)/VLOOKUP(A72,Ergebnis_je_Aktie_verwässert!A$3:AK$103,16,FALSE)&gt;=2,2,VLOOKUP(A72,Dividende_je_Aktie!A$3:AM$103,16,FALSE)/VLOOKUP(A72,Ergebnis_je_Aktie_verwässert!A$3:AK$103,16,FALSE))),""),"")</f>
        <v>#N/A</v>
      </c>
      <c r="AE72" s="71" t="e">
        <f>IF(VLOOKUP(A72,Dividende_je_Aktie!A$3:AM$103,17,FALSE)&lt;&gt;"",IF(VLOOKUP(A72,Ergebnis_je_Aktie_verwässert!A$3:AK$103,17,FALSE)&lt;&gt;"",IF(VLOOKUP(A72,Ergebnis_je_Aktie_verwässert!A$3:AK$103,17,FALSE)&lt;=0,2,IF(VLOOKUP(A72,Dividende_je_Aktie!A$3:AM$103,17,FALSE)/VLOOKUP(A72,Ergebnis_je_Aktie_verwässert!A$3:AK$103,17,FALSE)&gt;=2,2,VLOOKUP(A72,Dividende_je_Aktie!A$3:AM$103,17,FALSE)/VLOOKUP(A72,Ergebnis_je_Aktie_verwässert!A$3:AK$103,17,FALSE))),""),"")</f>
        <v>#N/A</v>
      </c>
      <c r="AF72" s="71" t="e">
        <f>IF(VLOOKUP(A72,Dividende_je_Aktie!A$3:AM$103,18,FALSE)&lt;&gt;"",IF(VLOOKUP(A72,Ergebnis_je_Aktie_verwässert!A$3:AK$103,18,FALSE)&lt;&gt;"",IF(VLOOKUP(A72,Ergebnis_je_Aktie_verwässert!A$3:AK$103,18,FALSE)&lt;=0,2,IF(VLOOKUP(A72,Dividende_je_Aktie!A$3:AM$103,18,FALSE)/VLOOKUP(A72,Ergebnis_je_Aktie_verwässert!A$3:AK$103,18,FALSE)&gt;=2,2,VLOOKUP(A72,Dividende_je_Aktie!A$3:AM$103,18,FALSE)/VLOOKUP(A72,Ergebnis_je_Aktie_verwässert!A$3:AK$103,18,FALSE))),""),"")</f>
        <v>#N/A</v>
      </c>
      <c r="AG72" s="105" t="e">
        <f t="shared" si="15"/>
        <v>#N/A</v>
      </c>
      <c r="AH72" s="4">
        <f t="shared" ca="1" si="16"/>
        <v>41899</v>
      </c>
      <c r="AI72" s="4">
        <f t="shared" ca="1" si="17"/>
        <v>-41539</v>
      </c>
      <c r="AJ72" s="4" t="e">
        <f t="shared" ca="1" si="18"/>
        <v>#NUM!</v>
      </c>
      <c r="AK72" s="10" t="e">
        <f t="shared" ca="1" si="19"/>
        <v>#N/A</v>
      </c>
      <c r="AL72" s="5" t="e">
        <f t="shared" si="20"/>
        <v>#N/A</v>
      </c>
    </row>
    <row r="73" spans="1:38">
      <c r="C73" s="60"/>
      <c r="D73" s="60"/>
      <c r="E73" s="60"/>
      <c r="F73" s="71" t="e">
        <f>IF(VLOOKUP(A73,Dividende_je_Aktie!A$3:AM$103,6,FALSE)&lt;&gt;"",IF(VLOOKUP(A73,Ergebnis_je_Aktie_verwässert!A$3:AK$103,6,FALSE)&lt;&gt;"",IF(VLOOKUP(A73,Ergebnis_je_Aktie_verwässert!A$3:AK$103,6,FALSE)&lt;=0,2,IF(VLOOKUP(A73,Dividende_je_Aktie!A$3:AM$103,6,FALSE)/VLOOKUP(A73,Ergebnis_je_Aktie_verwässert!A$3:AK$103,6,FALSE)&gt;=2,2,VLOOKUP(A73,Dividende_je_Aktie!A$3:AM$103,6,FALSE)/VLOOKUP(A73,Ergebnis_je_Aktie_verwässert!A$3:AK$103,6,FALSE))),""),"")</f>
        <v>#N/A</v>
      </c>
      <c r="G73" s="71" t="e">
        <f>IF(VLOOKUP(A73,Dividende_je_Aktie!A$3:AM$103,7,FALSE)&lt;&gt;"",IF(VLOOKUP(A73,Ergebnis_je_Aktie_verwässert!A$3:AK$103,7,FALSE)&lt;&gt;"",IF(VLOOKUP(A73,Ergebnis_je_Aktie_verwässert!A$3:AK$103,7,FALSE)&lt;=0,2,IF(VLOOKUP(A73,Dividende_je_Aktie!A$3:AM$103,7,FALSE)/VLOOKUP(A73,Ergebnis_je_Aktie_verwässert!A$3:AK$103,7,FALSE)&gt;=2,2,VLOOKUP(A73,Dividende_je_Aktie!A$3:AM$103,7,FALSE)/VLOOKUP(A73,Ergebnis_je_Aktie_verwässert!A$3:AK$103,7,FALSE))),""),"")</f>
        <v>#N/A</v>
      </c>
      <c r="H73" s="71" t="e">
        <f>IF(VLOOKUP(A73,Fiktive_Dividende!A$3:AM$103,14,FALSE)&lt;&gt;"",IF(VLOOKUP(A73,Ergebnis_je_Aktie_verwässert!A$3:AK$103,8,FALSE)&lt;&gt;"",IF(VLOOKUP(A73,Ergebnis_je_Aktie_verwässert!A$3:AK$103,8,FALSE)&lt;=0,2,IF(VLOOKUP(A73,Fiktive_Dividende!A$3:AM$103,14,FALSE)/VLOOKUP(A73,Ergebnis_je_Aktie_verwässert!A$3:AK$103,8,FALSE)&gt;=2,2,VLOOKUP(A73,Fiktive_Dividende!A$3:AM$103,14,FALSE)/VLOOKUP(A73,Ergebnis_je_Aktie_verwässert!A$3:AK$103,8,FALSE))),""),"")</f>
        <v>#N/A</v>
      </c>
      <c r="I73" s="71" t="e">
        <f>IF(VLOOKUP(A73,Fiktive_Dividende!A$3:AM$103,15,FALSE)&lt;&gt;"",IF(VLOOKUP(A73,Ergebnis_je_Aktie_verwässert!A$3:AK$103,9,FALSE)&lt;&gt;"",IF(VLOOKUP(A73,Ergebnis_je_Aktie_verwässert!A$3:AK$103,9,FALSE)&lt;=0,2,IF(VLOOKUP(A73,Fiktive_Dividende!A$3:AM$103,15,FALSE)/VLOOKUP(A73,Ergebnis_je_Aktie_verwässert!A$3:AK$103,9,FALSE)&gt;=2,2,VLOOKUP(A73,Fiktive_Dividende!A$3:AM$103,15,FALSE)/VLOOKUP(A73,Ergebnis_je_Aktie_verwässert!A$3:AK$103,9,FALSE))),""),"")</f>
        <v>#N/A</v>
      </c>
      <c r="J73" s="71" t="e">
        <f>IF(VLOOKUP(A73,Fiktive_Dividende!A$3:AM$103,16,FALSE)&lt;&gt;"",IF(VLOOKUP(A73,Ergebnis_je_Aktie_verwässert!A$3:AK$103,10,FALSE)&lt;&gt;"",IF(VLOOKUP(A73,Ergebnis_je_Aktie_verwässert!A$3:AK$103,10,FALSE)&lt;=0,2,IF(VLOOKUP(A73,Fiktive_Dividende!A$3:AM$103,16,FALSE)/VLOOKUP(A73,Ergebnis_je_Aktie_verwässert!A$3:AK$103,10,FALSE)&gt;=2,2,VLOOKUP(A73,Fiktive_Dividende!A$3:AM$103,16,FALSE)/VLOOKUP(A73,Ergebnis_je_Aktie_verwässert!A$3:AK$103,10,FALSE))),""),"")</f>
        <v>#N/A</v>
      </c>
      <c r="K73" s="71" t="e">
        <f>IF(VLOOKUP(A73,Fiktive_Dividende!A$3:AM$103,17,FALSE)&lt;&gt;"",IF(VLOOKUP(A73,Ergebnis_je_Aktie_verwässert!A$3:AK$103,11,FALSE)&lt;&gt;"",IF(VLOOKUP(A73,Ergebnis_je_Aktie_verwässert!A$3:AK$103,11,FALSE)&lt;=0,2,IF(VLOOKUP(A73,Fiktive_Dividende!A$3:AM$103,17,FALSE)/VLOOKUP(A73,Ergebnis_je_Aktie_verwässert!A$3:AK$103,11,FALSE)&gt;=2,2,VLOOKUP(A73,Fiktive_Dividende!A$3:AM$103,17,FALSE)/VLOOKUP(A73,Ergebnis_je_Aktie_verwässert!A$3:AK$103,11,FALSE))),""),"")</f>
        <v>#N/A</v>
      </c>
      <c r="L73" s="71" t="e">
        <f>IF(VLOOKUP(A73,Fiktive_Dividende!A$3:AM$103,18,FALSE)&lt;&gt;"",IF(VLOOKUP(A73,Ergebnis_je_Aktie_verwässert!A$3:AK$103,12,FALSE)&lt;&gt;"",IF(VLOOKUP(A73,Ergebnis_je_Aktie_verwässert!A$3:AK$103,12,FALSE)&lt;=0,2,IF(VLOOKUP(A73,Fiktive_Dividende!A$3:AM$103,18,FALSE)/VLOOKUP(A73,Ergebnis_je_Aktie_verwässert!A$3:AK$103,12,FALSE)&gt;=2,2,VLOOKUP(A73,Fiktive_Dividende!A$3:AM$103,18,FALSE)/VLOOKUP(A73,Ergebnis_je_Aktie_verwässert!A$3:AK$103,12,FALSE))),""),"")</f>
        <v>#N/A</v>
      </c>
      <c r="M73" s="71" t="e">
        <f>IF(VLOOKUP(A73,Fiktive_Dividende!A$3:AM$103,19,FALSE)&lt;&gt;"",IF(VLOOKUP(A73,Ergebnis_je_Aktie_verwässert!A$3:AK$103,13,FALSE)&lt;&gt;"",IF(VLOOKUP(A73,Ergebnis_je_Aktie_verwässert!A$3:AK$103,13,FALSE)&lt;=0,2,IF(VLOOKUP(A73,Fiktive_Dividende!A$3:AM$103,19,FALSE)/VLOOKUP(A73,Ergebnis_je_Aktie_verwässert!A$3:AK$103,13,FALSE)&gt;=2,2,VLOOKUP(A73,Fiktive_Dividende!A$3:AM$103,19,FALSE)/VLOOKUP(A73,Ergebnis_je_Aktie_verwässert!A$3:AK$103,13,FALSE))),""),"")</f>
        <v>#N/A</v>
      </c>
      <c r="N73" s="71" t="e">
        <f>IF(VLOOKUP(A73,Fiktive_Dividende!A$3:AM$103,20,FALSE)&lt;&gt;"",IF(VLOOKUP(A73,Ergebnis_je_Aktie_verwässert!A$3:AK$103,14,FALSE)&lt;&gt;"",IF(VLOOKUP(A73,Ergebnis_je_Aktie_verwässert!A$3:AK$103,14,FALSE)&lt;=0,2,IF(VLOOKUP(A73,Fiktive_Dividende!A$3:AM$103,20,FALSE)/VLOOKUP(A73,Ergebnis_je_Aktie_verwässert!A$3:AK$103,14,FALSE)&gt;=2,2,VLOOKUP(A73,Fiktive_Dividende!A$3:AM$103,20,FALSE)/VLOOKUP(A73,Ergebnis_je_Aktie_verwässert!A$3:AK$103,14,FALSE))),""),"")</f>
        <v>#N/A</v>
      </c>
      <c r="O73" s="71" t="e">
        <f>IF(VLOOKUP(A73,Fiktive_Dividende!A$3:AM$103,21,FALSE)&lt;&gt;"",IF(VLOOKUP(A73,Ergebnis_je_Aktie_verwässert!A$3:AK$103,15,FALSE)&lt;&gt;"",IF(VLOOKUP(A73,Ergebnis_je_Aktie_verwässert!A$3:AK$103,15,FALSE)&lt;=0,2,IF(VLOOKUP(A73,Fiktive_Dividende!A$3:AM$103,21,FALSE)/VLOOKUP(A73,Ergebnis_je_Aktie_verwässert!A$3:AK$103,15,FALSE)&gt;=2,2,VLOOKUP(A73,Fiktive_Dividende!A$3:AM$103,21,FALSE)/VLOOKUP(A73,Ergebnis_je_Aktie_verwässert!A$3:AK$103,15,FALSE))),""),"")</f>
        <v>#N/A</v>
      </c>
      <c r="P73" s="71" t="e">
        <f>IF(VLOOKUP(A73,Fiktive_Dividende!A$3:AM$103,22,FALSE)&lt;&gt;"",IF(VLOOKUP(A73,Ergebnis_je_Aktie_verwässert!A$3:AK$103,16,FALSE)&lt;&gt;"",IF(VLOOKUP(A73,Ergebnis_je_Aktie_verwässert!A$3:AK$103,16,FALSE)&lt;=0,2,IF(VLOOKUP(A73,Fiktive_Dividende!A$3:AM$103,22,FALSE)/VLOOKUP(A73,Ergebnis_je_Aktie_verwässert!A$3:AK$103,16,FALSE)&gt;=2,2,VLOOKUP(A73,Fiktive_Dividende!A$3:AM$103,22,FALSE)/VLOOKUP(A73,Ergebnis_je_Aktie_verwässert!A$3:AK$103,16,FALSE))),""),"")</f>
        <v>#N/A</v>
      </c>
      <c r="Q73" s="71" t="e">
        <f>IF(VLOOKUP(A73,Fiktive_Dividende!A$3:AM$103,23,FALSE)&lt;&gt;"",IF(VLOOKUP(A73,Ergebnis_je_Aktie_verwässert!A$3:AK$103,17,FALSE)&lt;&gt;"",IF(VLOOKUP(A73,Ergebnis_je_Aktie_verwässert!A$3:AK$103,17,FALSE)&lt;=0,2,IF(VLOOKUP(A73,Fiktive_Dividende!A$3:AM$103,23,FALSE)/VLOOKUP(A73,Ergebnis_je_Aktie_verwässert!A$3:AK$103,17,FALSE)&gt;=2,2,VLOOKUP(A73,Fiktive_Dividende!A$3:AM$103,23,FALSE)/VLOOKUP(A73,Ergebnis_je_Aktie_verwässert!A$3:AK$103,17,FALSE))),""),"")</f>
        <v>#N/A</v>
      </c>
      <c r="R73" s="71" t="e">
        <f>IF(VLOOKUP(A73,Fiktive_Dividende!A$3:AM$103,24,FALSE)&lt;&gt;"",IF(VLOOKUP(A73,Ergebnis_je_Aktie_verwässert!A$3:AK$103,18,FALSE)&lt;&gt;"",IF(VLOOKUP(A73,Ergebnis_je_Aktie_verwässert!A$3:AK$103,18,FALSE)&lt;=0,2,IF(VLOOKUP(A73,Fiktive_Dividende!A$3:AM$103,24,FALSE)/VLOOKUP(A73,Ergebnis_je_Aktie_verwässert!A$3:AK$103,18,FALSE)&gt;=2,2,VLOOKUP(A73,Fiktive_Dividende!A$3:AM$103,24,FALSE)/VLOOKUP(A73,Ergebnis_je_Aktie_verwässert!A$3:AK$103,18,FALSE))),""),"")</f>
        <v>#N/A</v>
      </c>
      <c r="S73" s="105" t="e">
        <f t="shared" si="14"/>
        <v>#N/A</v>
      </c>
      <c r="T73" s="71" t="e">
        <f>IF(VLOOKUP(A73,Dividende_je_Aktie!A$3:AM$103,6,FALSE)&lt;&gt;"",IF(VLOOKUP(A73,Ergebnis_je_Aktie_verwässert!A$3:AK$103,6,FALSE)&lt;&gt;"",IF(VLOOKUP(A73,Ergebnis_je_Aktie_verwässert!A$3:AK$103,6,FALSE)&lt;=0,2,IF(VLOOKUP(A73,Dividende_je_Aktie!A$3:AM$103,6,FALSE)/VLOOKUP(A73,Ergebnis_je_Aktie_verwässert!A$3:AK$103,6,FALSE)&gt;=2,2,VLOOKUP(A73,Dividende_je_Aktie!A$3:AM$103,6,FALSE)/VLOOKUP(A73,Ergebnis_je_Aktie_verwässert!A$3:AK$103,6,FALSE))),""),"")</f>
        <v>#N/A</v>
      </c>
      <c r="U73" s="71" t="e">
        <f>IF(VLOOKUP(A73,Dividende_je_Aktie!A$3:AM$103,7,FALSE)&lt;&gt;"",IF(VLOOKUP(A73,Ergebnis_je_Aktie_verwässert!A$3:AK$103,7,FALSE)&lt;&gt;"",IF(VLOOKUP(A73,Ergebnis_je_Aktie_verwässert!A$3:AK$103,7,FALSE)&lt;=0,2,IF(VLOOKUP(A73,Dividende_je_Aktie!A$3:AM$103,7,FALSE)/VLOOKUP(A73,Ergebnis_je_Aktie_verwässert!A$3:AK$103,7,FALSE)&gt;=2,2,VLOOKUP(A73,Dividende_je_Aktie!A$3:AM$103,7,FALSE)/VLOOKUP(A73,Ergebnis_je_Aktie_verwässert!A$3:AK$103,7,FALSE))),""),"")</f>
        <v>#N/A</v>
      </c>
      <c r="V73" s="71" t="e">
        <f>IF(VLOOKUP(A73,Dividende_je_Aktie!A$3:AM$103,8,FALSE)&lt;&gt;"",IF(VLOOKUP(A73,Ergebnis_je_Aktie_verwässert!A$3:AK$103,8,FALSE)&lt;&gt;"",IF(VLOOKUP(A73,Ergebnis_je_Aktie_verwässert!A$3:AK$103,8,FALSE)&lt;=0,2,IF(VLOOKUP(A73,Dividende_je_Aktie!A$3:AM$103,8,FALSE)/VLOOKUP(A73,Ergebnis_je_Aktie_verwässert!A$3:AK$103,8,FALSE)&gt;=2,2,VLOOKUP(A73,Dividende_je_Aktie!A$3:AM$103,8,FALSE)/VLOOKUP(A73,Ergebnis_je_Aktie_verwässert!A$3:AK$103,8,FALSE))),""),"")</f>
        <v>#N/A</v>
      </c>
      <c r="W73" s="71" t="e">
        <f>IF(VLOOKUP(A73,Dividende_je_Aktie!A$3:AM$103,9,FALSE)&lt;&gt;"",IF(VLOOKUP(A73,Ergebnis_je_Aktie_verwässert!A$3:AK$103,9,FALSE)&lt;&gt;"",IF(VLOOKUP(A73,Ergebnis_je_Aktie_verwässert!A$3:AK$103,9,FALSE)&lt;=0,2,IF(VLOOKUP(A73,Dividende_je_Aktie!A$3:AM$103,9,FALSE)/VLOOKUP(A73,Ergebnis_je_Aktie_verwässert!A$3:AK$103,9,FALSE)&gt;=2,2,VLOOKUP(A73,Dividende_je_Aktie!A$3:AM$103,9,FALSE)/VLOOKUP(A73,Ergebnis_je_Aktie_verwässert!A$3:AK$103,9,FALSE))),""),"")</f>
        <v>#N/A</v>
      </c>
      <c r="X73" s="71" t="e">
        <f>IF(VLOOKUP(A73,Dividende_je_Aktie!A$3:AM$103,10,FALSE)&lt;&gt;"",IF(VLOOKUP(A73,Ergebnis_je_Aktie_verwässert!A$3:AK$103,10,FALSE)&lt;&gt;"",IF(VLOOKUP(A73,Ergebnis_je_Aktie_verwässert!A$3:AK$103,10,FALSE)&lt;=0,2,IF(VLOOKUP(A73,Dividende_je_Aktie!A$3:AM$103,10,FALSE)/VLOOKUP(A73,Ergebnis_je_Aktie_verwässert!A$3:AK$103,10,FALSE)&gt;=2,2,VLOOKUP(A73,Dividende_je_Aktie!A$3:AM$103,10,FALSE)/VLOOKUP(A73,Ergebnis_je_Aktie_verwässert!A$3:AK$103,10,FALSE))),""),"")</f>
        <v>#N/A</v>
      </c>
      <c r="Y73" s="71" t="e">
        <f>IF(VLOOKUP(A73,Dividende_je_Aktie!A$3:AM$103,11,FALSE)&lt;&gt;"",IF(VLOOKUP(A73,Ergebnis_je_Aktie_verwässert!A$3:AK$103,11,FALSE)&lt;&gt;"",IF(VLOOKUP(A73,Ergebnis_je_Aktie_verwässert!A$3:AK$103,11,FALSE)&lt;=0,2,IF(VLOOKUP(A73,Dividende_je_Aktie!A$3:AM$103,11,FALSE)/VLOOKUP(A73,Ergebnis_je_Aktie_verwässert!A$3:AK$103,11,FALSE)&gt;=2,2,VLOOKUP(A73,Dividende_je_Aktie!A$3:AM$103,11,FALSE)/VLOOKUP(A73,Ergebnis_je_Aktie_verwässert!A$3:AK$103,11,FALSE))),""),"")</f>
        <v>#N/A</v>
      </c>
      <c r="Z73" s="71" t="e">
        <f>IF(VLOOKUP(A73,Dividende_je_Aktie!A$3:AM$103,12,FALSE)&lt;&gt;"",IF(VLOOKUP(A73,Ergebnis_je_Aktie_verwässert!A$3:AK$103,12,FALSE)&lt;&gt;"",IF(VLOOKUP(A73,Ergebnis_je_Aktie_verwässert!A$3:AK$103,12,FALSE)&lt;=0,2,IF(VLOOKUP(A73,Dividende_je_Aktie!A$3:AM$103,12,FALSE)/VLOOKUP(A73,Ergebnis_je_Aktie_verwässert!A$3:AK$103,12,FALSE)&gt;=2,2,VLOOKUP(A73,Dividende_je_Aktie!A$3:AM$103,12,FALSE)/VLOOKUP(A73,Ergebnis_je_Aktie_verwässert!A$3:AK$103,12,FALSE))),""),"")</f>
        <v>#N/A</v>
      </c>
      <c r="AA73" s="71" t="e">
        <f>IF(VLOOKUP(A73,Dividende_je_Aktie!A$3:AM$103,13,FALSE)&lt;&gt;"",IF(VLOOKUP(A73,Ergebnis_je_Aktie_verwässert!A$3:AK$103,13,FALSE)&lt;&gt;"",IF(VLOOKUP(A73,Ergebnis_je_Aktie_verwässert!A$3:AK$103,13,FALSE)&lt;=0,2,IF(VLOOKUP(A73,Dividende_je_Aktie!A$3:AM$103,13,FALSE)/VLOOKUP(A73,Ergebnis_je_Aktie_verwässert!A$3:AK$103,13,FALSE)&gt;=2,2,VLOOKUP(A73,Dividende_je_Aktie!A$3:AM$103,13,FALSE)/VLOOKUP(A73,Ergebnis_je_Aktie_verwässert!A$3:AK$103,13,FALSE))),""),"")</f>
        <v>#N/A</v>
      </c>
      <c r="AB73" s="71" t="e">
        <f>IF(VLOOKUP(A73,Dividende_je_Aktie!A$3:AM$103,14,FALSE)&lt;&gt;"",IF(VLOOKUP(A73,Ergebnis_je_Aktie_verwässert!A$3:AK$103,14,FALSE)&lt;&gt;"",IF(VLOOKUP(A73,Ergebnis_je_Aktie_verwässert!A$3:AK$103,14,FALSE)&lt;=0,2,IF(VLOOKUP(A73,Dividende_je_Aktie!A$3:AM$103,14,FALSE)/VLOOKUP(A73,Ergebnis_je_Aktie_verwässert!A$3:AK$103,14,FALSE)&gt;=2,2,VLOOKUP(A73,Dividende_je_Aktie!A$3:AM$103,14,FALSE)/VLOOKUP(A73,Ergebnis_je_Aktie_verwässert!A$3:AK$103,14,FALSE))),""),"")</f>
        <v>#N/A</v>
      </c>
      <c r="AC73" s="71" t="e">
        <f>IF(VLOOKUP(A73,Dividende_je_Aktie!A$3:AM$103,15,FALSE)&lt;&gt;"",IF(VLOOKUP(A73,Ergebnis_je_Aktie_verwässert!A$3:AK$103,15,FALSE)&lt;&gt;"",IF(VLOOKUP(A73,Ergebnis_je_Aktie_verwässert!A$3:AK$103,15,FALSE)&lt;=0,2,IF(VLOOKUP(A73,Dividende_je_Aktie!A$3:AM$103,15,FALSE)/VLOOKUP(A73,Ergebnis_je_Aktie_verwässert!A$3:AK$103,15,FALSE)&gt;=2,2,VLOOKUP(A73,Dividende_je_Aktie!A$3:AM$103,15,FALSE)/VLOOKUP(A73,Ergebnis_je_Aktie_verwässert!A$3:AK$103,15,FALSE))),""),"")</f>
        <v>#N/A</v>
      </c>
      <c r="AD73" s="71" t="e">
        <f>IF(VLOOKUP(A73,Dividende_je_Aktie!A$3:AM$103,16,FALSE)&lt;&gt;"",IF(VLOOKUP(A73,Ergebnis_je_Aktie_verwässert!A$3:AK$103,16,FALSE)&lt;&gt;"",IF(VLOOKUP(A73,Ergebnis_je_Aktie_verwässert!A$3:AK$103,16,FALSE)&lt;=0,2,IF(VLOOKUP(A73,Dividende_je_Aktie!A$3:AM$103,16,FALSE)/VLOOKUP(A73,Ergebnis_je_Aktie_verwässert!A$3:AK$103,16,FALSE)&gt;=2,2,VLOOKUP(A73,Dividende_je_Aktie!A$3:AM$103,16,FALSE)/VLOOKUP(A73,Ergebnis_je_Aktie_verwässert!A$3:AK$103,16,FALSE))),""),"")</f>
        <v>#N/A</v>
      </c>
      <c r="AE73" s="71" t="e">
        <f>IF(VLOOKUP(A73,Dividende_je_Aktie!A$3:AM$103,17,FALSE)&lt;&gt;"",IF(VLOOKUP(A73,Ergebnis_je_Aktie_verwässert!A$3:AK$103,17,FALSE)&lt;&gt;"",IF(VLOOKUP(A73,Ergebnis_je_Aktie_verwässert!A$3:AK$103,17,FALSE)&lt;=0,2,IF(VLOOKUP(A73,Dividende_je_Aktie!A$3:AM$103,17,FALSE)/VLOOKUP(A73,Ergebnis_je_Aktie_verwässert!A$3:AK$103,17,FALSE)&gt;=2,2,VLOOKUP(A73,Dividende_je_Aktie!A$3:AM$103,17,FALSE)/VLOOKUP(A73,Ergebnis_je_Aktie_verwässert!A$3:AK$103,17,FALSE))),""),"")</f>
        <v>#N/A</v>
      </c>
      <c r="AF73" s="71" t="e">
        <f>IF(VLOOKUP(A73,Dividende_je_Aktie!A$3:AM$103,18,FALSE)&lt;&gt;"",IF(VLOOKUP(A73,Ergebnis_je_Aktie_verwässert!A$3:AK$103,18,FALSE)&lt;&gt;"",IF(VLOOKUP(A73,Ergebnis_je_Aktie_verwässert!A$3:AK$103,18,FALSE)&lt;=0,2,IF(VLOOKUP(A73,Dividende_je_Aktie!A$3:AM$103,18,FALSE)/VLOOKUP(A73,Ergebnis_je_Aktie_verwässert!A$3:AK$103,18,FALSE)&gt;=2,2,VLOOKUP(A73,Dividende_je_Aktie!A$3:AM$103,18,FALSE)/VLOOKUP(A73,Ergebnis_je_Aktie_verwässert!A$3:AK$103,18,FALSE))),""),"")</f>
        <v>#N/A</v>
      </c>
      <c r="AG73" s="105" t="e">
        <f t="shared" si="15"/>
        <v>#N/A</v>
      </c>
      <c r="AH73" s="4">
        <f t="shared" ca="1" si="16"/>
        <v>41899</v>
      </c>
      <c r="AI73" s="4">
        <f t="shared" ca="1" si="17"/>
        <v>-41539</v>
      </c>
      <c r="AJ73" s="4" t="e">
        <f t="shared" ca="1" si="18"/>
        <v>#NUM!</v>
      </c>
      <c r="AK73" s="10" t="e">
        <f t="shared" ca="1" si="19"/>
        <v>#N/A</v>
      </c>
      <c r="AL73" s="5" t="e">
        <f t="shared" si="20"/>
        <v>#N/A</v>
      </c>
    </row>
    <row r="74" spans="1:38">
      <c r="C74" s="60"/>
      <c r="D74" s="60"/>
      <c r="E74" s="60"/>
      <c r="F74" s="71" t="e">
        <f>IF(VLOOKUP(A74,Dividende_je_Aktie!A$3:AM$103,6,FALSE)&lt;&gt;"",IF(VLOOKUP(A74,Ergebnis_je_Aktie_verwässert!A$3:AK$103,6,FALSE)&lt;&gt;"",IF(VLOOKUP(A74,Ergebnis_je_Aktie_verwässert!A$3:AK$103,6,FALSE)&lt;=0,2,IF(VLOOKUP(A74,Dividende_je_Aktie!A$3:AM$103,6,FALSE)/VLOOKUP(A74,Ergebnis_je_Aktie_verwässert!A$3:AK$103,6,FALSE)&gt;=2,2,VLOOKUP(A74,Dividende_je_Aktie!A$3:AM$103,6,FALSE)/VLOOKUP(A74,Ergebnis_je_Aktie_verwässert!A$3:AK$103,6,FALSE))),""),"")</f>
        <v>#N/A</v>
      </c>
      <c r="G74" s="71" t="e">
        <f>IF(VLOOKUP(A74,Dividende_je_Aktie!A$3:AM$103,7,FALSE)&lt;&gt;"",IF(VLOOKUP(A74,Ergebnis_je_Aktie_verwässert!A$3:AK$103,7,FALSE)&lt;&gt;"",IF(VLOOKUP(A74,Ergebnis_je_Aktie_verwässert!A$3:AK$103,7,FALSE)&lt;=0,2,IF(VLOOKUP(A74,Dividende_je_Aktie!A$3:AM$103,7,FALSE)/VLOOKUP(A74,Ergebnis_je_Aktie_verwässert!A$3:AK$103,7,FALSE)&gt;=2,2,VLOOKUP(A74,Dividende_je_Aktie!A$3:AM$103,7,FALSE)/VLOOKUP(A74,Ergebnis_je_Aktie_verwässert!A$3:AK$103,7,FALSE))),""),"")</f>
        <v>#N/A</v>
      </c>
      <c r="H74" s="71" t="e">
        <f>IF(VLOOKUP(A74,Fiktive_Dividende!A$3:AM$103,14,FALSE)&lt;&gt;"",IF(VLOOKUP(A74,Ergebnis_je_Aktie_verwässert!A$3:AK$103,8,FALSE)&lt;&gt;"",IF(VLOOKUP(A74,Ergebnis_je_Aktie_verwässert!A$3:AK$103,8,FALSE)&lt;=0,2,IF(VLOOKUP(A74,Fiktive_Dividende!A$3:AM$103,14,FALSE)/VLOOKUP(A74,Ergebnis_je_Aktie_verwässert!A$3:AK$103,8,FALSE)&gt;=2,2,VLOOKUP(A74,Fiktive_Dividende!A$3:AM$103,14,FALSE)/VLOOKUP(A74,Ergebnis_je_Aktie_verwässert!A$3:AK$103,8,FALSE))),""),"")</f>
        <v>#N/A</v>
      </c>
      <c r="I74" s="71" t="e">
        <f>IF(VLOOKUP(A74,Fiktive_Dividende!A$3:AM$103,15,FALSE)&lt;&gt;"",IF(VLOOKUP(A74,Ergebnis_je_Aktie_verwässert!A$3:AK$103,9,FALSE)&lt;&gt;"",IF(VLOOKUP(A74,Ergebnis_je_Aktie_verwässert!A$3:AK$103,9,FALSE)&lt;=0,2,IF(VLOOKUP(A74,Fiktive_Dividende!A$3:AM$103,15,FALSE)/VLOOKUP(A74,Ergebnis_je_Aktie_verwässert!A$3:AK$103,9,FALSE)&gt;=2,2,VLOOKUP(A74,Fiktive_Dividende!A$3:AM$103,15,FALSE)/VLOOKUP(A74,Ergebnis_je_Aktie_verwässert!A$3:AK$103,9,FALSE))),""),"")</f>
        <v>#N/A</v>
      </c>
      <c r="J74" s="71" t="e">
        <f>IF(VLOOKUP(A74,Fiktive_Dividende!A$3:AM$103,16,FALSE)&lt;&gt;"",IF(VLOOKUP(A74,Ergebnis_je_Aktie_verwässert!A$3:AK$103,10,FALSE)&lt;&gt;"",IF(VLOOKUP(A74,Ergebnis_je_Aktie_verwässert!A$3:AK$103,10,FALSE)&lt;=0,2,IF(VLOOKUP(A74,Fiktive_Dividende!A$3:AM$103,16,FALSE)/VLOOKUP(A74,Ergebnis_je_Aktie_verwässert!A$3:AK$103,10,FALSE)&gt;=2,2,VLOOKUP(A74,Fiktive_Dividende!A$3:AM$103,16,FALSE)/VLOOKUP(A74,Ergebnis_je_Aktie_verwässert!A$3:AK$103,10,FALSE))),""),"")</f>
        <v>#N/A</v>
      </c>
      <c r="K74" s="71" t="e">
        <f>IF(VLOOKUP(A74,Fiktive_Dividende!A$3:AM$103,17,FALSE)&lt;&gt;"",IF(VLOOKUP(A74,Ergebnis_je_Aktie_verwässert!A$3:AK$103,11,FALSE)&lt;&gt;"",IF(VLOOKUP(A74,Ergebnis_je_Aktie_verwässert!A$3:AK$103,11,FALSE)&lt;=0,2,IF(VLOOKUP(A74,Fiktive_Dividende!A$3:AM$103,17,FALSE)/VLOOKUP(A74,Ergebnis_je_Aktie_verwässert!A$3:AK$103,11,FALSE)&gt;=2,2,VLOOKUP(A74,Fiktive_Dividende!A$3:AM$103,17,FALSE)/VLOOKUP(A74,Ergebnis_je_Aktie_verwässert!A$3:AK$103,11,FALSE))),""),"")</f>
        <v>#N/A</v>
      </c>
      <c r="L74" s="71" t="e">
        <f>IF(VLOOKUP(A74,Fiktive_Dividende!A$3:AM$103,18,FALSE)&lt;&gt;"",IF(VLOOKUP(A74,Ergebnis_je_Aktie_verwässert!A$3:AK$103,12,FALSE)&lt;&gt;"",IF(VLOOKUP(A74,Ergebnis_je_Aktie_verwässert!A$3:AK$103,12,FALSE)&lt;=0,2,IF(VLOOKUP(A74,Fiktive_Dividende!A$3:AM$103,18,FALSE)/VLOOKUP(A74,Ergebnis_je_Aktie_verwässert!A$3:AK$103,12,FALSE)&gt;=2,2,VLOOKUP(A74,Fiktive_Dividende!A$3:AM$103,18,FALSE)/VLOOKUP(A74,Ergebnis_je_Aktie_verwässert!A$3:AK$103,12,FALSE))),""),"")</f>
        <v>#N/A</v>
      </c>
      <c r="M74" s="71" t="e">
        <f>IF(VLOOKUP(A74,Fiktive_Dividende!A$3:AM$103,19,FALSE)&lt;&gt;"",IF(VLOOKUP(A74,Ergebnis_je_Aktie_verwässert!A$3:AK$103,13,FALSE)&lt;&gt;"",IF(VLOOKUP(A74,Ergebnis_je_Aktie_verwässert!A$3:AK$103,13,FALSE)&lt;=0,2,IF(VLOOKUP(A74,Fiktive_Dividende!A$3:AM$103,19,FALSE)/VLOOKUP(A74,Ergebnis_je_Aktie_verwässert!A$3:AK$103,13,FALSE)&gt;=2,2,VLOOKUP(A74,Fiktive_Dividende!A$3:AM$103,19,FALSE)/VLOOKUP(A74,Ergebnis_je_Aktie_verwässert!A$3:AK$103,13,FALSE))),""),"")</f>
        <v>#N/A</v>
      </c>
      <c r="N74" s="71" t="e">
        <f>IF(VLOOKUP(A74,Fiktive_Dividende!A$3:AM$103,20,FALSE)&lt;&gt;"",IF(VLOOKUP(A74,Ergebnis_je_Aktie_verwässert!A$3:AK$103,14,FALSE)&lt;&gt;"",IF(VLOOKUP(A74,Ergebnis_je_Aktie_verwässert!A$3:AK$103,14,FALSE)&lt;=0,2,IF(VLOOKUP(A74,Fiktive_Dividende!A$3:AM$103,20,FALSE)/VLOOKUP(A74,Ergebnis_je_Aktie_verwässert!A$3:AK$103,14,FALSE)&gt;=2,2,VLOOKUP(A74,Fiktive_Dividende!A$3:AM$103,20,FALSE)/VLOOKUP(A74,Ergebnis_je_Aktie_verwässert!A$3:AK$103,14,FALSE))),""),"")</f>
        <v>#N/A</v>
      </c>
      <c r="O74" s="71" t="e">
        <f>IF(VLOOKUP(A74,Fiktive_Dividende!A$3:AM$103,21,FALSE)&lt;&gt;"",IF(VLOOKUP(A74,Ergebnis_je_Aktie_verwässert!A$3:AK$103,15,FALSE)&lt;&gt;"",IF(VLOOKUP(A74,Ergebnis_je_Aktie_verwässert!A$3:AK$103,15,FALSE)&lt;=0,2,IF(VLOOKUP(A74,Fiktive_Dividende!A$3:AM$103,21,FALSE)/VLOOKUP(A74,Ergebnis_je_Aktie_verwässert!A$3:AK$103,15,FALSE)&gt;=2,2,VLOOKUP(A74,Fiktive_Dividende!A$3:AM$103,21,FALSE)/VLOOKUP(A74,Ergebnis_je_Aktie_verwässert!A$3:AK$103,15,FALSE))),""),"")</f>
        <v>#N/A</v>
      </c>
      <c r="P74" s="71" t="e">
        <f>IF(VLOOKUP(A74,Fiktive_Dividende!A$3:AM$103,22,FALSE)&lt;&gt;"",IF(VLOOKUP(A74,Ergebnis_je_Aktie_verwässert!A$3:AK$103,16,FALSE)&lt;&gt;"",IF(VLOOKUP(A74,Ergebnis_je_Aktie_verwässert!A$3:AK$103,16,FALSE)&lt;=0,2,IF(VLOOKUP(A74,Fiktive_Dividende!A$3:AM$103,22,FALSE)/VLOOKUP(A74,Ergebnis_je_Aktie_verwässert!A$3:AK$103,16,FALSE)&gt;=2,2,VLOOKUP(A74,Fiktive_Dividende!A$3:AM$103,22,FALSE)/VLOOKUP(A74,Ergebnis_je_Aktie_verwässert!A$3:AK$103,16,FALSE))),""),"")</f>
        <v>#N/A</v>
      </c>
      <c r="Q74" s="71" t="e">
        <f>IF(VLOOKUP(A74,Fiktive_Dividende!A$3:AM$103,23,FALSE)&lt;&gt;"",IF(VLOOKUP(A74,Ergebnis_je_Aktie_verwässert!A$3:AK$103,17,FALSE)&lt;&gt;"",IF(VLOOKUP(A74,Ergebnis_je_Aktie_verwässert!A$3:AK$103,17,FALSE)&lt;=0,2,IF(VLOOKUP(A74,Fiktive_Dividende!A$3:AM$103,23,FALSE)/VLOOKUP(A74,Ergebnis_je_Aktie_verwässert!A$3:AK$103,17,FALSE)&gt;=2,2,VLOOKUP(A74,Fiktive_Dividende!A$3:AM$103,23,FALSE)/VLOOKUP(A74,Ergebnis_je_Aktie_verwässert!A$3:AK$103,17,FALSE))),""),"")</f>
        <v>#N/A</v>
      </c>
      <c r="R74" s="71" t="e">
        <f>IF(VLOOKUP(A74,Fiktive_Dividende!A$3:AM$103,24,FALSE)&lt;&gt;"",IF(VLOOKUP(A74,Ergebnis_je_Aktie_verwässert!A$3:AK$103,18,FALSE)&lt;&gt;"",IF(VLOOKUP(A74,Ergebnis_je_Aktie_verwässert!A$3:AK$103,18,FALSE)&lt;=0,2,IF(VLOOKUP(A74,Fiktive_Dividende!A$3:AM$103,24,FALSE)/VLOOKUP(A74,Ergebnis_je_Aktie_verwässert!A$3:AK$103,18,FALSE)&gt;=2,2,VLOOKUP(A74,Fiktive_Dividende!A$3:AM$103,24,FALSE)/VLOOKUP(A74,Ergebnis_je_Aktie_verwässert!A$3:AK$103,18,FALSE))),""),"")</f>
        <v>#N/A</v>
      </c>
      <c r="S74" s="105" t="e">
        <f t="shared" si="14"/>
        <v>#N/A</v>
      </c>
      <c r="T74" s="71" t="e">
        <f>IF(VLOOKUP(A74,Dividende_je_Aktie!A$3:AM$103,6,FALSE)&lt;&gt;"",IF(VLOOKUP(A74,Ergebnis_je_Aktie_verwässert!A$3:AK$103,6,FALSE)&lt;&gt;"",IF(VLOOKUP(A74,Ergebnis_je_Aktie_verwässert!A$3:AK$103,6,FALSE)&lt;=0,2,IF(VLOOKUP(A74,Dividende_je_Aktie!A$3:AM$103,6,FALSE)/VLOOKUP(A74,Ergebnis_je_Aktie_verwässert!A$3:AK$103,6,FALSE)&gt;=2,2,VLOOKUP(A74,Dividende_je_Aktie!A$3:AM$103,6,FALSE)/VLOOKUP(A74,Ergebnis_je_Aktie_verwässert!A$3:AK$103,6,FALSE))),""),"")</f>
        <v>#N/A</v>
      </c>
      <c r="U74" s="71" t="e">
        <f>IF(VLOOKUP(A74,Dividende_je_Aktie!A$3:AM$103,7,FALSE)&lt;&gt;"",IF(VLOOKUP(A74,Ergebnis_je_Aktie_verwässert!A$3:AK$103,7,FALSE)&lt;&gt;"",IF(VLOOKUP(A74,Ergebnis_je_Aktie_verwässert!A$3:AK$103,7,FALSE)&lt;=0,2,IF(VLOOKUP(A74,Dividende_je_Aktie!A$3:AM$103,7,FALSE)/VLOOKUP(A74,Ergebnis_je_Aktie_verwässert!A$3:AK$103,7,FALSE)&gt;=2,2,VLOOKUP(A74,Dividende_je_Aktie!A$3:AM$103,7,FALSE)/VLOOKUP(A74,Ergebnis_je_Aktie_verwässert!A$3:AK$103,7,FALSE))),""),"")</f>
        <v>#N/A</v>
      </c>
      <c r="V74" s="71" t="e">
        <f>IF(VLOOKUP(A74,Dividende_je_Aktie!A$3:AM$103,8,FALSE)&lt;&gt;"",IF(VLOOKUP(A74,Ergebnis_je_Aktie_verwässert!A$3:AK$103,8,FALSE)&lt;&gt;"",IF(VLOOKUP(A74,Ergebnis_je_Aktie_verwässert!A$3:AK$103,8,FALSE)&lt;=0,2,IF(VLOOKUP(A74,Dividende_je_Aktie!A$3:AM$103,8,FALSE)/VLOOKUP(A74,Ergebnis_je_Aktie_verwässert!A$3:AK$103,8,FALSE)&gt;=2,2,VLOOKUP(A74,Dividende_je_Aktie!A$3:AM$103,8,FALSE)/VLOOKUP(A74,Ergebnis_je_Aktie_verwässert!A$3:AK$103,8,FALSE))),""),"")</f>
        <v>#N/A</v>
      </c>
      <c r="W74" s="71" t="e">
        <f>IF(VLOOKUP(A74,Dividende_je_Aktie!A$3:AM$103,9,FALSE)&lt;&gt;"",IF(VLOOKUP(A74,Ergebnis_je_Aktie_verwässert!A$3:AK$103,9,FALSE)&lt;&gt;"",IF(VLOOKUP(A74,Ergebnis_je_Aktie_verwässert!A$3:AK$103,9,FALSE)&lt;=0,2,IF(VLOOKUP(A74,Dividende_je_Aktie!A$3:AM$103,9,FALSE)/VLOOKUP(A74,Ergebnis_je_Aktie_verwässert!A$3:AK$103,9,FALSE)&gt;=2,2,VLOOKUP(A74,Dividende_je_Aktie!A$3:AM$103,9,FALSE)/VLOOKUP(A74,Ergebnis_je_Aktie_verwässert!A$3:AK$103,9,FALSE))),""),"")</f>
        <v>#N/A</v>
      </c>
      <c r="X74" s="71" t="e">
        <f>IF(VLOOKUP(A74,Dividende_je_Aktie!A$3:AM$103,10,FALSE)&lt;&gt;"",IF(VLOOKUP(A74,Ergebnis_je_Aktie_verwässert!A$3:AK$103,10,FALSE)&lt;&gt;"",IF(VLOOKUP(A74,Ergebnis_je_Aktie_verwässert!A$3:AK$103,10,FALSE)&lt;=0,2,IF(VLOOKUP(A74,Dividende_je_Aktie!A$3:AM$103,10,FALSE)/VLOOKUP(A74,Ergebnis_je_Aktie_verwässert!A$3:AK$103,10,FALSE)&gt;=2,2,VLOOKUP(A74,Dividende_je_Aktie!A$3:AM$103,10,FALSE)/VLOOKUP(A74,Ergebnis_je_Aktie_verwässert!A$3:AK$103,10,FALSE))),""),"")</f>
        <v>#N/A</v>
      </c>
      <c r="Y74" s="71" t="e">
        <f>IF(VLOOKUP(A74,Dividende_je_Aktie!A$3:AM$103,11,FALSE)&lt;&gt;"",IF(VLOOKUP(A74,Ergebnis_je_Aktie_verwässert!A$3:AK$103,11,FALSE)&lt;&gt;"",IF(VLOOKUP(A74,Ergebnis_je_Aktie_verwässert!A$3:AK$103,11,FALSE)&lt;=0,2,IF(VLOOKUP(A74,Dividende_je_Aktie!A$3:AM$103,11,FALSE)/VLOOKUP(A74,Ergebnis_je_Aktie_verwässert!A$3:AK$103,11,FALSE)&gt;=2,2,VLOOKUP(A74,Dividende_je_Aktie!A$3:AM$103,11,FALSE)/VLOOKUP(A74,Ergebnis_je_Aktie_verwässert!A$3:AK$103,11,FALSE))),""),"")</f>
        <v>#N/A</v>
      </c>
      <c r="Z74" s="71" t="e">
        <f>IF(VLOOKUP(A74,Dividende_je_Aktie!A$3:AM$103,12,FALSE)&lt;&gt;"",IF(VLOOKUP(A74,Ergebnis_je_Aktie_verwässert!A$3:AK$103,12,FALSE)&lt;&gt;"",IF(VLOOKUP(A74,Ergebnis_je_Aktie_verwässert!A$3:AK$103,12,FALSE)&lt;=0,2,IF(VLOOKUP(A74,Dividende_je_Aktie!A$3:AM$103,12,FALSE)/VLOOKUP(A74,Ergebnis_je_Aktie_verwässert!A$3:AK$103,12,FALSE)&gt;=2,2,VLOOKUP(A74,Dividende_je_Aktie!A$3:AM$103,12,FALSE)/VLOOKUP(A74,Ergebnis_je_Aktie_verwässert!A$3:AK$103,12,FALSE))),""),"")</f>
        <v>#N/A</v>
      </c>
      <c r="AA74" s="71" t="e">
        <f>IF(VLOOKUP(A74,Dividende_je_Aktie!A$3:AM$103,13,FALSE)&lt;&gt;"",IF(VLOOKUP(A74,Ergebnis_je_Aktie_verwässert!A$3:AK$103,13,FALSE)&lt;&gt;"",IF(VLOOKUP(A74,Ergebnis_je_Aktie_verwässert!A$3:AK$103,13,FALSE)&lt;=0,2,IF(VLOOKUP(A74,Dividende_je_Aktie!A$3:AM$103,13,FALSE)/VLOOKUP(A74,Ergebnis_je_Aktie_verwässert!A$3:AK$103,13,FALSE)&gt;=2,2,VLOOKUP(A74,Dividende_je_Aktie!A$3:AM$103,13,FALSE)/VLOOKUP(A74,Ergebnis_je_Aktie_verwässert!A$3:AK$103,13,FALSE))),""),"")</f>
        <v>#N/A</v>
      </c>
      <c r="AB74" s="71" t="e">
        <f>IF(VLOOKUP(A74,Dividende_je_Aktie!A$3:AM$103,14,FALSE)&lt;&gt;"",IF(VLOOKUP(A74,Ergebnis_je_Aktie_verwässert!A$3:AK$103,14,FALSE)&lt;&gt;"",IF(VLOOKUP(A74,Ergebnis_je_Aktie_verwässert!A$3:AK$103,14,FALSE)&lt;=0,2,IF(VLOOKUP(A74,Dividende_je_Aktie!A$3:AM$103,14,FALSE)/VLOOKUP(A74,Ergebnis_je_Aktie_verwässert!A$3:AK$103,14,FALSE)&gt;=2,2,VLOOKUP(A74,Dividende_je_Aktie!A$3:AM$103,14,FALSE)/VLOOKUP(A74,Ergebnis_je_Aktie_verwässert!A$3:AK$103,14,FALSE))),""),"")</f>
        <v>#N/A</v>
      </c>
      <c r="AC74" s="71" t="e">
        <f>IF(VLOOKUP(A74,Dividende_je_Aktie!A$3:AM$103,15,FALSE)&lt;&gt;"",IF(VLOOKUP(A74,Ergebnis_je_Aktie_verwässert!A$3:AK$103,15,FALSE)&lt;&gt;"",IF(VLOOKUP(A74,Ergebnis_je_Aktie_verwässert!A$3:AK$103,15,FALSE)&lt;=0,2,IF(VLOOKUP(A74,Dividende_je_Aktie!A$3:AM$103,15,FALSE)/VLOOKUP(A74,Ergebnis_je_Aktie_verwässert!A$3:AK$103,15,FALSE)&gt;=2,2,VLOOKUP(A74,Dividende_je_Aktie!A$3:AM$103,15,FALSE)/VLOOKUP(A74,Ergebnis_je_Aktie_verwässert!A$3:AK$103,15,FALSE))),""),"")</f>
        <v>#N/A</v>
      </c>
      <c r="AD74" s="71" t="e">
        <f>IF(VLOOKUP(A74,Dividende_je_Aktie!A$3:AM$103,16,FALSE)&lt;&gt;"",IF(VLOOKUP(A74,Ergebnis_je_Aktie_verwässert!A$3:AK$103,16,FALSE)&lt;&gt;"",IF(VLOOKUP(A74,Ergebnis_je_Aktie_verwässert!A$3:AK$103,16,FALSE)&lt;=0,2,IF(VLOOKUP(A74,Dividende_je_Aktie!A$3:AM$103,16,FALSE)/VLOOKUP(A74,Ergebnis_je_Aktie_verwässert!A$3:AK$103,16,FALSE)&gt;=2,2,VLOOKUP(A74,Dividende_je_Aktie!A$3:AM$103,16,FALSE)/VLOOKUP(A74,Ergebnis_je_Aktie_verwässert!A$3:AK$103,16,FALSE))),""),"")</f>
        <v>#N/A</v>
      </c>
      <c r="AE74" s="71" t="e">
        <f>IF(VLOOKUP(A74,Dividende_je_Aktie!A$3:AM$103,17,FALSE)&lt;&gt;"",IF(VLOOKUP(A74,Ergebnis_je_Aktie_verwässert!A$3:AK$103,17,FALSE)&lt;&gt;"",IF(VLOOKUP(A74,Ergebnis_je_Aktie_verwässert!A$3:AK$103,17,FALSE)&lt;=0,2,IF(VLOOKUP(A74,Dividende_je_Aktie!A$3:AM$103,17,FALSE)/VLOOKUP(A74,Ergebnis_je_Aktie_verwässert!A$3:AK$103,17,FALSE)&gt;=2,2,VLOOKUP(A74,Dividende_je_Aktie!A$3:AM$103,17,FALSE)/VLOOKUP(A74,Ergebnis_je_Aktie_verwässert!A$3:AK$103,17,FALSE))),""),"")</f>
        <v>#N/A</v>
      </c>
      <c r="AF74" s="71" t="e">
        <f>IF(VLOOKUP(A74,Dividende_je_Aktie!A$3:AM$103,18,FALSE)&lt;&gt;"",IF(VLOOKUP(A74,Ergebnis_je_Aktie_verwässert!A$3:AK$103,18,FALSE)&lt;&gt;"",IF(VLOOKUP(A74,Ergebnis_je_Aktie_verwässert!A$3:AK$103,18,FALSE)&lt;=0,2,IF(VLOOKUP(A74,Dividende_je_Aktie!A$3:AM$103,18,FALSE)/VLOOKUP(A74,Ergebnis_je_Aktie_verwässert!A$3:AK$103,18,FALSE)&gt;=2,2,VLOOKUP(A74,Dividende_je_Aktie!A$3:AM$103,18,FALSE)/VLOOKUP(A74,Ergebnis_je_Aktie_verwässert!A$3:AK$103,18,FALSE))),""),"")</f>
        <v>#N/A</v>
      </c>
      <c r="AG74" s="105" t="e">
        <f t="shared" si="15"/>
        <v>#N/A</v>
      </c>
      <c r="AH74" s="4">
        <f t="shared" ca="1" si="16"/>
        <v>41899</v>
      </c>
      <c r="AI74" s="4">
        <f t="shared" ca="1" si="17"/>
        <v>-41539</v>
      </c>
      <c r="AJ74" s="4" t="e">
        <f t="shared" ca="1" si="18"/>
        <v>#NUM!</v>
      </c>
      <c r="AK74" s="10" t="e">
        <f t="shared" ca="1" si="19"/>
        <v>#N/A</v>
      </c>
      <c r="AL74" s="5" t="e">
        <f t="shared" si="20"/>
        <v>#N/A</v>
      </c>
    </row>
    <row r="75" spans="1:38">
      <c r="C75" s="60"/>
      <c r="D75" s="60"/>
      <c r="E75" s="60"/>
      <c r="F75" s="71" t="e">
        <f>IF(VLOOKUP(A75,Dividende_je_Aktie!A$3:AM$103,6,FALSE)&lt;&gt;"",IF(VLOOKUP(A75,Ergebnis_je_Aktie_verwässert!A$3:AK$103,6,FALSE)&lt;&gt;"",IF(VLOOKUP(A75,Ergebnis_je_Aktie_verwässert!A$3:AK$103,6,FALSE)&lt;=0,2,IF(VLOOKUP(A75,Dividende_je_Aktie!A$3:AM$103,6,FALSE)/VLOOKUP(A75,Ergebnis_je_Aktie_verwässert!A$3:AK$103,6,FALSE)&gt;=2,2,VLOOKUP(A75,Dividende_je_Aktie!A$3:AM$103,6,FALSE)/VLOOKUP(A75,Ergebnis_je_Aktie_verwässert!A$3:AK$103,6,FALSE))),""),"")</f>
        <v>#N/A</v>
      </c>
      <c r="G75" s="71" t="e">
        <f>IF(VLOOKUP(A75,Dividende_je_Aktie!A$3:AM$103,7,FALSE)&lt;&gt;"",IF(VLOOKUP(A75,Ergebnis_je_Aktie_verwässert!A$3:AK$103,7,FALSE)&lt;&gt;"",IF(VLOOKUP(A75,Ergebnis_je_Aktie_verwässert!A$3:AK$103,7,FALSE)&lt;=0,2,IF(VLOOKUP(A75,Dividende_je_Aktie!A$3:AM$103,7,FALSE)/VLOOKUP(A75,Ergebnis_je_Aktie_verwässert!A$3:AK$103,7,FALSE)&gt;=2,2,VLOOKUP(A75,Dividende_je_Aktie!A$3:AM$103,7,FALSE)/VLOOKUP(A75,Ergebnis_je_Aktie_verwässert!A$3:AK$103,7,FALSE))),""),"")</f>
        <v>#N/A</v>
      </c>
      <c r="H75" s="71" t="e">
        <f>IF(VLOOKUP(A75,Fiktive_Dividende!A$3:AM$103,14,FALSE)&lt;&gt;"",IF(VLOOKUP(A75,Ergebnis_je_Aktie_verwässert!A$3:AK$103,8,FALSE)&lt;&gt;"",IF(VLOOKUP(A75,Ergebnis_je_Aktie_verwässert!A$3:AK$103,8,FALSE)&lt;=0,2,IF(VLOOKUP(A75,Fiktive_Dividende!A$3:AM$103,14,FALSE)/VLOOKUP(A75,Ergebnis_je_Aktie_verwässert!A$3:AK$103,8,FALSE)&gt;=2,2,VLOOKUP(A75,Fiktive_Dividende!A$3:AM$103,14,FALSE)/VLOOKUP(A75,Ergebnis_je_Aktie_verwässert!A$3:AK$103,8,FALSE))),""),"")</f>
        <v>#N/A</v>
      </c>
      <c r="I75" s="71" t="e">
        <f>IF(VLOOKUP(A75,Fiktive_Dividende!A$3:AM$103,15,FALSE)&lt;&gt;"",IF(VLOOKUP(A75,Ergebnis_je_Aktie_verwässert!A$3:AK$103,9,FALSE)&lt;&gt;"",IF(VLOOKUP(A75,Ergebnis_je_Aktie_verwässert!A$3:AK$103,9,FALSE)&lt;=0,2,IF(VLOOKUP(A75,Fiktive_Dividende!A$3:AM$103,15,FALSE)/VLOOKUP(A75,Ergebnis_je_Aktie_verwässert!A$3:AK$103,9,FALSE)&gt;=2,2,VLOOKUP(A75,Fiktive_Dividende!A$3:AM$103,15,FALSE)/VLOOKUP(A75,Ergebnis_je_Aktie_verwässert!A$3:AK$103,9,FALSE))),""),"")</f>
        <v>#N/A</v>
      </c>
      <c r="J75" s="71" t="e">
        <f>IF(VLOOKUP(A75,Fiktive_Dividende!A$3:AM$103,16,FALSE)&lt;&gt;"",IF(VLOOKUP(A75,Ergebnis_je_Aktie_verwässert!A$3:AK$103,10,FALSE)&lt;&gt;"",IF(VLOOKUP(A75,Ergebnis_je_Aktie_verwässert!A$3:AK$103,10,FALSE)&lt;=0,2,IF(VLOOKUP(A75,Fiktive_Dividende!A$3:AM$103,16,FALSE)/VLOOKUP(A75,Ergebnis_je_Aktie_verwässert!A$3:AK$103,10,FALSE)&gt;=2,2,VLOOKUP(A75,Fiktive_Dividende!A$3:AM$103,16,FALSE)/VLOOKUP(A75,Ergebnis_je_Aktie_verwässert!A$3:AK$103,10,FALSE))),""),"")</f>
        <v>#N/A</v>
      </c>
      <c r="K75" s="71" t="e">
        <f>IF(VLOOKUP(A75,Fiktive_Dividende!A$3:AM$103,17,FALSE)&lt;&gt;"",IF(VLOOKUP(A75,Ergebnis_je_Aktie_verwässert!A$3:AK$103,11,FALSE)&lt;&gt;"",IF(VLOOKUP(A75,Ergebnis_je_Aktie_verwässert!A$3:AK$103,11,FALSE)&lt;=0,2,IF(VLOOKUP(A75,Fiktive_Dividende!A$3:AM$103,17,FALSE)/VLOOKUP(A75,Ergebnis_je_Aktie_verwässert!A$3:AK$103,11,FALSE)&gt;=2,2,VLOOKUP(A75,Fiktive_Dividende!A$3:AM$103,17,FALSE)/VLOOKUP(A75,Ergebnis_je_Aktie_verwässert!A$3:AK$103,11,FALSE))),""),"")</f>
        <v>#N/A</v>
      </c>
      <c r="L75" s="71" t="e">
        <f>IF(VLOOKUP(A75,Fiktive_Dividende!A$3:AM$103,18,FALSE)&lt;&gt;"",IF(VLOOKUP(A75,Ergebnis_je_Aktie_verwässert!A$3:AK$103,12,FALSE)&lt;&gt;"",IF(VLOOKUP(A75,Ergebnis_je_Aktie_verwässert!A$3:AK$103,12,FALSE)&lt;=0,2,IF(VLOOKUP(A75,Fiktive_Dividende!A$3:AM$103,18,FALSE)/VLOOKUP(A75,Ergebnis_je_Aktie_verwässert!A$3:AK$103,12,FALSE)&gt;=2,2,VLOOKUP(A75,Fiktive_Dividende!A$3:AM$103,18,FALSE)/VLOOKUP(A75,Ergebnis_je_Aktie_verwässert!A$3:AK$103,12,FALSE))),""),"")</f>
        <v>#N/A</v>
      </c>
      <c r="M75" s="71" t="e">
        <f>IF(VLOOKUP(A75,Fiktive_Dividende!A$3:AM$103,19,FALSE)&lt;&gt;"",IF(VLOOKUP(A75,Ergebnis_je_Aktie_verwässert!A$3:AK$103,13,FALSE)&lt;&gt;"",IF(VLOOKUP(A75,Ergebnis_je_Aktie_verwässert!A$3:AK$103,13,FALSE)&lt;=0,2,IF(VLOOKUP(A75,Fiktive_Dividende!A$3:AM$103,19,FALSE)/VLOOKUP(A75,Ergebnis_je_Aktie_verwässert!A$3:AK$103,13,FALSE)&gt;=2,2,VLOOKUP(A75,Fiktive_Dividende!A$3:AM$103,19,FALSE)/VLOOKUP(A75,Ergebnis_je_Aktie_verwässert!A$3:AK$103,13,FALSE))),""),"")</f>
        <v>#N/A</v>
      </c>
      <c r="N75" s="71" t="e">
        <f>IF(VLOOKUP(A75,Fiktive_Dividende!A$3:AM$103,20,FALSE)&lt;&gt;"",IF(VLOOKUP(A75,Ergebnis_je_Aktie_verwässert!A$3:AK$103,14,FALSE)&lt;&gt;"",IF(VLOOKUP(A75,Ergebnis_je_Aktie_verwässert!A$3:AK$103,14,FALSE)&lt;=0,2,IF(VLOOKUP(A75,Fiktive_Dividende!A$3:AM$103,20,FALSE)/VLOOKUP(A75,Ergebnis_je_Aktie_verwässert!A$3:AK$103,14,FALSE)&gt;=2,2,VLOOKUP(A75,Fiktive_Dividende!A$3:AM$103,20,FALSE)/VLOOKUP(A75,Ergebnis_je_Aktie_verwässert!A$3:AK$103,14,FALSE))),""),"")</f>
        <v>#N/A</v>
      </c>
      <c r="O75" s="71" t="e">
        <f>IF(VLOOKUP(A75,Fiktive_Dividende!A$3:AM$103,21,FALSE)&lt;&gt;"",IF(VLOOKUP(A75,Ergebnis_je_Aktie_verwässert!A$3:AK$103,15,FALSE)&lt;&gt;"",IF(VLOOKUP(A75,Ergebnis_je_Aktie_verwässert!A$3:AK$103,15,FALSE)&lt;=0,2,IF(VLOOKUP(A75,Fiktive_Dividende!A$3:AM$103,21,FALSE)/VLOOKUP(A75,Ergebnis_je_Aktie_verwässert!A$3:AK$103,15,FALSE)&gt;=2,2,VLOOKUP(A75,Fiktive_Dividende!A$3:AM$103,21,FALSE)/VLOOKUP(A75,Ergebnis_je_Aktie_verwässert!A$3:AK$103,15,FALSE))),""),"")</f>
        <v>#N/A</v>
      </c>
      <c r="P75" s="71" t="e">
        <f>IF(VLOOKUP(A75,Fiktive_Dividende!A$3:AM$103,22,FALSE)&lt;&gt;"",IF(VLOOKUP(A75,Ergebnis_je_Aktie_verwässert!A$3:AK$103,16,FALSE)&lt;&gt;"",IF(VLOOKUP(A75,Ergebnis_je_Aktie_verwässert!A$3:AK$103,16,FALSE)&lt;=0,2,IF(VLOOKUP(A75,Fiktive_Dividende!A$3:AM$103,22,FALSE)/VLOOKUP(A75,Ergebnis_je_Aktie_verwässert!A$3:AK$103,16,FALSE)&gt;=2,2,VLOOKUP(A75,Fiktive_Dividende!A$3:AM$103,22,FALSE)/VLOOKUP(A75,Ergebnis_je_Aktie_verwässert!A$3:AK$103,16,FALSE))),""),"")</f>
        <v>#N/A</v>
      </c>
      <c r="Q75" s="71" t="e">
        <f>IF(VLOOKUP(A75,Fiktive_Dividende!A$3:AM$103,23,FALSE)&lt;&gt;"",IF(VLOOKUP(A75,Ergebnis_je_Aktie_verwässert!A$3:AK$103,17,FALSE)&lt;&gt;"",IF(VLOOKUP(A75,Ergebnis_je_Aktie_verwässert!A$3:AK$103,17,FALSE)&lt;=0,2,IF(VLOOKUP(A75,Fiktive_Dividende!A$3:AM$103,23,FALSE)/VLOOKUP(A75,Ergebnis_je_Aktie_verwässert!A$3:AK$103,17,FALSE)&gt;=2,2,VLOOKUP(A75,Fiktive_Dividende!A$3:AM$103,23,FALSE)/VLOOKUP(A75,Ergebnis_je_Aktie_verwässert!A$3:AK$103,17,FALSE))),""),"")</f>
        <v>#N/A</v>
      </c>
      <c r="R75" s="71" t="e">
        <f>IF(VLOOKUP(A75,Fiktive_Dividende!A$3:AM$103,24,FALSE)&lt;&gt;"",IF(VLOOKUP(A75,Ergebnis_je_Aktie_verwässert!A$3:AK$103,18,FALSE)&lt;&gt;"",IF(VLOOKUP(A75,Ergebnis_je_Aktie_verwässert!A$3:AK$103,18,FALSE)&lt;=0,2,IF(VLOOKUP(A75,Fiktive_Dividende!A$3:AM$103,24,FALSE)/VLOOKUP(A75,Ergebnis_je_Aktie_verwässert!A$3:AK$103,18,FALSE)&gt;=2,2,VLOOKUP(A75,Fiktive_Dividende!A$3:AM$103,24,FALSE)/VLOOKUP(A75,Ergebnis_je_Aktie_verwässert!A$3:AK$103,18,FALSE))),""),"")</f>
        <v>#N/A</v>
      </c>
      <c r="S75" s="105" t="e">
        <f t="shared" si="14"/>
        <v>#N/A</v>
      </c>
      <c r="T75" s="71" t="e">
        <f>IF(VLOOKUP(A75,Dividende_je_Aktie!A$3:AM$103,6,FALSE)&lt;&gt;"",IF(VLOOKUP(A75,Ergebnis_je_Aktie_verwässert!A$3:AK$103,6,FALSE)&lt;&gt;"",IF(VLOOKUP(A75,Ergebnis_je_Aktie_verwässert!A$3:AK$103,6,FALSE)&lt;=0,2,IF(VLOOKUP(A75,Dividende_je_Aktie!A$3:AM$103,6,FALSE)/VLOOKUP(A75,Ergebnis_je_Aktie_verwässert!A$3:AK$103,6,FALSE)&gt;=2,2,VLOOKUP(A75,Dividende_je_Aktie!A$3:AM$103,6,FALSE)/VLOOKUP(A75,Ergebnis_je_Aktie_verwässert!A$3:AK$103,6,FALSE))),""),"")</f>
        <v>#N/A</v>
      </c>
      <c r="U75" s="71" t="e">
        <f>IF(VLOOKUP(A75,Dividende_je_Aktie!A$3:AM$103,7,FALSE)&lt;&gt;"",IF(VLOOKUP(A75,Ergebnis_je_Aktie_verwässert!A$3:AK$103,7,FALSE)&lt;&gt;"",IF(VLOOKUP(A75,Ergebnis_je_Aktie_verwässert!A$3:AK$103,7,FALSE)&lt;=0,2,IF(VLOOKUP(A75,Dividende_je_Aktie!A$3:AM$103,7,FALSE)/VLOOKUP(A75,Ergebnis_je_Aktie_verwässert!A$3:AK$103,7,FALSE)&gt;=2,2,VLOOKUP(A75,Dividende_je_Aktie!A$3:AM$103,7,FALSE)/VLOOKUP(A75,Ergebnis_je_Aktie_verwässert!A$3:AK$103,7,FALSE))),""),"")</f>
        <v>#N/A</v>
      </c>
      <c r="V75" s="71" t="e">
        <f>IF(VLOOKUP(A75,Dividende_je_Aktie!A$3:AM$103,8,FALSE)&lt;&gt;"",IF(VLOOKUP(A75,Ergebnis_je_Aktie_verwässert!A$3:AK$103,8,FALSE)&lt;&gt;"",IF(VLOOKUP(A75,Ergebnis_je_Aktie_verwässert!A$3:AK$103,8,FALSE)&lt;=0,2,IF(VLOOKUP(A75,Dividende_je_Aktie!A$3:AM$103,8,FALSE)/VLOOKUP(A75,Ergebnis_je_Aktie_verwässert!A$3:AK$103,8,FALSE)&gt;=2,2,VLOOKUP(A75,Dividende_je_Aktie!A$3:AM$103,8,FALSE)/VLOOKUP(A75,Ergebnis_je_Aktie_verwässert!A$3:AK$103,8,FALSE))),""),"")</f>
        <v>#N/A</v>
      </c>
      <c r="W75" s="71" t="e">
        <f>IF(VLOOKUP(A75,Dividende_je_Aktie!A$3:AM$103,9,FALSE)&lt;&gt;"",IF(VLOOKUP(A75,Ergebnis_je_Aktie_verwässert!A$3:AK$103,9,FALSE)&lt;&gt;"",IF(VLOOKUP(A75,Ergebnis_je_Aktie_verwässert!A$3:AK$103,9,FALSE)&lt;=0,2,IF(VLOOKUP(A75,Dividende_je_Aktie!A$3:AM$103,9,FALSE)/VLOOKUP(A75,Ergebnis_je_Aktie_verwässert!A$3:AK$103,9,FALSE)&gt;=2,2,VLOOKUP(A75,Dividende_je_Aktie!A$3:AM$103,9,FALSE)/VLOOKUP(A75,Ergebnis_je_Aktie_verwässert!A$3:AK$103,9,FALSE))),""),"")</f>
        <v>#N/A</v>
      </c>
      <c r="X75" s="71" t="e">
        <f>IF(VLOOKUP(A75,Dividende_je_Aktie!A$3:AM$103,10,FALSE)&lt;&gt;"",IF(VLOOKUP(A75,Ergebnis_je_Aktie_verwässert!A$3:AK$103,10,FALSE)&lt;&gt;"",IF(VLOOKUP(A75,Ergebnis_je_Aktie_verwässert!A$3:AK$103,10,FALSE)&lt;=0,2,IF(VLOOKUP(A75,Dividende_je_Aktie!A$3:AM$103,10,FALSE)/VLOOKUP(A75,Ergebnis_je_Aktie_verwässert!A$3:AK$103,10,FALSE)&gt;=2,2,VLOOKUP(A75,Dividende_je_Aktie!A$3:AM$103,10,FALSE)/VLOOKUP(A75,Ergebnis_je_Aktie_verwässert!A$3:AK$103,10,FALSE))),""),"")</f>
        <v>#N/A</v>
      </c>
      <c r="Y75" s="71" t="e">
        <f>IF(VLOOKUP(A75,Dividende_je_Aktie!A$3:AM$103,11,FALSE)&lt;&gt;"",IF(VLOOKUP(A75,Ergebnis_je_Aktie_verwässert!A$3:AK$103,11,FALSE)&lt;&gt;"",IF(VLOOKUP(A75,Ergebnis_je_Aktie_verwässert!A$3:AK$103,11,FALSE)&lt;=0,2,IF(VLOOKUP(A75,Dividende_je_Aktie!A$3:AM$103,11,FALSE)/VLOOKUP(A75,Ergebnis_je_Aktie_verwässert!A$3:AK$103,11,FALSE)&gt;=2,2,VLOOKUP(A75,Dividende_je_Aktie!A$3:AM$103,11,FALSE)/VLOOKUP(A75,Ergebnis_je_Aktie_verwässert!A$3:AK$103,11,FALSE))),""),"")</f>
        <v>#N/A</v>
      </c>
      <c r="Z75" s="71" t="e">
        <f>IF(VLOOKUP(A75,Dividende_je_Aktie!A$3:AM$103,12,FALSE)&lt;&gt;"",IF(VLOOKUP(A75,Ergebnis_je_Aktie_verwässert!A$3:AK$103,12,FALSE)&lt;&gt;"",IF(VLOOKUP(A75,Ergebnis_je_Aktie_verwässert!A$3:AK$103,12,FALSE)&lt;=0,2,IF(VLOOKUP(A75,Dividende_je_Aktie!A$3:AM$103,12,FALSE)/VLOOKUP(A75,Ergebnis_je_Aktie_verwässert!A$3:AK$103,12,FALSE)&gt;=2,2,VLOOKUP(A75,Dividende_je_Aktie!A$3:AM$103,12,FALSE)/VLOOKUP(A75,Ergebnis_je_Aktie_verwässert!A$3:AK$103,12,FALSE))),""),"")</f>
        <v>#N/A</v>
      </c>
      <c r="AA75" s="71" t="e">
        <f>IF(VLOOKUP(A75,Dividende_je_Aktie!A$3:AM$103,13,FALSE)&lt;&gt;"",IF(VLOOKUP(A75,Ergebnis_je_Aktie_verwässert!A$3:AK$103,13,FALSE)&lt;&gt;"",IF(VLOOKUP(A75,Ergebnis_je_Aktie_verwässert!A$3:AK$103,13,FALSE)&lt;=0,2,IF(VLOOKUP(A75,Dividende_je_Aktie!A$3:AM$103,13,FALSE)/VLOOKUP(A75,Ergebnis_je_Aktie_verwässert!A$3:AK$103,13,FALSE)&gt;=2,2,VLOOKUP(A75,Dividende_je_Aktie!A$3:AM$103,13,FALSE)/VLOOKUP(A75,Ergebnis_je_Aktie_verwässert!A$3:AK$103,13,FALSE))),""),"")</f>
        <v>#N/A</v>
      </c>
      <c r="AB75" s="71" t="e">
        <f>IF(VLOOKUP(A75,Dividende_je_Aktie!A$3:AM$103,14,FALSE)&lt;&gt;"",IF(VLOOKUP(A75,Ergebnis_je_Aktie_verwässert!A$3:AK$103,14,FALSE)&lt;&gt;"",IF(VLOOKUP(A75,Ergebnis_je_Aktie_verwässert!A$3:AK$103,14,FALSE)&lt;=0,2,IF(VLOOKUP(A75,Dividende_je_Aktie!A$3:AM$103,14,FALSE)/VLOOKUP(A75,Ergebnis_je_Aktie_verwässert!A$3:AK$103,14,FALSE)&gt;=2,2,VLOOKUP(A75,Dividende_je_Aktie!A$3:AM$103,14,FALSE)/VLOOKUP(A75,Ergebnis_je_Aktie_verwässert!A$3:AK$103,14,FALSE))),""),"")</f>
        <v>#N/A</v>
      </c>
      <c r="AC75" s="71" t="e">
        <f>IF(VLOOKUP(A75,Dividende_je_Aktie!A$3:AM$103,15,FALSE)&lt;&gt;"",IF(VLOOKUP(A75,Ergebnis_je_Aktie_verwässert!A$3:AK$103,15,FALSE)&lt;&gt;"",IF(VLOOKUP(A75,Ergebnis_je_Aktie_verwässert!A$3:AK$103,15,FALSE)&lt;=0,2,IF(VLOOKUP(A75,Dividende_je_Aktie!A$3:AM$103,15,FALSE)/VLOOKUP(A75,Ergebnis_je_Aktie_verwässert!A$3:AK$103,15,FALSE)&gt;=2,2,VLOOKUP(A75,Dividende_je_Aktie!A$3:AM$103,15,FALSE)/VLOOKUP(A75,Ergebnis_je_Aktie_verwässert!A$3:AK$103,15,FALSE))),""),"")</f>
        <v>#N/A</v>
      </c>
      <c r="AD75" s="71" t="e">
        <f>IF(VLOOKUP(A75,Dividende_je_Aktie!A$3:AM$103,16,FALSE)&lt;&gt;"",IF(VLOOKUP(A75,Ergebnis_je_Aktie_verwässert!A$3:AK$103,16,FALSE)&lt;&gt;"",IF(VLOOKUP(A75,Ergebnis_je_Aktie_verwässert!A$3:AK$103,16,FALSE)&lt;=0,2,IF(VLOOKUP(A75,Dividende_je_Aktie!A$3:AM$103,16,FALSE)/VLOOKUP(A75,Ergebnis_je_Aktie_verwässert!A$3:AK$103,16,FALSE)&gt;=2,2,VLOOKUP(A75,Dividende_je_Aktie!A$3:AM$103,16,FALSE)/VLOOKUP(A75,Ergebnis_je_Aktie_verwässert!A$3:AK$103,16,FALSE))),""),"")</f>
        <v>#N/A</v>
      </c>
      <c r="AE75" s="71" t="e">
        <f>IF(VLOOKUP(A75,Dividende_je_Aktie!A$3:AM$103,17,FALSE)&lt;&gt;"",IF(VLOOKUP(A75,Ergebnis_je_Aktie_verwässert!A$3:AK$103,17,FALSE)&lt;&gt;"",IF(VLOOKUP(A75,Ergebnis_je_Aktie_verwässert!A$3:AK$103,17,FALSE)&lt;=0,2,IF(VLOOKUP(A75,Dividende_je_Aktie!A$3:AM$103,17,FALSE)/VLOOKUP(A75,Ergebnis_je_Aktie_verwässert!A$3:AK$103,17,FALSE)&gt;=2,2,VLOOKUP(A75,Dividende_je_Aktie!A$3:AM$103,17,FALSE)/VLOOKUP(A75,Ergebnis_je_Aktie_verwässert!A$3:AK$103,17,FALSE))),""),"")</f>
        <v>#N/A</v>
      </c>
      <c r="AF75" s="71" t="e">
        <f>IF(VLOOKUP(A75,Dividende_je_Aktie!A$3:AM$103,18,FALSE)&lt;&gt;"",IF(VLOOKUP(A75,Ergebnis_je_Aktie_verwässert!A$3:AK$103,18,FALSE)&lt;&gt;"",IF(VLOOKUP(A75,Ergebnis_je_Aktie_verwässert!A$3:AK$103,18,FALSE)&lt;=0,2,IF(VLOOKUP(A75,Dividende_je_Aktie!A$3:AM$103,18,FALSE)/VLOOKUP(A75,Ergebnis_je_Aktie_verwässert!A$3:AK$103,18,FALSE)&gt;=2,2,VLOOKUP(A75,Dividende_je_Aktie!A$3:AM$103,18,FALSE)/VLOOKUP(A75,Ergebnis_je_Aktie_verwässert!A$3:AK$103,18,FALSE))),""),"")</f>
        <v>#N/A</v>
      </c>
      <c r="AG75" s="105" t="e">
        <f t="shared" si="15"/>
        <v>#N/A</v>
      </c>
      <c r="AH75" s="4">
        <f t="shared" ca="1" si="16"/>
        <v>41899</v>
      </c>
      <c r="AI75" s="4">
        <f t="shared" ca="1" si="17"/>
        <v>-41539</v>
      </c>
      <c r="AJ75" s="4" t="e">
        <f t="shared" ca="1" si="18"/>
        <v>#NUM!</v>
      </c>
      <c r="AK75" s="10" t="e">
        <f t="shared" ca="1" si="19"/>
        <v>#N/A</v>
      </c>
      <c r="AL75" s="5" t="e">
        <f t="shared" si="20"/>
        <v>#N/A</v>
      </c>
    </row>
    <row r="76" spans="1:38">
      <c r="C76" s="60"/>
      <c r="D76" s="60"/>
      <c r="E76" s="60"/>
      <c r="F76" s="71" t="e">
        <f>IF(VLOOKUP(A76,Dividende_je_Aktie!A$3:AM$103,6,FALSE)&lt;&gt;"",IF(VLOOKUP(A76,Ergebnis_je_Aktie_verwässert!A$3:AK$103,6,FALSE)&lt;&gt;"",IF(VLOOKUP(A76,Ergebnis_je_Aktie_verwässert!A$3:AK$103,6,FALSE)&lt;=0,2,IF(VLOOKUP(A76,Dividende_je_Aktie!A$3:AM$103,6,FALSE)/VLOOKUP(A76,Ergebnis_je_Aktie_verwässert!A$3:AK$103,6,FALSE)&gt;=2,2,VLOOKUP(A76,Dividende_je_Aktie!A$3:AM$103,6,FALSE)/VLOOKUP(A76,Ergebnis_je_Aktie_verwässert!A$3:AK$103,6,FALSE))),""),"")</f>
        <v>#N/A</v>
      </c>
      <c r="G76" s="71" t="e">
        <f>IF(VLOOKUP(A76,Dividende_je_Aktie!A$3:AM$103,7,FALSE)&lt;&gt;"",IF(VLOOKUP(A76,Ergebnis_je_Aktie_verwässert!A$3:AK$103,7,FALSE)&lt;&gt;"",IF(VLOOKUP(A76,Ergebnis_je_Aktie_verwässert!A$3:AK$103,7,FALSE)&lt;=0,2,IF(VLOOKUP(A76,Dividende_je_Aktie!A$3:AM$103,7,FALSE)/VLOOKUP(A76,Ergebnis_je_Aktie_verwässert!A$3:AK$103,7,FALSE)&gt;=2,2,VLOOKUP(A76,Dividende_je_Aktie!A$3:AM$103,7,FALSE)/VLOOKUP(A76,Ergebnis_je_Aktie_verwässert!A$3:AK$103,7,FALSE))),""),"")</f>
        <v>#N/A</v>
      </c>
      <c r="H76" s="71" t="e">
        <f>IF(VLOOKUP(A76,Fiktive_Dividende!A$3:AM$103,14,FALSE)&lt;&gt;"",IF(VLOOKUP(A76,Ergebnis_je_Aktie_verwässert!A$3:AK$103,8,FALSE)&lt;&gt;"",IF(VLOOKUP(A76,Ergebnis_je_Aktie_verwässert!A$3:AK$103,8,FALSE)&lt;=0,2,IF(VLOOKUP(A76,Fiktive_Dividende!A$3:AM$103,14,FALSE)/VLOOKUP(A76,Ergebnis_je_Aktie_verwässert!A$3:AK$103,8,FALSE)&gt;=2,2,VLOOKUP(A76,Fiktive_Dividende!A$3:AM$103,14,FALSE)/VLOOKUP(A76,Ergebnis_je_Aktie_verwässert!A$3:AK$103,8,FALSE))),""),"")</f>
        <v>#N/A</v>
      </c>
      <c r="I76" s="71" t="e">
        <f>IF(VLOOKUP(A76,Fiktive_Dividende!A$3:AM$103,15,FALSE)&lt;&gt;"",IF(VLOOKUP(A76,Ergebnis_je_Aktie_verwässert!A$3:AK$103,9,FALSE)&lt;&gt;"",IF(VLOOKUP(A76,Ergebnis_je_Aktie_verwässert!A$3:AK$103,9,FALSE)&lt;=0,2,IF(VLOOKUP(A76,Fiktive_Dividende!A$3:AM$103,15,FALSE)/VLOOKUP(A76,Ergebnis_je_Aktie_verwässert!A$3:AK$103,9,FALSE)&gt;=2,2,VLOOKUP(A76,Fiktive_Dividende!A$3:AM$103,15,FALSE)/VLOOKUP(A76,Ergebnis_je_Aktie_verwässert!A$3:AK$103,9,FALSE))),""),"")</f>
        <v>#N/A</v>
      </c>
      <c r="J76" s="71" t="e">
        <f>IF(VLOOKUP(A76,Fiktive_Dividende!A$3:AM$103,16,FALSE)&lt;&gt;"",IF(VLOOKUP(A76,Ergebnis_je_Aktie_verwässert!A$3:AK$103,10,FALSE)&lt;&gt;"",IF(VLOOKUP(A76,Ergebnis_je_Aktie_verwässert!A$3:AK$103,10,FALSE)&lt;=0,2,IF(VLOOKUP(A76,Fiktive_Dividende!A$3:AM$103,16,FALSE)/VLOOKUP(A76,Ergebnis_je_Aktie_verwässert!A$3:AK$103,10,FALSE)&gt;=2,2,VLOOKUP(A76,Fiktive_Dividende!A$3:AM$103,16,FALSE)/VLOOKUP(A76,Ergebnis_je_Aktie_verwässert!A$3:AK$103,10,FALSE))),""),"")</f>
        <v>#N/A</v>
      </c>
      <c r="K76" s="71" t="e">
        <f>IF(VLOOKUP(A76,Fiktive_Dividende!A$3:AM$103,17,FALSE)&lt;&gt;"",IF(VLOOKUP(A76,Ergebnis_je_Aktie_verwässert!A$3:AK$103,11,FALSE)&lt;&gt;"",IF(VLOOKUP(A76,Ergebnis_je_Aktie_verwässert!A$3:AK$103,11,FALSE)&lt;=0,2,IF(VLOOKUP(A76,Fiktive_Dividende!A$3:AM$103,17,FALSE)/VLOOKUP(A76,Ergebnis_je_Aktie_verwässert!A$3:AK$103,11,FALSE)&gt;=2,2,VLOOKUP(A76,Fiktive_Dividende!A$3:AM$103,17,FALSE)/VLOOKUP(A76,Ergebnis_je_Aktie_verwässert!A$3:AK$103,11,FALSE))),""),"")</f>
        <v>#N/A</v>
      </c>
      <c r="L76" s="71" t="e">
        <f>IF(VLOOKUP(A76,Fiktive_Dividende!A$3:AM$103,18,FALSE)&lt;&gt;"",IF(VLOOKUP(A76,Ergebnis_je_Aktie_verwässert!A$3:AK$103,12,FALSE)&lt;&gt;"",IF(VLOOKUP(A76,Ergebnis_je_Aktie_verwässert!A$3:AK$103,12,FALSE)&lt;=0,2,IF(VLOOKUP(A76,Fiktive_Dividende!A$3:AM$103,18,FALSE)/VLOOKUP(A76,Ergebnis_je_Aktie_verwässert!A$3:AK$103,12,FALSE)&gt;=2,2,VLOOKUP(A76,Fiktive_Dividende!A$3:AM$103,18,FALSE)/VLOOKUP(A76,Ergebnis_je_Aktie_verwässert!A$3:AK$103,12,FALSE))),""),"")</f>
        <v>#N/A</v>
      </c>
      <c r="M76" s="71" t="e">
        <f>IF(VLOOKUP(A76,Fiktive_Dividende!A$3:AM$103,19,FALSE)&lt;&gt;"",IF(VLOOKUP(A76,Ergebnis_je_Aktie_verwässert!A$3:AK$103,13,FALSE)&lt;&gt;"",IF(VLOOKUP(A76,Ergebnis_je_Aktie_verwässert!A$3:AK$103,13,FALSE)&lt;=0,2,IF(VLOOKUP(A76,Fiktive_Dividende!A$3:AM$103,19,FALSE)/VLOOKUP(A76,Ergebnis_je_Aktie_verwässert!A$3:AK$103,13,FALSE)&gt;=2,2,VLOOKUP(A76,Fiktive_Dividende!A$3:AM$103,19,FALSE)/VLOOKUP(A76,Ergebnis_je_Aktie_verwässert!A$3:AK$103,13,FALSE))),""),"")</f>
        <v>#N/A</v>
      </c>
      <c r="N76" s="71" t="e">
        <f>IF(VLOOKUP(A76,Fiktive_Dividende!A$3:AM$103,20,FALSE)&lt;&gt;"",IF(VLOOKUP(A76,Ergebnis_je_Aktie_verwässert!A$3:AK$103,14,FALSE)&lt;&gt;"",IF(VLOOKUP(A76,Ergebnis_je_Aktie_verwässert!A$3:AK$103,14,FALSE)&lt;=0,2,IF(VLOOKUP(A76,Fiktive_Dividende!A$3:AM$103,20,FALSE)/VLOOKUP(A76,Ergebnis_je_Aktie_verwässert!A$3:AK$103,14,FALSE)&gt;=2,2,VLOOKUP(A76,Fiktive_Dividende!A$3:AM$103,20,FALSE)/VLOOKUP(A76,Ergebnis_je_Aktie_verwässert!A$3:AK$103,14,FALSE))),""),"")</f>
        <v>#N/A</v>
      </c>
      <c r="O76" s="71" t="e">
        <f>IF(VLOOKUP(A76,Fiktive_Dividende!A$3:AM$103,21,FALSE)&lt;&gt;"",IF(VLOOKUP(A76,Ergebnis_je_Aktie_verwässert!A$3:AK$103,15,FALSE)&lt;&gt;"",IF(VLOOKUP(A76,Ergebnis_je_Aktie_verwässert!A$3:AK$103,15,FALSE)&lt;=0,2,IF(VLOOKUP(A76,Fiktive_Dividende!A$3:AM$103,21,FALSE)/VLOOKUP(A76,Ergebnis_je_Aktie_verwässert!A$3:AK$103,15,FALSE)&gt;=2,2,VLOOKUP(A76,Fiktive_Dividende!A$3:AM$103,21,FALSE)/VLOOKUP(A76,Ergebnis_je_Aktie_verwässert!A$3:AK$103,15,FALSE))),""),"")</f>
        <v>#N/A</v>
      </c>
      <c r="P76" s="71" t="e">
        <f>IF(VLOOKUP(A76,Fiktive_Dividende!A$3:AM$103,22,FALSE)&lt;&gt;"",IF(VLOOKUP(A76,Ergebnis_je_Aktie_verwässert!A$3:AK$103,16,FALSE)&lt;&gt;"",IF(VLOOKUP(A76,Ergebnis_je_Aktie_verwässert!A$3:AK$103,16,FALSE)&lt;=0,2,IF(VLOOKUP(A76,Fiktive_Dividende!A$3:AM$103,22,FALSE)/VLOOKUP(A76,Ergebnis_je_Aktie_verwässert!A$3:AK$103,16,FALSE)&gt;=2,2,VLOOKUP(A76,Fiktive_Dividende!A$3:AM$103,22,FALSE)/VLOOKUP(A76,Ergebnis_je_Aktie_verwässert!A$3:AK$103,16,FALSE))),""),"")</f>
        <v>#N/A</v>
      </c>
      <c r="Q76" s="71" t="e">
        <f>IF(VLOOKUP(A76,Fiktive_Dividende!A$3:AM$103,23,FALSE)&lt;&gt;"",IF(VLOOKUP(A76,Ergebnis_je_Aktie_verwässert!A$3:AK$103,17,FALSE)&lt;&gt;"",IF(VLOOKUP(A76,Ergebnis_je_Aktie_verwässert!A$3:AK$103,17,FALSE)&lt;=0,2,IF(VLOOKUP(A76,Fiktive_Dividende!A$3:AM$103,23,FALSE)/VLOOKUP(A76,Ergebnis_je_Aktie_verwässert!A$3:AK$103,17,FALSE)&gt;=2,2,VLOOKUP(A76,Fiktive_Dividende!A$3:AM$103,23,FALSE)/VLOOKUP(A76,Ergebnis_je_Aktie_verwässert!A$3:AK$103,17,FALSE))),""),"")</f>
        <v>#N/A</v>
      </c>
      <c r="R76" s="71" t="e">
        <f>IF(VLOOKUP(A76,Fiktive_Dividende!A$3:AM$103,24,FALSE)&lt;&gt;"",IF(VLOOKUP(A76,Ergebnis_je_Aktie_verwässert!A$3:AK$103,18,FALSE)&lt;&gt;"",IF(VLOOKUP(A76,Ergebnis_je_Aktie_verwässert!A$3:AK$103,18,FALSE)&lt;=0,2,IF(VLOOKUP(A76,Fiktive_Dividende!A$3:AM$103,24,FALSE)/VLOOKUP(A76,Ergebnis_je_Aktie_verwässert!A$3:AK$103,18,FALSE)&gt;=2,2,VLOOKUP(A76,Fiktive_Dividende!A$3:AM$103,24,FALSE)/VLOOKUP(A76,Ergebnis_je_Aktie_verwässert!A$3:AK$103,18,FALSE))),""),"")</f>
        <v>#N/A</v>
      </c>
      <c r="S76" s="105" t="e">
        <f t="shared" si="14"/>
        <v>#N/A</v>
      </c>
      <c r="T76" s="71" t="e">
        <f>IF(VLOOKUP(A76,Dividende_je_Aktie!A$3:AM$103,6,FALSE)&lt;&gt;"",IF(VLOOKUP(A76,Ergebnis_je_Aktie_verwässert!A$3:AK$103,6,FALSE)&lt;&gt;"",IF(VLOOKUP(A76,Ergebnis_je_Aktie_verwässert!A$3:AK$103,6,FALSE)&lt;=0,2,IF(VLOOKUP(A76,Dividende_je_Aktie!A$3:AM$103,6,FALSE)/VLOOKUP(A76,Ergebnis_je_Aktie_verwässert!A$3:AK$103,6,FALSE)&gt;=2,2,VLOOKUP(A76,Dividende_je_Aktie!A$3:AM$103,6,FALSE)/VLOOKUP(A76,Ergebnis_je_Aktie_verwässert!A$3:AK$103,6,FALSE))),""),"")</f>
        <v>#N/A</v>
      </c>
      <c r="U76" s="71" t="e">
        <f>IF(VLOOKUP(A76,Dividende_je_Aktie!A$3:AM$103,7,FALSE)&lt;&gt;"",IF(VLOOKUP(A76,Ergebnis_je_Aktie_verwässert!A$3:AK$103,7,FALSE)&lt;&gt;"",IF(VLOOKUP(A76,Ergebnis_je_Aktie_verwässert!A$3:AK$103,7,FALSE)&lt;=0,2,IF(VLOOKUP(A76,Dividende_je_Aktie!A$3:AM$103,7,FALSE)/VLOOKUP(A76,Ergebnis_je_Aktie_verwässert!A$3:AK$103,7,FALSE)&gt;=2,2,VLOOKUP(A76,Dividende_je_Aktie!A$3:AM$103,7,FALSE)/VLOOKUP(A76,Ergebnis_je_Aktie_verwässert!A$3:AK$103,7,FALSE))),""),"")</f>
        <v>#N/A</v>
      </c>
      <c r="V76" s="71" t="e">
        <f>IF(VLOOKUP(A76,Dividende_je_Aktie!A$3:AM$103,8,FALSE)&lt;&gt;"",IF(VLOOKUP(A76,Ergebnis_je_Aktie_verwässert!A$3:AK$103,8,FALSE)&lt;&gt;"",IF(VLOOKUP(A76,Ergebnis_je_Aktie_verwässert!A$3:AK$103,8,FALSE)&lt;=0,2,IF(VLOOKUP(A76,Dividende_je_Aktie!A$3:AM$103,8,FALSE)/VLOOKUP(A76,Ergebnis_je_Aktie_verwässert!A$3:AK$103,8,FALSE)&gt;=2,2,VLOOKUP(A76,Dividende_je_Aktie!A$3:AM$103,8,FALSE)/VLOOKUP(A76,Ergebnis_je_Aktie_verwässert!A$3:AK$103,8,FALSE))),""),"")</f>
        <v>#N/A</v>
      </c>
      <c r="W76" s="71" t="e">
        <f>IF(VLOOKUP(A76,Dividende_je_Aktie!A$3:AM$103,9,FALSE)&lt;&gt;"",IF(VLOOKUP(A76,Ergebnis_je_Aktie_verwässert!A$3:AK$103,9,FALSE)&lt;&gt;"",IF(VLOOKUP(A76,Ergebnis_je_Aktie_verwässert!A$3:AK$103,9,FALSE)&lt;=0,2,IF(VLOOKUP(A76,Dividende_je_Aktie!A$3:AM$103,9,FALSE)/VLOOKUP(A76,Ergebnis_je_Aktie_verwässert!A$3:AK$103,9,FALSE)&gt;=2,2,VLOOKUP(A76,Dividende_je_Aktie!A$3:AM$103,9,FALSE)/VLOOKUP(A76,Ergebnis_je_Aktie_verwässert!A$3:AK$103,9,FALSE))),""),"")</f>
        <v>#N/A</v>
      </c>
      <c r="X76" s="71" t="e">
        <f>IF(VLOOKUP(A76,Dividende_je_Aktie!A$3:AM$103,10,FALSE)&lt;&gt;"",IF(VLOOKUP(A76,Ergebnis_je_Aktie_verwässert!A$3:AK$103,10,FALSE)&lt;&gt;"",IF(VLOOKUP(A76,Ergebnis_je_Aktie_verwässert!A$3:AK$103,10,FALSE)&lt;=0,2,IF(VLOOKUP(A76,Dividende_je_Aktie!A$3:AM$103,10,FALSE)/VLOOKUP(A76,Ergebnis_je_Aktie_verwässert!A$3:AK$103,10,FALSE)&gt;=2,2,VLOOKUP(A76,Dividende_je_Aktie!A$3:AM$103,10,FALSE)/VLOOKUP(A76,Ergebnis_je_Aktie_verwässert!A$3:AK$103,10,FALSE))),""),"")</f>
        <v>#N/A</v>
      </c>
      <c r="Y76" s="71" t="e">
        <f>IF(VLOOKUP(A76,Dividende_je_Aktie!A$3:AM$103,11,FALSE)&lt;&gt;"",IF(VLOOKUP(A76,Ergebnis_je_Aktie_verwässert!A$3:AK$103,11,FALSE)&lt;&gt;"",IF(VLOOKUP(A76,Ergebnis_je_Aktie_verwässert!A$3:AK$103,11,FALSE)&lt;=0,2,IF(VLOOKUP(A76,Dividende_je_Aktie!A$3:AM$103,11,FALSE)/VLOOKUP(A76,Ergebnis_je_Aktie_verwässert!A$3:AK$103,11,FALSE)&gt;=2,2,VLOOKUP(A76,Dividende_je_Aktie!A$3:AM$103,11,FALSE)/VLOOKUP(A76,Ergebnis_je_Aktie_verwässert!A$3:AK$103,11,FALSE))),""),"")</f>
        <v>#N/A</v>
      </c>
      <c r="Z76" s="71" t="e">
        <f>IF(VLOOKUP(A76,Dividende_je_Aktie!A$3:AM$103,12,FALSE)&lt;&gt;"",IF(VLOOKUP(A76,Ergebnis_je_Aktie_verwässert!A$3:AK$103,12,FALSE)&lt;&gt;"",IF(VLOOKUP(A76,Ergebnis_je_Aktie_verwässert!A$3:AK$103,12,FALSE)&lt;=0,2,IF(VLOOKUP(A76,Dividende_je_Aktie!A$3:AM$103,12,FALSE)/VLOOKUP(A76,Ergebnis_je_Aktie_verwässert!A$3:AK$103,12,FALSE)&gt;=2,2,VLOOKUP(A76,Dividende_je_Aktie!A$3:AM$103,12,FALSE)/VLOOKUP(A76,Ergebnis_je_Aktie_verwässert!A$3:AK$103,12,FALSE))),""),"")</f>
        <v>#N/A</v>
      </c>
      <c r="AA76" s="71" t="e">
        <f>IF(VLOOKUP(A76,Dividende_je_Aktie!A$3:AM$103,13,FALSE)&lt;&gt;"",IF(VLOOKUP(A76,Ergebnis_je_Aktie_verwässert!A$3:AK$103,13,FALSE)&lt;&gt;"",IF(VLOOKUP(A76,Ergebnis_je_Aktie_verwässert!A$3:AK$103,13,FALSE)&lt;=0,2,IF(VLOOKUP(A76,Dividende_je_Aktie!A$3:AM$103,13,FALSE)/VLOOKUP(A76,Ergebnis_je_Aktie_verwässert!A$3:AK$103,13,FALSE)&gt;=2,2,VLOOKUP(A76,Dividende_je_Aktie!A$3:AM$103,13,FALSE)/VLOOKUP(A76,Ergebnis_je_Aktie_verwässert!A$3:AK$103,13,FALSE))),""),"")</f>
        <v>#N/A</v>
      </c>
      <c r="AB76" s="71" t="e">
        <f>IF(VLOOKUP(A76,Dividende_je_Aktie!A$3:AM$103,14,FALSE)&lt;&gt;"",IF(VLOOKUP(A76,Ergebnis_je_Aktie_verwässert!A$3:AK$103,14,FALSE)&lt;&gt;"",IF(VLOOKUP(A76,Ergebnis_je_Aktie_verwässert!A$3:AK$103,14,FALSE)&lt;=0,2,IF(VLOOKUP(A76,Dividende_je_Aktie!A$3:AM$103,14,FALSE)/VLOOKUP(A76,Ergebnis_je_Aktie_verwässert!A$3:AK$103,14,FALSE)&gt;=2,2,VLOOKUP(A76,Dividende_je_Aktie!A$3:AM$103,14,FALSE)/VLOOKUP(A76,Ergebnis_je_Aktie_verwässert!A$3:AK$103,14,FALSE))),""),"")</f>
        <v>#N/A</v>
      </c>
      <c r="AC76" s="71" t="e">
        <f>IF(VLOOKUP(A76,Dividende_je_Aktie!A$3:AM$103,15,FALSE)&lt;&gt;"",IF(VLOOKUP(A76,Ergebnis_je_Aktie_verwässert!A$3:AK$103,15,FALSE)&lt;&gt;"",IF(VLOOKUP(A76,Ergebnis_je_Aktie_verwässert!A$3:AK$103,15,FALSE)&lt;=0,2,IF(VLOOKUP(A76,Dividende_je_Aktie!A$3:AM$103,15,FALSE)/VLOOKUP(A76,Ergebnis_je_Aktie_verwässert!A$3:AK$103,15,FALSE)&gt;=2,2,VLOOKUP(A76,Dividende_je_Aktie!A$3:AM$103,15,FALSE)/VLOOKUP(A76,Ergebnis_je_Aktie_verwässert!A$3:AK$103,15,FALSE))),""),"")</f>
        <v>#N/A</v>
      </c>
      <c r="AD76" s="71" t="e">
        <f>IF(VLOOKUP(A76,Dividende_je_Aktie!A$3:AM$103,16,FALSE)&lt;&gt;"",IF(VLOOKUP(A76,Ergebnis_je_Aktie_verwässert!A$3:AK$103,16,FALSE)&lt;&gt;"",IF(VLOOKUP(A76,Ergebnis_je_Aktie_verwässert!A$3:AK$103,16,FALSE)&lt;=0,2,IF(VLOOKUP(A76,Dividende_je_Aktie!A$3:AM$103,16,FALSE)/VLOOKUP(A76,Ergebnis_je_Aktie_verwässert!A$3:AK$103,16,FALSE)&gt;=2,2,VLOOKUP(A76,Dividende_je_Aktie!A$3:AM$103,16,FALSE)/VLOOKUP(A76,Ergebnis_je_Aktie_verwässert!A$3:AK$103,16,FALSE))),""),"")</f>
        <v>#N/A</v>
      </c>
      <c r="AE76" s="71" t="e">
        <f>IF(VLOOKUP(A76,Dividende_je_Aktie!A$3:AM$103,17,FALSE)&lt;&gt;"",IF(VLOOKUP(A76,Ergebnis_je_Aktie_verwässert!A$3:AK$103,17,FALSE)&lt;&gt;"",IF(VLOOKUP(A76,Ergebnis_je_Aktie_verwässert!A$3:AK$103,17,FALSE)&lt;=0,2,IF(VLOOKUP(A76,Dividende_je_Aktie!A$3:AM$103,17,FALSE)/VLOOKUP(A76,Ergebnis_je_Aktie_verwässert!A$3:AK$103,17,FALSE)&gt;=2,2,VLOOKUP(A76,Dividende_je_Aktie!A$3:AM$103,17,FALSE)/VLOOKUP(A76,Ergebnis_je_Aktie_verwässert!A$3:AK$103,17,FALSE))),""),"")</f>
        <v>#N/A</v>
      </c>
      <c r="AF76" s="71" t="e">
        <f>IF(VLOOKUP(A76,Dividende_je_Aktie!A$3:AM$103,18,FALSE)&lt;&gt;"",IF(VLOOKUP(A76,Ergebnis_je_Aktie_verwässert!A$3:AK$103,18,FALSE)&lt;&gt;"",IF(VLOOKUP(A76,Ergebnis_je_Aktie_verwässert!A$3:AK$103,18,FALSE)&lt;=0,2,IF(VLOOKUP(A76,Dividende_je_Aktie!A$3:AM$103,18,FALSE)/VLOOKUP(A76,Ergebnis_je_Aktie_verwässert!A$3:AK$103,18,FALSE)&gt;=2,2,VLOOKUP(A76,Dividende_je_Aktie!A$3:AM$103,18,FALSE)/VLOOKUP(A76,Ergebnis_je_Aktie_verwässert!A$3:AK$103,18,FALSE))),""),"")</f>
        <v>#N/A</v>
      </c>
      <c r="AG76" s="105" t="e">
        <f t="shared" si="15"/>
        <v>#N/A</v>
      </c>
      <c r="AH76" s="4">
        <f t="shared" ca="1" si="16"/>
        <v>41899</v>
      </c>
      <c r="AI76" s="4">
        <f t="shared" ca="1" si="17"/>
        <v>-41539</v>
      </c>
      <c r="AJ76" s="4" t="e">
        <f t="shared" ca="1" si="18"/>
        <v>#NUM!</v>
      </c>
      <c r="AK76" s="10" t="e">
        <f t="shared" ca="1" si="19"/>
        <v>#N/A</v>
      </c>
      <c r="AL76" s="5" t="e">
        <f t="shared" si="20"/>
        <v>#N/A</v>
      </c>
    </row>
    <row r="77" spans="1:38">
      <c r="C77" s="60"/>
      <c r="D77" s="60"/>
      <c r="E77" s="60"/>
      <c r="F77" s="71" t="e">
        <f>IF(VLOOKUP(A77,Dividende_je_Aktie!A$3:AM$103,6,FALSE)&lt;&gt;"",IF(VLOOKUP(A77,Ergebnis_je_Aktie_verwässert!A$3:AK$103,6,FALSE)&lt;&gt;"",IF(VLOOKUP(A77,Ergebnis_je_Aktie_verwässert!A$3:AK$103,6,FALSE)&lt;=0,2,IF(VLOOKUP(A77,Dividende_je_Aktie!A$3:AM$103,6,FALSE)/VLOOKUP(A77,Ergebnis_je_Aktie_verwässert!A$3:AK$103,6,FALSE)&gt;=2,2,VLOOKUP(A77,Dividende_je_Aktie!A$3:AM$103,6,FALSE)/VLOOKUP(A77,Ergebnis_je_Aktie_verwässert!A$3:AK$103,6,FALSE))),""),"")</f>
        <v>#N/A</v>
      </c>
      <c r="G77" s="71" t="e">
        <f>IF(VLOOKUP(A77,Dividende_je_Aktie!A$3:AM$103,7,FALSE)&lt;&gt;"",IF(VLOOKUP(A77,Ergebnis_je_Aktie_verwässert!A$3:AK$103,7,FALSE)&lt;&gt;"",IF(VLOOKUP(A77,Ergebnis_je_Aktie_verwässert!A$3:AK$103,7,FALSE)&lt;=0,2,IF(VLOOKUP(A77,Dividende_je_Aktie!A$3:AM$103,7,FALSE)/VLOOKUP(A77,Ergebnis_je_Aktie_verwässert!A$3:AK$103,7,FALSE)&gt;=2,2,VLOOKUP(A77,Dividende_je_Aktie!A$3:AM$103,7,FALSE)/VLOOKUP(A77,Ergebnis_je_Aktie_verwässert!A$3:AK$103,7,FALSE))),""),"")</f>
        <v>#N/A</v>
      </c>
      <c r="H77" s="71" t="e">
        <f>IF(VLOOKUP(A77,Fiktive_Dividende!A$3:AM$103,14,FALSE)&lt;&gt;"",IF(VLOOKUP(A77,Ergebnis_je_Aktie_verwässert!A$3:AK$103,8,FALSE)&lt;&gt;"",IF(VLOOKUP(A77,Ergebnis_je_Aktie_verwässert!A$3:AK$103,8,FALSE)&lt;=0,2,IF(VLOOKUP(A77,Fiktive_Dividende!A$3:AM$103,14,FALSE)/VLOOKUP(A77,Ergebnis_je_Aktie_verwässert!A$3:AK$103,8,FALSE)&gt;=2,2,VLOOKUP(A77,Fiktive_Dividende!A$3:AM$103,14,FALSE)/VLOOKUP(A77,Ergebnis_je_Aktie_verwässert!A$3:AK$103,8,FALSE))),""),"")</f>
        <v>#N/A</v>
      </c>
      <c r="I77" s="71" t="e">
        <f>IF(VLOOKUP(A77,Fiktive_Dividende!A$3:AM$103,15,FALSE)&lt;&gt;"",IF(VLOOKUP(A77,Ergebnis_je_Aktie_verwässert!A$3:AK$103,9,FALSE)&lt;&gt;"",IF(VLOOKUP(A77,Ergebnis_je_Aktie_verwässert!A$3:AK$103,9,FALSE)&lt;=0,2,IF(VLOOKUP(A77,Fiktive_Dividende!A$3:AM$103,15,FALSE)/VLOOKUP(A77,Ergebnis_je_Aktie_verwässert!A$3:AK$103,9,FALSE)&gt;=2,2,VLOOKUP(A77,Fiktive_Dividende!A$3:AM$103,15,FALSE)/VLOOKUP(A77,Ergebnis_je_Aktie_verwässert!A$3:AK$103,9,FALSE))),""),"")</f>
        <v>#N/A</v>
      </c>
      <c r="J77" s="71" t="e">
        <f>IF(VLOOKUP(A77,Fiktive_Dividende!A$3:AM$103,16,FALSE)&lt;&gt;"",IF(VLOOKUP(A77,Ergebnis_je_Aktie_verwässert!A$3:AK$103,10,FALSE)&lt;&gt;"",IF(VLOOKUP(A77,Ergebnis_je_Aktie_verwässert!A$3:AK$103,10,FALSE)&lt;=0,2,IF(VLOOKUP(A77,Fiktive_Dividende!A$3:AM$103,16,FALSE)/VLOOKUP(A77,Ergebnis_je_Aktie_verwässert!A$3:AK$103,10,FALSE)&gt;=2,2,VLOOKUP(A77,Fiktive_Dividende!A$3:AM$103,16,FALSE)/VLOOKUP(A77,Ergebnis_je_Aktie_verwässert!A$3:AK$103,10,FALSE))),""),"")</f>
        <v>#N/A</v>
      </c>
      <c r="K77" s="71" t="e">
        <f>IF(VLOOKUP(A77,Fiktive_Dividende!A$3:AM$103,17,FALSE)&lt;&gt;"",IF(VLOOKUP(A77,Ergebnis_je_Aktie_verwässert!A$3:AK$103,11,FALSE)&lt;&gt;"",IF(VLOOKUP(A77,Ergebnis_je_Aktie_verwässert!A$3:AK$103,11,FALSE)&lt;=0,2,IF(VLOOKUP(A77,Fiktive_Dividende!A$3:AM$103,17,FALSE)/VLOOKUP(A77,Ergebnis_je_Aktie_verwässert!A$3:AK$103,11,FALSE)&gt;=2,2,VLOOKUP(A77,Fiktive_Dividende!A$3:AM$103,17,FALSE)/VLOOKUP(A77,Ergebnis_je_Aktie_verwässert!A$3:AK$103,11,FALSE))),""),"")</f>
        <v>#N/A</v>
      </c>
      <c r="L77" s="71" t="e">
        <f>IF(VLOOKUP(A77,Fiktive_Dividende!A$3:AM$103,18,FALSE)&lt;&gt;"",IF(VLOOKUP(A77,Ergebnis_je_Aktie_verwässert!A$3:AK$103,12,FALSE)&lt;&gt;"",IF(VLOOKUP(A77,Ergebnis_je_Aktie_verwässert!A$3:AK$103,12,FALSE)&lt;=0,2,IF(VLOOKUP(A77,Fiktive_Dividende!A$3:AM$103,18,FALSE)/VLOOKUP(A77,Ergebnis_je_Aktie_verwässert!A$3:AK$103,12,FALSE)&gt;=2,2,VLOOKUP(A77,Fiktive_Dividende!A$3:AM$103,18,FALSE)/VLOOKUP(A77,Ergebnis_je_Aktie_verwässert!A$3:AK$103,12,FALSE))),""),"")</f>
        <v>#N/A</v>
      </c>
      <c r="M77" s="71" t="e">
        <f>IF(VLOOKUP(A77,Fiktive_Dividende!A$3:AM$103,19,FALSE)&lt;&gt;"",IF(VLOOKUP(A77,Ergebnis_je_Aktie_verwässert!A$3:AK$103,13,FALSE)&lt;&gt;"",IF(VLOOKUP(A77,Ergebnis_je_Aktie_verwässert!A$3:AK$103,13,FALSE)&lt;=0,2,IF(VLOOKUP(A77,Fiktive_Dividende!A$3:AM$103,19,FALSE)/VLOOKUP(A77,Ergebnis_je_Aktie_verwässert!A$3:AK$103,13,FALSE)&gt;=2,2,VLOOKUP(A77,Fiktive_Dividende!A$3:AM$103,19,FALSE)/VLOOKUP(A77,Ergebnis_je_Aktie_verwässert!A$3:AK$103,13,FALSE))),""),"")</f>
        <v>#N/A</v>
      </c>
      <c r="N77" s="71" t="e">
        <f>IF(VLOOKUP(A77,Fiktive_Dividende!A$3:AM$103,20,FALSE)&lt;&gt;"",IF(VLOOKUP(A77,Ergebnis_je_Aktie_verwässert!A$3:AK$103,14,FALSE)&lt;&gt;"",IF(VLOOKUP(A77,Ergebnis_je_Aktie_verwässert!A$3:AK$103,14,FALSE)&lt;=0,2,IF(VLOOKUP(A77,Fiktive_Dividende!A$3:AM$103,20,FALSE)/VLOOKUP(A77,Ergebnis_je_Aktie_verwässert!A$3:AK$103,14,FALSE)&gt;=2,2,VLOOKUP(A77,Fiktive_Dividende!A$3:AM$103,20,FALSE)/VLOOKUP(A77,Ergebnis_je_Aktie_verwässert!A$3:AK$103,14,FALSE))),""),"")</f>
        <v>#N/A</v>
      </c>
      <c r="O77" s="71" t="e">
        <f>IF(VLOOKUP(A77,Fiktive_Dividende!A$3:AM$103,21,FALSE)&lt;&gt;"",IF(VLOOKUP(A77,Ergebnis_je_Aktie_verwässert!A$3:AK$103,15,FALSE)&lt;&gt;"",IF(VLOOKUP(A77,Ergebnis_je_Aktie_verwässert!A$3:AK$103,15,FALSE)&lt;=0,2,IF(VLOOKUP(A77,Fiktive_Dividende!A$3:AM$103,21,FALSE)/VLOOKUP(A77,Ergebnis_je_Aktie_verwässert!A$3:AK$103,15,FALSE)&gt;=2,2,VLOOKUP(A77,Fiktive_Dividende!A$3:AM$103,21,FALSE)/VLOOKUP(A77,Ergebnis_je_Aktie_verwässert!A$3:AK$103,15,FALSE))),""),"")</f>
        <v>#N/A</v>
      </c>
      <c r="P77" s="71" t="e">
        <f>IF(VLOOKUP(A77,Fiktive_Dividende!A$3:AM$103,22,FALSE)&lt;&gt;"",IF(VLOOKUP(A77,Ergebnis_je_Aktie_verwässert!A$3:AK$103,16,FALSE)&lt;&gt;"",IF(VLOOKUP(A77,Ergebnis_je_Aktie_verwässert!A$3:AK$103,16,FALSE)&lt;=0,2,IF(VLOOKUP(A77,Fiktive_Dividende!A$3:AM$103,22,FALSE)/VLOOKUP(A77,Ergebnis_je_Aktie_verwässert!A$3:AK$103,16,FALSE)&gt;=2,2,VLOOKUP(A77,Fiktive_Dividende!A$3:AM$103,22,FALSE)/VLOOKUP(A77,Ergebnis_je_Aktie_verwässert!A$3:AK$103,16,FALSE))),""),"")</f>
        <v>#N/A</v>
      </c>
      <c r="Q77" s="71" t="e">
        <f>IF(VLOOKUP(A77,Fiktive_Dividende!A$3:AM$103,23,FALSE)&lt;&gt;"",IF(VLOOKUP(A77,Ergebnis_je_Aktie_verwässert!A$3:AK$103,17,FALSE)&lt;&gt;"",IF(VLOOKUP(A77,Ergebnis_je_Aktie_verwässert!A$3:AK$103,17,FALSE)&lt;=0,2,IF(VLOOKUP(A77,Fiktive_Dividende!A$3:AM$103,23,FALSE)/VLOOKUP(A77,Ergebnis_je_Aktie_verwässert!A$3:AK$103,17,FALSE)&gt;=2,2,VLOOKUP(A77,Fiktive_Dividende!A$3:AM$103,23,FALSE)/VLOOKUP(A77,Ergebnis_je_Aktie_verwässert!A$3:AK$103,17,FALSE))),""),"")</f>
        <v>#N/A</v>
      </c>
      <c r="R77" s="71" t="e">
        <f>IF(VLOOKUP(A77,Fiktive_Dividende!A$3:AM$103,24,FALSE)&lt;&gt;"",IF(VLOOKUP(A77,Ergebnis_je_Aktie_verwässert!A$3:AK$103,18,FALSE)&lt;&gt;"",IF(VLOOKUP(A77,Ergebnis_je_Aktie_verwässert!A$3:AK$103,18,FALSE)&lt;=0,2,IF(VLOOKUP(A77,Fiktive_Dividende!A$3:AM$103,24,FALSE)/VLOOKUP(A77,Ergebnis_je_Aktie_verwässert!A$3:AK$103,18,FALSE)&gt;=2,2,VLOOKUP(A77,Fiktive_Dividende!A$3:AM$103,24,FALSE)/VLOOKUP(A77,Ergebnis_je_Aktie_verwässert!A$3:AK$103,18,FALSE))),""),"")</f>
        <v>#N/A</v>
      </c>
      <c r="S77" s="105" t="e">
        <f t="shared" si="14"/>
        <v>#N/A</v>
      </c>
      <c r="T77" s="71" t="e">
        <f>IF(VLOOKUP(A77,Dividende_je_Aktie!A$3:AM$103,6,FALSE)&lt;&gt;"",IF(VLOOKUP(A77,Ergebnis_je_Aktie_verwässert!A$3:AK$103,6,FALSE)&lt;&gt;"",IF(VLOOKUP(A77,Ergebnis_je_Aktie_verwässert!A$3:AK$103,6,FALSE)&lt;=0,2,IF(VLOOKUP(A77,Dividende_je_Aktie!A$3:AM$103,6,FALSE)/VLOOKUP(A77,Ergebnis_je_Aktie_verwässert!A$3:AK$103,6,FALSE)&gt;=2,2,VLOOKUP(A77,Dividende_je_Aktie!A$3:AM$103,6,FALSE)/VLOOKUP(A77,Ergebnis_je_Aktie_verwässert!A$3:AK$103,6,FALSE))),""),"")</f>
        <v>#N/A</v>
      </c>
      <c r="U77" s="71" t="e">
        <f>IF(VLOOKUP(A77,Dividende_je_Aktie!A$3:AM$103,7,FALSE)&lt;&gt;"",IF(VLOOKUP(A77,Ergebnis_je_Aktie_verwässert!A$3:AK$103,7,FALSE)&lt;&gt;"",IF(VLOOKUP(A77,Ergebnis_je_Aktie_verwässert!A$3:AK$103,7,FALSE)&lt;=0,2,IF(VLOOKUP(A77,Dividende_je_Aktie!A$3:AM$103,7,FALSE)/VLOOKUP(A77,Ergebnis_je_Aktie_verwässert!A$3:AK$103,7,FALSE)&gt;=2,2,VLOOKUP(A77,Dividende_je_Aktie!A$3:AM$103,7,FALSE)/VLOOKUP(A77,Ergebnis_je_Aktie_verwässert!A$3:AK$103,7,FALSE))),""),"")</f>
        <v>#N/A</v>
      </c>
      <c r="V77" s="71" t="e">
        <f>IF(VLOOKUP(A77,Dividende_je_Aktie!A$3:AM$103,8,FALSE)&lt;&gt;"",IF(VLOOKUP(A77,Ergebnis_je_Aktie_verwässert!A$3:AK$103,8,FALSE)&lt;&gt;"",IF(VLOOKUP(A77,Ergebnis_je_Aktie_verwässert!A$3:AK$103,8,FALSE)&lt;=0,2,IF(VLOOKUP(A77,Dividende_je_Aktie!A$3:AM$103,8,FALSE)/VLOOKUP(A77,Ergebnis_je_Aktie_verwässert!A$3:AK$103,8,FALSE)&gt;=2,2,VLOOKUP(A77,Dividende_je_Aktie!A$3:AM$103,8,FALSE)/VLOOKUP(A77,Ergebnis_je_Aktie_verwässert!A$3:AK$103,8,FALSE))),""),"")</f>
        <v>#N/A</v>
      </c>
      <c r="W77" s="71" t="e">
        <f>IF(VLOOKUP(A77,Dividende_je_Aktie!A$3:AM$103,9,FALSE)&lt;&gt;"",IF(VLOOKUP(A77,Ergebnis_je_Aktie_verwässert!A$3:AK$103,9,FALSE)&lt;&gt;"",IF(VLOOKUP(A77,Ergebnis_je_Aktie_verwässert!A$3:AK$103,9,FALSE)&lt;=0,2,IF(VLOOKUP(A77,Dividende_je_Aktie!A$3:AM$103,9,FALSE)/VLOOKUP(A77,Ergebnis_je_Aktie_verwässert!A$3:AK$103,9,FALSE)&gt;=2,2,VLOOKUP(A77,Dividende_je_Aktie!A$3:AM$103,9,FALSE)/VLOOKUP(A77,Ergebnis_je_Aktie_verwässert!A$3:AK$103,9,FALSE))),""),"")</f>
        <v>#N/A</v>
      </c>
      <c r="X77" s="71" t="e">
        <f>IF(VLOOKUP(A77,Dividende_je_Aktie!A$3:AM$103,10,FALSE)&lt;&gt;"",IF(VLOOKUP(A77,Ergebnis_je_Aktie_verwässert!A$3:AK$103,10,FALSE)&lt;&gt;"",IF(VLOOKUP(A77,Ergebnis_je_Aktie_verwässert!A$3:AK$103,10,FALSE)&lt;=0,2,IF(VLOOKUP(A77,Dividende_je_Aktie!A$3:AM$103,10,FALSE)/VLOOKUP(A77,Ergebnis_je_Aktie_verwässert!A$3:AK$103,10,FALSE)&gt;=2,2,VLOOKUP(A77,Dividende_je_Aktie!A$3:AM$103,10,FALSE)/VLOOKUP(A77,Ergebnis_je_Aktie_verwässert!A$3:AK$103,10,FALSE))),""),"")</f>
        <v>#N/A</v>
      </c>
      <c r="Y77" s="71" t="e">
        <f>IF(VLOOKUP(A77,Dividende_je_Aktie!A$3:AM$103,11,FALSE)&lt;&gt;"",IF(VLOOKUP(A77,Ergebnis_je_Aktie_verwässert!A$3:AK$103,11,FALSE)&lt;&gt;"",IF(VLOOKUP(A77,Ergebnis_je_Aktie_verwässert!A$3:AK$103,11,FALSE)&lt;=0,2,IF(VLOOKUP(A77,Dividende_je_Aktie!A$3:AM$103,11,FALSE)/VLOOKUP(A77,Ergebnis_je_Aktie_verwässert!A$3:AK$103,11,FALSE)&gt;=2,2,VLOOKUP(A77,Dividende_je_Aktie!A$3:AM$103,11,FALSE)/VLOOKUP(A77,Ergebnis_je_Aktie_verwässert!A$3:AK$103,11,FALSE))),""),"")</f>
        <v>#N/A</v>
      </c>
      <c r="Z77" s="71" t="e">
        <f>IF(VLOOKUP(A77,Dividende_je_Aktie!A$3:AM$103,12,FALSE)&lt;&gt;"",IF(VLOOKUP(A77,Ergebnis_je_Aktie_verwässert!A$3:AK$103,12,FALSE)&lt;&gt;"",IF(VLOOKUP(A77,Ergebnis_je_Aktie_verwässert!A$3:AK$103,12,FALSE)&lt;=0,2,IF(VLOOKUP(A77,Dividende_je_Aktie!A$3:AM$103,12,FALSE)/VLOOKUP(A77,Ergebnis_je_Aktie_verwässert!A$3:AK$103,12,FALSE)&gt;=2,2,VLOOKUP(A77,Dividende_je_Aktie!A$3:AM$103,12,FALSE)/VLOOKUP(A77,Ergebnis_je_Aktie_verwässert!A$3:AK$103,12,FALSE))),""),"")</f>
        <v>#N/A</v>
      </c>
      <c r="AA77" s="71" t="e">
        <f>IF(VLOOKUP(A77,Dividende_je_Aktie!A$3:AM$103,13,FALSE)&lt;&gt;"",IF(VLOOKUP(A77,Ergebnis_je_Aktie_verwässert!A$3:AK$103,13,FALSE)&lt;&gt;"",IF(VLOOKUP(A77,Ergebnis_je_Aktie_verwässert!A$3:AK$103,13,FALSE)&lt;=0,2,IF(VLOOKUP(A77,Dividende_je_Aktie!A$3:AM$103,13,FALSE)/VLOOKUP(A77,Ergebnis_je_Aktie_verwässert!A$3:AK$103,13,FALSE)&gt;=2,2,VLOOKUP(A77,Dividende_je_Aktie!A$3:AM$103,13,FALSE)/VLOOKUP(A77,Ergebnis_je_Aktie_verwässert!A$3:AK$103,13,FALSE))),""),"")</f>
        <v>#N/A</v>
      </c>
      <c r="AB77" s="71" t="e">
        <f>IF(VLOOKUP(A77,Dividende_je_Aktie!A$3:AM$103,14,FALSE)&lt;&gt;"",IF(VLOOKUP(A77,Ergebnis_je_Aktie_verwässert!A$3:AK$103,14,FALSE)&lt;&gt;"",IF(VLOOKUP(A77,Ergebnis_je_Aktie_verwässert!A$3:AK$103,14,FALSE)&lt;=0,2,IF(VLOOKUP(A77,Dividende_je_Aktie!A$3:AM$103,14,FALSE)/VLOOKUP(A77,Ergebnis_je_Aktie_verwässert!A$3:AK$103,14,FALSE)&gt;=2,2,VLOOKUP(A77,Dividende_je_Aktie!A$3:AM$103,14,FALSE)/VLOOKUP(A77,Ergebnis_je_Aktie_verwässert!A$3:AK$103,14,FALSE))),""),"")</f>
        <v>#N/A</v>
      </c>
      <c r="AC77" s="71" t="e">
        <f>IF(VLOOKUP(A77,Dividende_je_Aktie!A$3:AM$103,15,FALSE)&lt;&gt;"",IF(VLOOKUP(A77,Ergebnis_je_Aktie_verwässert!A$3:AK$103,15,FALSE)&lt;&gt;"",IF(VLOOKUP(A77,Ergebnis_je_Aktie_verwässert!A$3:AK$103,15,FALSE)&lt;=0,2,IF(VLOOKUP(A77,Dividende_je_Aktie!A$3:AM$103,15,FALSE)/VLOOKUP(A77,Ergebnis_je_Aktie_verwässert!A$3:AK$103,15,FALSE)&gt;=2,2,VLOOKUP(A77,Dividende_je_Aktie!A$3:AM$103,15,FALSE)/VLOOKUP(A77,Ergebnis_je_Aktie_verwässert!A$3:AK$103,15,FALSE))),""),"")</f>
        <v>#N/A</v>
      </c>
      <c r="AD77" s="71" t="e">
        <f>IF(VLOOKUP(A77,Dividende_je_Aktie!A$3:AM$103,16,FALSE)&lt;&gt;"",IF(VLOOKUP(A77,Ergebnis_je_Aktie_verwässert!A$3:AK$103,16,FALSE)&lt;&gt;"",IF(VLOOKUP(A77,Ergebnis_je_Aktie_verwässert!A$3:AK$103,16,FALSE)&lt;=0,2,IF(VLOOKUP(A77,Dividende_je_Aktie!A$3:AM$103,16,FALSE)/VLOOKUP(A77,Ergebnis_je_Aktie_verwässert!A$3:AK$103,16,FALSE)&gt;=2,2,VLOOKUP(A77,Dividende_je_Aktie!A$3:AM$103,16,FALSE)/VLOOKUP(A77,Ergebnis_je_Aktie_verwässert!A$3:AK$103,16,FALSE))),""),"")</f>
        <v>#N/A</v>
      </c>
      <c r="AE77" s="71" t="e">
        <f>IF(VLOOKUP(A77,Dividende_je_Aktie!A$3:AM$103,17,FALSE)&lt;&gt;"",IF(VLOOKUP(A77,Ergebnis_je_Aktie_verwässert!A$3:AK$103,17,FALSE)&lt;&gt;"",IF(VLOOKUP(A77,Ergebnis_je_Aktie_verwässert!A$3:AK$103,17,FALSE)&lt;=0,2,IF(VLOOKUP(A77,Dividende_je_Aktie!A$3:AM$103,17,FALSE)/VLOOKUP(A77,Ergebnis_je_Aktie_verwässert!A$3:AK$103,17,FALSE)&gt;=2,2,VLOOKUP(A77,Dividende_je_Aktie!A$3:AM$103,17,FALSE)/VLOOKUP(A77,Ergebnis_je_Aktie_verwässert!A$3:AK$103,17,FALSE))),""),"")</f>
        <v>#N/A</v>
      </c>
      <c r="AF77" s="71" t="e">
        <f>IF(VLOOKUP(A77,Dividende_je_Aktie!A$3:AM$103,18,FALSE)&lt;&gt;"",IF(VLOOKUP(A77,Ergebnis_je_Aktie_verwässert!A$3:AK$103,18,FALSE)&lt;&gt;"",IF(VLOOKUP(A77,Ergebnis_je_Aktie_verwässert!A$3:AK$103,18,FALSE)&lt;=0,2,IF(VLOOKUP(A77,Dividende_je_Aktie!A$3:AM$103,18,FALSE)/VLOOKUP(A77,Ergebnis_je_Aktie_verwässert!A$3:AK$103,18,FALSE)&gt;=2,2,VLOOKUP(A77,Dividende_je_Aktie!A$3:AM$103,18,FALSE)/VLOOKUP(A77,Ergebnis_je_Aktie_verwässert!A$3:AK$103,18,FALSE))),""),"")</f>
        <v>#N/A</v>
      </c>
      <c r="AG77" s="105" t="e">
        <f t="shared" si="15"/>
        <v>#N/A</v>
      </c>
      <c r="AH77" s="4">
        <f t="shared" ca="1" si="16"/>
        <v>41899</v>
      </c>
      <c r="AI77" s="4">
        <f t="shared" ca="1" si="17"/>
        <v>-41539</v>
      </c>
      <c r="AJ77" s="4" t="e">
        <f t="shared" ca="1" si="18"/>
        <v>#NUM!</v>
      </c>
      <c r="AK77" s="10" t="e">
        <f t="shared" ca="1" si="19"/>
        <v>#N/A</v>
      </c>
      <c r="AL77" s="5" t="e">
        <f t="shared" si="20"/>
        <v>#N/A</v>
      </c>
    </row>
    <row r="78" spans="1:38">
      <c r="C78" s="60"/>
      <c r="D78" s="60"/>
      <c r="E78" s="60"/>
      <c r="F78" s="71" t="e">
        <f>IF(VLOOKUP(A78,Dividende_je_Aktie!A$3:AM$103,6,FALSE)&lt;&gt;"",IF(VLOOKUP(A78,Ergebnis_je_Aktie_verwässert!A$3:AK$103,6,FALSE)&lt;&gt;"",IF(VLOOKUP(A78,Ergebnis_je_Aktie_verwässert!A$3:AK$103,6,FALSE)&lt;=0,2,IF(VLOOKUP(A78,Dividende_je_Aktie!A$3:AM$103,6,FALSE)/VLOOKUP(A78,Ergebnis_je_Aktie_verwässert!A$3:AK$103,6,FALSE)&gt;=2,2,VLOOKUP(A78,Dividende_je_Aktie!A$3:AM$103,6,FALSE)/VLOOKUP(A78,Ergebnis_je_Aktie_verwässert!A$3:AK$103,6,FALSE))),""),"")</f>
        <v>#N/A</v>
      </c>
      <c r="G78" s="71" t="e">
        <f>IF(VLOOKUP(A78,Dividende_je_Aktie!A$3:AM$103,7,FALSE)&lt;&gt;"",IF(VLOOKUP(A78,Ergebnis_je_Aktie_verwässert!A$3:AK$103,7,FALSE)&lt;&gt;"",IF(VLOOKUP(A78,Ergebnis_je_Aktie_verwässert!A$3:AK$103,7,FALSE)&lt;=0,2,IF(VLOOKUP(A78,Dividende_je_Aktie!A$3:AM$103,7,FALSE)/VLOOKUP(A78,Ergebnis_je_Aktie_verwässert!A$3:AK$103,7,FALSE)&gt;=2,2,VLOOKUP(A78,Dividende_je_Aktie!A$3:AM$103,7,FALSE)/VLOOKUP(A78,Ergebnis_je_Aktie_verwässert!A$3:AK$103,7,FALSE))),""),"")</f>
        <v>#N/A</v>
      </c>
      <c r="H78" s="71" t="e">
        <f>IF(VLOOKUP(A78,Fiktive_Dividende!A$3:AM$103,14,FALSE)&lt;&gt;"",IF(VLOOKUP(A78,Ergebnis_je_Aktie_verwässert!A$3:AK$103,8,FALSE)&lt;&gt;"",IF(VLOOKUP(A78,Ergebnis_je_Aktie_verwässert!A$3:AK$103,8,FALSE)&lt;=0,2,IF(VLOOKUP(A78,Fiktive_Dividende!A$3:AM$103,14,FALSE)/VLOOKUP(A78,Ergebnis_je_Aktie_verwässert!A$3:AK$103,8,FALSE)&gt;=2,2,VLOOKUP(A78,Fiktive_Dividende!A$3:AM$103,14,FALSE)/VLOOKUP(A78,Ergebnis_je_Aktie_verwässert!A$3:AK$103,8,FALSE))),""),"")</f>
        <v>#N/A</v>
      </c>
      <c r="I78" s="71" t="e">
        <f>IF(VLOOKUP(A78,Fiktive_Dividende!A$3:AM$103,15,FALSE)&lt;&gt;"",IF(VLOOKUP(A78,Ergebnis_je_Aktie_verwässert!A$3:AK$103,9,FALSE)&lt;&gt;"",IF(VLOOKUP(A78,Ergebnis_je_Aktie_verwässert!A$3:AK$103,9,FALSE)&lt;=0,2,IF(VLOOKUP(A78,Fiktive_Dividende!A$3:AM$103,15,FALSE)/VLOOKUP(A78,Ergebnis_je_Aktie_verwässert!A$3:AK$103,9,FALSE)&gt;=2,2,VLOOKUP(A78,Fiktive_Dividende!A$3:AM$103,15,FALSE)/VLOOKUP(A78,Ergebnis_je_Aktie_verwässert!A$3:AK$103,9,FALSE))),""),"")</f>
        <v>#N/A</v>
      </c>
      <c r="J78" s="71" t="e">
        <f>IF(VLOOKUP(A78,Fiktive_Dividende!A$3:AM$103,16,FALSE)&lt;&gt;"",IF(VLOOKUP(A78,Ergebnis_je_Aktie_verwässert!A$3:AK$103,10,FALSE)&lt;&gt;"",IF(VLOOKUP(A78,Ergebnis_je_Aktie_verwässert!A$3:AK$103,10,FALSE)&lt;=0,2,IF(VLOOKUP(A78,Fiktive_Dividende!A$3:AM$103,16,FALSE)/VLOOKUP(A78,Ergebnis_je_Aktie_verwässert!A$3:AK$103,10,FALSE)&gt;=2,2,VLOOKUP(A78,Fiktive_Dividende!A$3:AM$103,16,FALSE)/VLOOKUP(A78,Ergebnis_je_Aktie_verwässert!A$3:AK$103,10,FALSE))),""),"")</f>
        <v>#N/A</v>
      </c>
      <c r="K78" s="71" t="e">
        <f>IF(VLOOKUP(A78,Fiktive_Dividende!A$3:AM$103,17,FALSE)&lt;&gt;"",IF(VLOOKUP(A78,Ergebnis_je_Aktie_verwässert!A$3:AK$103,11,FALSE)&lt;&gt;"",IF(VLOOKUP(A78,Ergebnis_je_Aktie_verwässert!A$3:AK$103,11,FALSE)&lt;=0,2,IF(VLOOKUP(A78,Fiktive_Dividende!A$3:AM$103,17,FALSE)/VLOOKUP(A78,Ergebnis_je_Aktie_verwässert!A$3:AK$103,11,FALSE)&gt;=2,2,VLOOKUP(A78,Fiktive_Dividende!A$3:AM$103,17,FALSE)/VLOOKUP(A78,Ergebnis_je_Aktie_verwässert!A$3:AK$103,11,FALSE))),""),"")</f>
        <v>#N/A</v>
      </c>
      <c r="L78" s="71" t="e">
        <f>IF(VLOOKUP(A78,Fiktive_Dividende!A$3:AM$103,18,FALSE)&lt;&gt;"",IF(VLOOKUP(A78,Ergebnis_je_Aktie_verwässert!A$3:AK$103,12,FALSE)&lt;&gt;"",IF(VLOOKUP(A78,Ergebnis_je_Aktie_verwässert!A$3:AK$103,12,FALSE)&lt;=0,2,IF(VLOOKUP(A78,Fiktive_Dividende!A$3:AM$103,18,FALSE)/VLOOKUP(A78,Ergebnis_je_Aktie_verwässert!A$3:AK$103,12,FALSE)&gt;=2,2,VLOOKUP(A78,Fiktive_Dividende!A$3:AM$103,18,FALSE)/VLOOKUP(A78,Ergebnis_je_Aktie_verwässert!A$3:AK$103,12,FALSE))),""),"")</f>
        <v>#N/A</v>
      </c>
      <c r="M78" s="71" t="e">
        <f>IF(VLOOKUP(A78,Fiktive_Dividende!A$3:AM$103,19,FALSE)&lt;&gt;"",IF(VLOOKUP(A78,Ergebnis_je_Aktie_verwässert!A$3:AK$103,13,FALSE)&lt;&gt;"",IF(VLOOKUP(A78,Ergebnis_je_Aktie_verwässert!A$3:AK$103,13,FALSE)&lt;=0,2,IF(VLOOKUP(A78,Fiktive_Dividende!A$3:AM$103,19,FALSE)/VLOOKUP(A78,Ergebnis_je_Aktie_verwässert!A$3:AK$103,13,FALSE)&gt;=2,2,VLOOKUP(A78,Fiktive_Dividende!A$3:AM$103,19,FALSE)/VLOOKUP(A78,Ergebnis_je_Aktie_verwässert!A$3:AK$103,13,FALSE))),""),"")</f>
        <v>#N/A</v>
      </c>
      <c r="N78" s="71" t="e">
        <f>IF(VLOOKUP(A78,Fiktive_Dividende!A$3:AM$103,20,FALSE)&lt;&gt;"",IF(VLOOKUP(A78,Ergebnis_je_Aktie_verwässert!A$3:AK$103,14,FALSE)&lt;&gt;"",IF(VLOOKUP(A78,Ergebnis_je_Aktie_verwässert!A$3:AK$103,14,FALSE)&lt;=0,2,IF(VLOOKUP(A78,Fiktive_Dividende!A$3:AM$103,20,FALSE)/VLOOKUP(A78,Ergebnis_je_Aktie_verwässert!A$3:AK$103,14,FALSE)&gt;=2,2,VLOOKUP(A78,Fiktive_Dividende!A$3:AM$103,20,FALSE)/VLOOKUP(A78,Ergebnis_je_Aktie_verwässert!A$3:AK$103,14,FALSE))),""),"")</f>
        <v>#N/A</v>
      </c>
      <c r="O78" s="71" t="e">
        <f>IF(VLOOKUP(A78,Fiktive_Dividende!A$3:AM$103,21,FALSE)&lt;&gt;"",IF(VLOOKUP(A78,Ergebnis_je_Aktie_verwässert!A$3:AK$103,15,FALSE)&lt;&gt;"",IF(VLOOKUP(A78,Ergebnis_je_Aktie_verwässert!A$3:AK$103,15,FALSE)&lt;=0,2,IF(VLOOKUP(A78,Fiktive_Dividende!A$3:AM$103,21,FALSE)/VLOOKUP(A78,Ergebnis_je_Aktie_verwässert!A$3:AK$103,15,FALSE)&gt;=2,2,VLOOKUP(A78,Fiktive_Dividende!A$3:AM$103,21,FALSE)/VLOOKUP(A78,Ergebnis_je_Aktie_verwässert!A$3:AK$103,15,FALSE))),""),"")</f>
        <v>#N/A</v>
      </c>
      <c r="P78" s="71" t="e">
        <f>IF(VLOOKUP(A78,Fiktive_Dividende!A$3:AM$103,22,FALSE)&lt;&gt;"",IF(VLOOKUP(A78,Ergebnis_je_Aktie_verwässert!A$3:AK$103,16,FALSE)&lt;&gt;"",IF(VLOOKUP(A78,Ergebnis_je_Aktie_verwässert!A$3:AK$103,16,FALSE)&lt;=0,2,IF(VLOOKUP(A78,Fiktive_Dividende!A$3:AM$103,22,FALSE)/VLOOKUP(A78,Ergebnis_je_Aktie_verwässert!A$3:AK$103,16,FALSE)&gt;=2,2,VLOOKUP(A78,Fiktive_Dividende!A$3:AM$103,22,FALSE)/VLOOKUP(A78,Ergebnis_je_Aktie_verwässert!A$3:AK$103,16,FALSE))),""),"")</f>
        <v>#N/A</v>
      </c>
      <c r="Q78" s="71" t="e">
        <f>IF(VLOOKUP(A78,Fiktive_Dividende!A$3:AM$103,23,FALSE)&lt;&gt;"",IF(VLOOKUP(A78,Ergebnis_je_Aktie_verwässert!A$3:AK$103,17,FALSE)&lt;&gt;"",IF(VLOOKUP(A78,Ergebnis_je_Aktie_verwässert!A$3:AK$103,17,FALSE)&lt;=0,2,IF(VLOOKUP(A78,Fiktive_Dividende!A$3:AM$103,23,FALSE)/VLOOKUP(A78,Ergebnis_je_Aktie_verwässert!A$3:AK$103,17,FALSE)&gt;=2,2,VLOOKUP(A78,Fiktive_Dividende!A$3:AM$103,23,FALSE)/VLOOKUP(A78,Ergebnis_je_Aktie_verwässert!A$3:AK$103,17,FALSE))),""),"")</f>
        <v>#N/A</v>
      </c>
      <c r="R78" s="71" t="e">
        <f>IF(VLOOKUP(A78,Fiktive_Dividende!A$3:AM$103,24,FALSE)&lt;&gt;"",IF(VLOOKUP(A78,Ergebnis_je_Aktie_verwässert!A$3:AK$103,18,FALSE)&lt;&gt;"",IF(VLOOKUP(A78,Ergebnis_je_Aktie_verwässert!A$3:AK$103,18,FALSE)&lt;=0,2,IF(VLOOKUP(A78,Fiktive_Dividende!A$3:AM$103,24,FALSE)/VLOOKUP(A78,Ergebnis_je_Aktie_verwässert!A$3:AK$103,18,FALSE)&gt;=2,2,VLOOKUP(A78,Fiktive_Dividende!A$3:AM$103,24,FALSE)/VLOOKUP(A78,Ergebnis_je_Aktie_verwässert!A$3:AK$103,18,FALSE))),""),"")</f>
        <v>#N/A</v>
      </c>
      <c r="S78" s="105" t="e">
        <f t="shared" si="14"/>
        <v>#N/A</v>
      </c>
      <c r="T78" s="71" t="e">
        <f>IF(VLOOKUP(A78,Dividende_je_Aktie!A$3:AM$103,6,FALSE)&lt;&gt;"",IF(VLOOKUP(A78,Ergebnis_je_Aktie_verwässert!A$3:AK$103,6,FALSE)&lt;&gt;"",IF(VLOOKUP(A78,Ergebnis_je_Aktie_verwässert!A$3:AK$103,6,FALSE)&lt;=0,2,IF(VLOOKUP(A78,Dividende_je_Aktie!A$3:AM$103,6,FALSE)/VLOOKUP(A78,Ergebnis_je_Aktie_verwässert!A$3:AK$103,6,FALSE)&gt;=2,2,VLOOKUP(A78,Dividende_je_Aktie!A$3:AM$103,6,FALSE)/VLOOKUP(A78,Ergebnis_je_Aktie_verwässert!A$3:AK$103,6,FALSE))),""),"")</f>
        <v>#N/A</v>
      </c>
      <c r="U78" s="71" t="e">
        <f>IF(VLOOKUP(A78,Dividende_je_Aktie!A$3:AM$103,7,FALSE)&lt;&gt;"",IF(VLOOKUP(A78,Ergebnis_je_Aktie_verwässert!A$3:AK$103,7,FALSE)&lt;&gt;"",IF(VLOOKUP(A78,Ergebnis_je_Aktie_verwässert!A$3:AK$103,7,FALSE)&lt;=0,2,IF(VLOOKUP(A78,Dividende_je_Aktie!A$3:AM$103,7,FALSE)/VLOOKUP(A78,Ergebnis_je_Aktie_verwässert!A$3:AK$103,7,FALSE)&gt;=2,2,VLOOKUP(A78,Dividende_je_Aktie!A$3:AM$103,7,FALSE)/VLOOKUP(A78,Ergebnis_je_Aktie_verwässert!A$3:AK$103,7,FALSE))),""),"")</f>
        <v>#N/A</v>
      </c>
      <c r="V78" s="71" t="e">
        <f>IF(VLOOKUP(A78,Dividende_je_Aktie!A$3:AM$103,8,FALSE)&lt;&gt;"",IF(VLOOKUP(A78,Ergebnis_je_Aktie_verwässert!A$3:AK$103,8,FALSE)&lt;&gt;"",IF(VLOOKUP(A78,Ergebnis_je_Aktie_verwässert!A$3:AK$103,8,FALSE)&lt;=0,2,IF(VLOOKUP(A78,Dividende_je_Aktie!A$3:AM$103,8,FALSE)/VLOOKUP(A78,Ergebnis_je_Aktie_verwässert!A$3:AK$103,8,FALSE)&gt;=2,2,VLOOKUP(A78,Dividende_je_Aktie!A$3:AM$103,8,FALSE)/VLOOKUP(A78,Ergebnis_je_Aktie_verwässert!A$3:AK$103,8,FALSE))),""),"")</f>
        <v>#N/A</v>
      </c>
      <c r="W78" s="71" t="e">
        <f>IF(VLOOKUP(A78,Dividende_je_Aktie!A$3:AM$103,9,FALSE)&lt;&gt;"",IF(VLOOKUP(A78,Ergebnis_je_Aktie_verwässert!A$3:AK$103,9,FALSE)&lt;&gt;"",IF(VLOOKUP(A78,Ergebnis_je_Aktie_verwässert!A$3:AK$103,9,FALSE)&lt;=0,2,IF(VLOOKUP(A78,Dividende_je_Aktie!A$3:AM$103,9,FALSE)/VLOOKUP(A78,Ergebnis_je_Aktie_verwässert!A$3:AK$103,9,FALSE)&gt;=2,2,VLOOKUP(A78,Dividende_je_Aktie!A$3:AM$103,9,FALSE)/VLOOKUP(A78,Ergebnis_je_Aktie_verwässert!A$3:AK$103,9,FALSE))),""),"")</f>
        <v>#N/A</v>
      </c>
      <c r="X78" s="71" t="e">
        <f>IF(VLOOKUP(A78,Dividende_je_Aktie!A$3:AM$103,10,FALSE)&lt;&gt;"",IF(VLOOKUP(A78,Ergebnis_je_Aktie_verwässert!A$3:AK$103,10,FALSE)&lt;&gt;"",IF(VLOOKUP(A78,Ergebnis_je_Aktie_verwässert!A$3:AK$103,10,FALSE)&lt;=0,2,IF(VLOOKUP(A78,Dividende_je_Aktie!A$3:AM$103,10,FALSE)/VLOOKUP(A78,Ergebnis_je_Aktie_verwässert!A$3:AK$103,10,FALSE)&gt;=2,2,VLOOKUP(A78,Dividende_je_Aktie!A$3:AM$103,10,FALSE)/VLOOKUP(A78,Ergebnis_je_Aktie_verwässert!A$3:AK$103,10,FALSE))),""),"")</f>
        <v>#N/A</v>
      </c>
      <c r="Y78" s="71" t="e">
        <f>IF(VLOOKUP(A78,Dividende_je_Aktie!A$3:AM$103,11,FALSE)&lt;&gt;"",IF(VLOOKUP(A78,Ergebnis_je_Aktie_verwässert!A$3:AK$103,11,FALSE)&lt;&gt;"",IF(VLOOKUP(A78,Ergebnis_je_Aktie_verwässert!A$3:AK$103,11,FALSE)&lt;=0,2,IF(VLOOKUP(A78,Dividende_je_Aktie!A$3:AM$103,11,FALSE)/VLOOKUP(A78,Ergebnis_je_Aktie_verwässert!A$3:AK$103,11,FALSE)&gt;=2,2,VLOOKUP(A78,Dividende_je_Aktie!A$3:AM$103,11,FALSE)/VLOOKUP(A78,Ergebnis_je_Aktie_verwässert!A$3:AK$103,11,FALSE))),""),"")</f>
        <v>#N/A</v>
      </c>
      <c r="Z78" s="71" t="e">
        <f>IF(VLOOKUP(A78,Dividende_je_Aktie!A$3:AM$103,12,FALSE)&lt;&gt;"",IF(VLOOKUP(A78,Ergebnis_je_Aktie_verwässert!A$3:AK$103,12,FALSE)&lt;&gt;"",IF(VLOOKUP(A78,Ergebnis_je_Aktie_verwässert!A$3:AK$103,12,FALSE)&lt;=0,2,IF(VLOOKUP(A78,Dividende_je_Aktie!A$3:AM$103,12,FALSE)/VLOOKUP(A78,Ergebnis_je_Aktie_verwässert!A$3:AK$103,12,FALSE)&gt;=2,2,VLOOKUP(A78,Dividende_je_Aktie!A$3:AM$103,12,FALSE)/VLOOKUP(A78,Ergebnis_je_Aktie_verwässert!A$3:AK$103,12,FALSE))),""),"")</f>
        <v>#N/A</v>
      </c>
      <c r="AA78" s="71" t="e">
        <f>IF(VLOOKUP(A78,Dividende_je_Aktie!A$3:AM$103,13,FALSE)&lt;&gt;"",IF(VLOOKUP(A78,Ergebnis_je_Aktie_verwässert!A$3:AK$103,13,FALSE)&lt;&gt;"",IF(VLOOKUP(A78,Ergebnis_je_Aktie_verwässert!A$3:AK$103,13,FALSE)&lt;=0,2,IF(VLOOKUP(A78,Dividende_je_Aktie!A$3:AM$103,13,FALSE)/VLOOKUP(A78,Ergebnis_je_Aktie_verwässert!A$3:AK$103,13,FALSE)&gt;=2,2,VLOOKUP(A78,Dividende_je_Aktie!A$3:AM$103,13,FALSE)/VLOOKUP(A78,Ergebnis_je_Aktie_verwässert!A$3:AK$103,13,FALSE))),""),"")</f>
        <v>#N/A</v>
      </c>
      <c r="AB78" s="71" t="e">
        <f>IF(VLOOKUP(A78,Dividende_je_Aktie!A$3:AM$103,14,FALSE)&lt;&gt;"",IF(VLOOKUP(A78,Ergebnis_je_Aktie_verwässert!A$3:AK$103,14,FALSE)&lt;&gt;"",IF(VLOOKUP(A78,Ergebnis_je_Aktie_verwässert!A$3:AK$103,14,FALSE)&lt;=0,2,IF(VLOOKUP(A78,Dividende_je_Aktie!A$3:AM$103,14,FALSE)/VLOOKUP(A78,Ergebnis_je_Aktie_verwässert!A$3:AK$103,14,FALSE)&gt;=2,2,VLOOKUP(A78,Dividende_je_Aktie!A$3:AM$103,14,FALSE)/VLOOKUP(A78,Ergebnis_je_Aktie_verwässert!A$3:AK$103,14,FALSE))),""),"")</f>
        <v>#N/A</v>
      </c>
      <c r="AC78" s="71" t="e">
        <f>IF(VLOOKUP(A78,Dividende_je_Aktie!A$3:AM$103,15,FALSE)&lt;&gt;"",IF(VLOOKUP(A78,Ergebnis_je_Aktie_verwässert!A$3:AK$103,15,FALSE)&lt;&gt;"",IF(VLOOKUP(A78,Ergebnis_je_Aktie_verwässert!A$3:AK$103,15,FALSE)&lt;=0,2,IF(VLOOKUP(A78,Dividende_je_Aktie!A$3:AM$103,15,FALSE)/VLOOKUP(A78,Ergebnis_je_Aktie_verwässert!A$3:AK$103,15,FALSE)&gt;=2,2,VLOOKUP(A78,Dividende_je_Aktie!A$3:AM$103,15,FALSE)/VLOOKUP(A78,Ergebnis_je_Aktie_verwässert!A$3:AK$103,15,FALSE))),""),"")</f>
        <v>#N/A</v>
      </c>
      <c r="AD78" s="71" t="e">
        <f>IF(VLOOKUP(A78,Dividende_je_Aktie!A$3:AM$103,16,FALSE)&lt;&gt;"",IF(VLOOKUP(A78,Ergebnis_je_Aktie_verwässert!A$3:AK$103,16,FALSE)&lt;&gt;"",IF(VLOOKUP(A78,Ergebnis_je_Aktie_verwässert!A$3:AK$103,16,FALSE)&lt;=0,2,IF(VLOOKUP(A78,Dividende_je_Aktie!A$3:AM$103,16,FALSE)/VLOOKUP(A78,Ergebnis_je_Aktie_verwässert!A$3:AK$103,16,FALSE)&gt;=2,2,VLOOKUP(A78,Dividende_je_Aktie!A$3:AM$103,16,FALSE)/VLOOKUP(A78,Ergebnis_je_Aktie_verwässert!A$3:AK$103,16,FALSE))),""),"")</f>
        <v>#N/A</v>
      </c>
      <c r="AE78" s="71" t="e">
        <f>IF(VLOOKUP(A78,Dividende_je_Aktie!A$3:AM$103,17,FALSE)&lt;&gt;"",IF(VLOOKUP(A78,Ergebnis_je_Aktie_verwässert!A$3:AK$103,17,FALSE)&lt;&gt;"",IF(VLOOKUP(A78,Ergebnis_je_Aktie_verwässert!A$3:AK$103,17,FALSE)&lt;=0,2,IF(VLOOKUP(A78,Dividende_je_Aktie!A$3:AM$103,17,FALSE)/VLOOKUP(A78,Ergebnis_je_Aktie_verwässert!A$3:AK$103,17,FALSE)&gt;=2,2,VLOOKUP(A78,Dividende_je_Aktie!A$3:AM$103,17,FALSE)/VLOOKUP(A78,Ergebnis_je_Aktie_verwässert!A$3:AK$103,17,FALSE))),""),"")</f>
        <v>#N/A</v>
      </c>
      <c r="AF78" s="71" t="e">
        <f>IF(VLOOKUP(A78,Dividende_je_Aktie!A$3:AM$103,18,FALSE)&lt;&gt;"",IF(VLOOKUP(A78,Ergebnis_je_Aktie_verwässert!A$3:AK$103,18,FALSE)&lt;&gt;"",IF(VLOOKUP(A78,Ergebnis_je_Aktie_verwässert!A$3:AK$103,18,FALSE)&lt;=0,2,IF(VLOOKUP(A78,Dividende_je_Aktie!A$3:AM$103,18,FALSE)/VLOOKUP(A78,Ergebnis_je_Aktie_verwässert!A$3:AK$103,18,FALSE)&gt;=2,2,VLOOKUP(A78,Dividende_je_Aktie!A$3:AM$103,18,FALSE)/VLOOKUP(A78,Ergebnis_je_Aktie_verwässert!A$3:AK$103,18,FALSE))),""),"")</f>
        <v>#N/A</v>
      </c>
      <c r="AG78" s="105" t="e">
        <f t="shared" si="15"/>
        <v>#N/A</v>
      </c>
      <c r="AH78" s="4">
        <f t="shared" ca="1" si="16"/>
        <v>41899</v>
      </c>
      <c r="AI78" s="4">
        <f t="shared" ca="1" si="17"/>
        <v>-41539</v>
      </c>
      <c r="AJ78" s="4" t="e">
        <f t="shared" ca="1" si="18"/>
        <v>#NUM!</v>
      </c>
      <c r="AK78" s="10" t="e">
        <f t="shared" ca="1" si="19"/>
        <v>#N/A</v>
      </c>
      <c r="AL78" s="5" t="e">
        <f t="shared" si="20"/>
        <v>#N/A</v>
      </c>
    </row>
    <row r="79" spans="1:38">
      <c r="C79" s="60"/>
      <c r="D79" s="60"/>
      <c r="E79" s="60"/>
      <c r="F79" s="71" t="e">
        <f>IF(VLOOKUP(A79,Dividende_je_Aktie!A$3:AM$103,6,FALSE)&lt;&gt;"",IF(VLOOKUP(A79,Ergebnis_je_Aktie_verwässert!A$3:AK$103,6,FALSE)&lt;&gt;"",IF(VLOOKUP(A79,Ergebnis_je_Aktie_verwässert!A$3:AK$103,6,FALSE)&lt;=0,2,IF(VLOOKUP(A79,Dividende_je_Aktie!A$3:AM$103,6,FALSE)/VLOOKUP(A79,Ergebnis_je_Aktie_verwässert!A$3:AK$103,6,FALSE)&gt;=2,2,VLOOKUP(A79,Dividende_je_Aktie!A$3:AM$103,6,FALSE)/VLOOKUP(A79,Ergebnis_je_Aktie_verwässert!A$3:AK$103,6,FALSE))),""),"")</f>
        <v>#N/A</v>
      </c>
      <c r="G79" s="71" t="e">
        <f>IF(VLOOKUP(A79,Dividende_je_Aktie!A$3:AM$103,7,FALSE)&lt;&gt;"",IF(VLOOKUP(A79,Ergebnis_je_Aktie_verwässert!A$3:AK$103,7,FALSE)&lt;&gt;"",IF(VLOOKUP(A79,Ergebnis_je_Aktie_verwässert!A$3:AK$103,7,FALSE)&lt;=0,2,IF(VLOOKUP(A79,Dividende_je_Aktie!A$3:AM$103,7,FALSE)/VLOOKUP(A79,Ergebnis_je_Aktie_verwässert!A$3:AK$103,7,FALSE)&gt;=2,2,VLOOKUP(A79,Dividende_je_Aktie!A$3:AM$103,7,FALSE)/VLOOKUP(A79,Ergebnis_je_Aktie_verwässert!A$3:AK$103,7,FALSE))),""),"")</f>
        <v>#N/A</v>
      </c>
      <c r="H79" s="71" t="e">
        <f>IF(VLOOKUP(A79,Fiktive_Dividende!A$3:AM$103,14,FALSE)&lt;&gt;"",IF(VLOOKUP(A79,Ergebnis_je_Aktie_verwässert!A$3:AK$103,8,FALSE)&lt;&gt;"",IF(VLOOKUP(A79,Ergebnis_je_Aktie_verwässert!A$3:AK$103,8,FALSE)&lt;=0,2,IF(VLOOKUP(A79,Fiktive_Dividende!A$3:AM$103,14,FALSE)/VLOOKUP(A79,Ergebnis_je_Aktie_verwässert!A$3:AK$103,8,FALSE)&gt;=2,2,VLOOKUP(A79,Fiktive_Dividende!A$3:AM$103,14,FALSE)/VLOOKUP(A79,Ergebnis_je_Aktie_verwässert!A$3:AK$103,8,FALSE))),""),"")</f>
        <v>#N/A</v>
      </c>
      <c r="I79" s="71" t="e">
        <f>IF(VLOOKUP(A79,Fiktive_Dividende!A$3:AM$103,15,FALSE)&lt;&gt;"",IF(VLOOKUP(A79,Ergebnis_je_Aktie_verwässert!A$3:AK$103,9,FALSE)&lt;&gt;"",IF(VLOOKUP(A79,Ergebnis_je_Aktie_verwässert!A$3:AK$103,9,FALSE)&lt;=0,2,IF(VLOOKUP(A79,Fiktive_Dividende!A$3:AM$103,15,FALSE)/VLOOKUP(A79,Ergebnis_je_Aktie_verwässert!A$3:AK$103,9,FALSE)&gt;=2,2,VLOOKUP(A79,Fiktive_Dividende!A$3:AM$103,15,FALSE)/VLOOKUP(A79,Ergebnis_je_Aktie_verwässert!A$3:AK$103,9,FALSE))),""),"")</f>
        <v>#N/A</v>
      </c>
      <c r="J79" s="71" t="e">
        <f>IF(VLOOKUP(A79,Fiktive_Dividende!A$3:AM$103,16,FALSE)&lt;&gt;"",IF(VLOOKUP(A79,Ergebnis_je_Aktie_verwässert!A$3:AK$103,10,FALSE)&lt;&gt;"",IF(VLOOKUP(A79,Ergebnis_je_Aktie_verwässert!A$3:AK$103,10,FALSE)&lt;=0,2,IF(VLOOKUP(A79,Fiktive_Dividende!A$3:AM$103,16,FALSE)/VLOOKUP(A79,Ergebnis_je_Aktie_verwässert!A$3:AK$103,10,FALSE)&gt;=2,2,VLOOKUP(A79,Fiktive_Dividende!A$3:AM$103,16,FALSE)/VLOOKUP(A79,Ergebnis_je_Aktie_verwässert!A$3:AK$103,10,FALSE))),""),"")</f>
        <v>#N/A</v>
      </c>
      <c r="K79" s="71" t="e">
        <f>IF(VLOOKUP(A79,Fiktive_Dividende!A$3:AM$103,17,FALSE)&lt;&gt;"",IF(VLOOKUP(A79,Ergebnis_je_Aktie_verwässert!A$3:AK$103,11,FALSE)&lt;&gt;"",IF(VLOOKUP(A79,Ergebnis_je_Aktie_verwässert!A$3:AK$103,11,FALSE)&lt;=0,2,IF(VLOOKUP(A79,Fiktive_Dividende!A$3:AM$103,17,FALSE)/VLOOKUP(A79,Ergebnis_je_Aktie_verwässert!A$3:AK$103,11,FALSE)&gt;=2,2,VLOOKUP(A79,Fiktive_Dividende!A$3:AM$103,17,FALSE)/VLOOKUP(A79,Ergebnis_je_Aktie_verwässert!A$3:AK$103,11,FALSE))),""),"")</f>
        <v>#N/A</v>
      </c>
      <c r="L79" s="71" t="e">
        <f>IF(VLOOKUP(A79,Fiktive_Dividende!A$3:AM$103,18,FALSE)&lt;&gt;"",IF(VLOOKUP(A79,Ergebnis_je_Aktie_verwässert!A$3:AK$103,12,FALSE)&lt;&gt;"",IF(VLOOKUP(A79,Ergebnis_je_Aktie_verwässert!A$3:AK$103,12,FALSE)&lt;=0,2,IF(VLOOKUP(A79,Fiktive_Dividende!A$3:AM$103,18,FALSE)/VLOOKUP(A79,Ergebnis_je_Aktie_verwässert!A$3:AK$103,12,FALSE)&gt;=2,2,VLOOKUP(A79,Fiktive_Dividende!A$3:AM$103,18,FALSE)/VLOOKUP(A79,Ergebnis_je_Aktie_verwässert!A$3:AK$103,12,FALSE))),""),"")</f>
        <v>#N/A</v>
      </c>
      <c r="M79" s="71" t="e">
        <f>IF(VLOOKUP(A79,Fiktive_Dividende!A$3:AM$103,19,FALSE)&lt;&gt;"",IF(VLOOKUP(A79,Ergebnis_je_Aktie_verwässert!A$3:AK$103,13,FALSE)&lt;&gt;"",IF(VLOOKUP(A79,Ergebnis_je_Aktie_verwässert!A$3:AK$103,13,FALSE)&lt;=0,2,IF(VLOOKUP(A79,Fiktive_Dividende!A$3:AM$103,19,FALSE)/VLOOKUP(A79,Ergebnis_je_Aktie_verwässert!A$3:AK$103,13,FALSE)&gt;=2,2,VLOOKUP(A79,Fiktive_Dividende!A$3:AM$103,19,FALSE)/VLOOKUP(A79,Ergebnis_je_Aktie_verwässert!A$3:AK$103,13,FALSE))),""),"")</f>
        <v>#N/A</v>
      </c>
      <c r="N79" s="71" t="e">
        <f>IF(VLOOKUP(A79,Fiktive_Dividende!A$3:AM$103,20,FALSE)&lt;&gt;"",IF(VLOOKUP(A79,Ergebnis_je_Aktie_verwässert!A$3:AK$103,14,FALSE)&lt;&gt;"",IF(VLOOKUP(A79,Ergebnis_je_Aktie_verwässert!A$3:AK$103,14,FALSE)&lt;=0,2,IF(VLOOKUP(A79,Fiktive_Dividende!A$3:AM$103,20,FALSE)/VLOOKUP(A79,Ergebnis_je_Aktie_verwässert!A$3:AK$103,14,FALSE)&gt;=2,2,VLOOKUP(A79,Fiktive_Dividende!A$3:AM$103,20,FALSE)/VLOOKUP(A79,Ergebnis_je_Aktie_verwässert!A$3:AK$103,14,FALSE))),""),"")</f>
        <v>#N/A</v>
      </c>
      <c r="O79" s="71" t="e">
        <f>IF(VLOOKUP(A79,Fiktive_Dividende!A$3:AM$103,21,FALSE)&lt;&gt;"",IF(VLOOKUP(A79,Ergebnis_je_Aktie_verwässert!A$3:AK$103,15,FALSE)&lt;&gt;"",IF(VLOOKUP(A79,Ergebnis_je_Aktie_verwässert!A$3:AK$103,15,FALSE)&lt;=0,2,IF(VLOOKUP(A79,Fiktive_Dividende!A$3:AM$103,21,FALSE)/VLOOKUP(A79,Ergebnis_je_Aktie_verwässert!A$3:AK$103,15,FALSE)&gt;=2,2,VLOOKUP(A79,Fiktive_Dividende!A$3:AM$103,21,FALSE)/VLOOKUP(A79,Ergebnis_je_Aktie_verwässert!A$3:AK$103,15,FALSE))),""),"")</f>
        <v>#N/A</v>
      </c>
      <c r="P79" s="71" t="e">
        <f>IF(VLOOKUP(A79,Fiktive_Dividende!A$3:AM$103,22,FALSE)&lt;&gt;"",IF(VLOOKUP(A79,Ergebnis_je_Aktie_verwässert!A$3:AK$103,16,FALSE)&lt;&gt;"",IF(VLOOKUP(A79,Ergebnis_je_Aktie_verwässert!A$3:AK$103,16,FALSE)&lt;=0,2,IF(VLOOKUP(A79,Fiktive_Dividende!A$3:AM$103,22,FALSE)/VLOOKUP(A79,Ergebnis_je_Aktie_verwässert!A$3:AK$103,16,FALSE)&gt;=2,2,VLOOKUP(A79,Fiktive_Dividende!A$3:AM$103,22,FALSE)/VLOOKUP(A79,Ergebnis_je_Aktie_verwässert!A$3:AK$103,16,FALSE))),""),"")</f>
        <v>#N/A</v>
      </c>
      <c r="Q79" s="71" t="e">
        <f>IF(VLOOKUP(A79,Fiktive_Dividende!A$3:AM$103,23,FALSE)&lt;&gt;"",IF(VLOOKUP(A79,Ergebnis_je_Aktie_verwässert!A$3:AK$103,17,FALSE)&lt;&gt;"",IF(VLOOKUP(A79,Ergebnis_je_Aktie_verwässert!A$3:AK$103,17,FALSE)&lt;=0,2,IF(VLOOKUP(A79,Fiktive_Dividende!A$3:AM$103,23,FALSE)/VLOOKUP(A79,Ergebnis_je_Aktie_verwässert!A$3:AK$103,17,FALSE)&gt;=2,2,VLOOKUP(A79,Fiktive_Dividende!A$3:AM$103,23,FALSE)/VLOOKUP(A79,Ergebnis_je_Aktie_verwässert!A$3:AK$103,17,FALSE))),""),"")</f>
        <v>#N/A</v>
      </c>
      <c r="R79" s="71" t="e">
        <f>IF(VLOOKUP(A79,Fiktive_Dividende!A$3:AM$103,24,FALSE)&lt;&gt;"",IF(VLOOKUP(A79,Ergebnis_je_Aktie_verwässert!A$3:AK$103,18,FALSE)&lt;&gt;"",IF(VLOOKUP(A79,Ergebnis_je_Aktie_verwässert!A$3:AK$103,18,FALSE)&lt;=0,2,IF(VLOOKUP(A79,Fiktive_Dividende!A$3:AM$103,24,FALSE)/VLOOKUP(A79,Ergebnis_je_Aktie_verwässert!A$3:AK$103,18,FALSE)&gt;=2,2,VLOOKUP(A79,Fiktive_Dividende!A$3:AM$103,24,FALSE)/VLOOKUP(A79,Ergebnis_je_Aktie_verwässert!A$3:AK$103,18,FALSE))),""),"")</f>
        <v>#N/A</v>
      </c>
      <c r="S79" s="105" t="e">
        <f t="shared" si="14"/>
        <v>#N/A</v>
      </c>
      <c r="T79" s="71" t="e">
        <f>IF(VLOOKUP(A79,Dividende_je_Aktie!A$3:AM$103,6,FALSE)&lt;&gt;"",IF(VLOOKUP(A79,Ergebnis_je_Aktie_verwässert!A$3:AK$103,6,FALSE)&lt;&gt;"",IF(VLOOKUP(A79,Ergebnis_je_Aktie_verwässert!A$3:AK$103,6,FALSE)&lt;=0,2,IF(VLOOKUP(A79,Dividende_je_Aktie!A$3:AM$103,6,FALSE)/VLOOKUP(A79,Ergebnis_je_Aktie_verwässert!A$3:AK$103,6,FALSE)&gt;=2,2,VLOOKUP(A79,Dividende_je_Aktie!A$3:AM$103,6,FALSE)/VLOOKUP(A79,Ergebnis_je_Aktie_verwässert!A$3:AK$103,6,FALSE))),""),"")</f>
        <v>#N/A</v>
      </c>
      <c r="U79" s="71" t="e">
        <f>IF(VLOOKUP(A79,Dividende_je_Aktie!A$3:AM$103,7,FALSE)&lt;&gt;"",IF(VLOOKUP(A79,Ergebnis_je_Aktie_verwässert!A$3:AK$103,7,FALSE)&lt;&gt;"",IF(VLOOKUP(A79,Ergebnis_je_Aktie_verwässert!A$3:AK$103,7,FALSE)&lt;=0,2,IF(VLOOKUP(A79,Dividende_je_Aktie!A$3:AM$103,7,FALSE)/VLOOKUP(A79,Ergebnis_je_Aktie_verwässert!A$3:AK$103,7,FALSE)&gt;=2,2,VLOOKUP(A79,Dividende_je_Aktie!A$3:AM$103,7,FALSE)/VLOOKUP(A79,Ergebnis_je_Aktie_verwässert!A$3:AK$103,7,FALSE))),""),"")</f>
        <v>#N/A</v>
      </c>
      <c r="V79" s="71" t="e">
        <f>IF(VLOOKUP(A79,Dividende_je_Aktie!A$3:AM$103,8,FALSE)&lt;&gt;"",IF(VLOOKUP(A79,Ergebnis_je_Aktie_verwässert!A$3:AK$103,8,FALSE)&lt;&gt;"",IF(VLOOKUP(A79,Ergebnis_je_Aktie_verwässert!A$3:AK$103,8,FALSE)&lt;=0,2,IF(VLOOKUP(A79,Dividende_je_Aktie!A$3:AM$103,8,FALSE)/VLOOKUP(A79,Ergebnis_je_Aktie_verwässert!A$3:AK$103,8,FALSE)&gt;=2,2,VLOOKUP(A79,Dividende_je_Aktie!A$3:AM$103,8,FALSE)/VLOOKUP(A79,Ergebnis_je_Aktie_verwässert!A$3:AK$103,8,FALSE))),""),"")</f>
        <v>#N/A</v>
      </c>
      <c r="W79" s="71" t="e">
        <f>IF(VLOOKUP(A79,Dividende_je_Aktie!A$3:AM$103,9,FALSE)&lt;&gt;"",IF(VLOOKUP(A79,Ergebnis_je_Aktie_verwässert!A$3:AK$103,9,FALSE)&lt;&gt;"",IF(VLOOKUP(A79,Ergebnis_je_Aktie_verwässert!A$3:AK$103,9,FALSE)&lt;=0,2,IF(VLOOKUP(A79,Dividende_je_Aktie!A$3:AM$103,9,FALSE)/VLOOKUP(A79,Ergebnis_je_Aktie_verwässert!A$3:AK$103,9,FALSE)&gt;=2,2,VLOOKUP(A79,Dividende_je_Aktie!A$3:AM$103,9,FALSE)/VLOOKUP(A79,Ergebnis_je_Aktie_verwässert!A$3:AK$103,9,FALSE))),""),"")</f>
        <v>#N/A</v>
      </c>
      <c r="X79" s="71" t="e">
        <f>IF(VLOOKUP(A79,Dividende_je_Aktie!A$3:AM$103,10,FALSE)&lt;&gt;"",IF(VLOOKUP(A79,Ergebnis_je_Aktie_verwässert!A$3:AK$103,10,FALSE)&lt;&gt;"",IF(VLOOKUP(A79,Ergebnis_je_Aktie_verwässert!A$3:AK$103,10,FALSE)&lt;=0,2,IF(VLOOKUP(A79,Dividende_je_Aktie!A$3:AM$103,10,FALSE)/VLOOKUP(A79,Ergebnis_je_Aktie_verwässert!A$3:AK$103,10,FALSE)&gt;=2,2,VLOOKUP(A79,Dividende_je_Aktie!A$3:AM$103,10,FALSE)/VLOOKUP(A79,Ergebnis_je_Aktie_verwässert!A$3:AK$103,10,FALSE))),""),"")</f>
        <v>#N/A</v>
      </c>
      <c r="Y79" s="71" t="e">
        <f>IF(VLOOKUP(A79,Dividende_je_Aktie!A$3:AM$103,11,FALSE)&lt;&gt;"",IF(VLOOKUP(A79,Ergebnis_je_Aktie_verwässert!A$3:AK$103,11,FALSE)&lt;&gt;"",IF(VLOOKUP(A79,Ergebnis_je_Aktie_verwässert!A$3:AK$103,11,FALSE)&lt;=0,2,IF(VLOOKUP(A79,Dividende_je_Aktie!A$3:AM$103,11,FALSE)/VLOOKUP(A79,Ergebnis_je_Aktie_verwässert!A$3:AK$103,11,FALSE)&gt;=2,2,VLOOKUP(A79,Dividende_je_Aktie!A$3:AM$103,11,FALSE)/VLOOKUP(A79,Ergebnis_je_Aktie_verwässert!A$3:AK$103,11,FALSE))),""),"")</f>
        <v>#N/A</v>
      </c>
      <c r="Z79" s="71" t="e">
        <f>IF(VLOOKUP(A79,Dividende_je_Aktie!A$3:AM$103,12,FALSE)&lt;&gt;"",IF(VLOOKUP(A79,Ergebnis_je_Aktie_verwässert!A$3:AK$103,12,FALSE)&lt;&gt;"",IF(VLOOKUP(A79,Ergebnis_je_Aktie_verwässert!A$3:AK$103,12,FALSE)&lt;=0,2,IF(VLOOKUP(A79,Dividende_je_Aktie!A$3:AM$103,12,FALSE)/VLOOKUP(A79,Ergebnis_je_Aktie_verwässert!A$3:AK$103,12,FALSE)&gt;=2,2,VLOOKUP(A79,Dividende_je_Aktie!A$3:AM$103,12,FALSE)/VLOOKUP(A79,Ergebnis_je_Aktie_verwässert!A$3:AK$103,12,FALSE))),""),"")</f>
        <v>#N/A</v>
      </c>
      <c r="AA79" s="71" t="e">
        <f>IF(VLOOKUP(A79,Dividende_je_Aktie!A$3:AM$103,13,FALSE)&lt;&gt;"",IF(VLOOKUP(A79,Ergebnis_je_Aktie_verwässert!A$3:AK$103,13,FALSE)&lt;&gt;"",IF(VLOOKUP(A79,Ergebnis_je_Aktie_verwässert!A$3:AK$103,13,FALSE)&lt;=0,2,IF(VLOOKUP(A79,Dividende_je_Aktie!A$3:AM$103,13,FALSE)/VLOOKUP(A79,Ergebnis_je_Aktie_verwässert!A$3:AK$103,13,FALSE)&gt;=2,2,VLOOKUP(A79,Dividende_je_Aktie!A$3:AM$103,13,FALSE)/VLOOKUP(A79,Ergebnis_je_Aktie_verwässert!A$3:AK$103,13,FALSE))),""),"")</f>
        <v>#N/A</v>
      </c>
      <c r="AB79" s="71" t="e">
        <f>IF(VLOOKUP(A79,Dividende_je_Aktie!A$3:AM$103,14,FALSE)&lt;&gt;"",IF(VLOOKUP(A79,Ergebnis_je_Aktie_verwässert!A$3:AK$103,14,FALSE)&lt;&gt;"",IF(VLOOKUP(A79,Ergebnis_je_Aktie_verwässert!A$3:AK$103,14,FALSE)&lt;=0,2,IF(VLOOKUP(A79,Dividende_je_Aktie!A$3:AM$103,14,FALSE)/VLOOKUP(A79,Ergebnis_je_Aktie_verwässert!A$3:AK$103,14,FALSE)&gt;=2,2,VLOOKUP(A79,Dividende_je_Aktie!A$3:AM$103,14,FALSE)/VLOOKUP(A79,Ergebnis_je_Aktie_verwässert!A$3:AK$103,14,FALSE))),""),"")</f>
        <v>#N/A</v>
      </c>
      <c r="AC79" s="71" t="e">
        <f>IF(VLOOKUP(A79,Dividende_je_Aktie!A$3:AM$103,15,FALSE)&lt;&gt;"",IF(VLOOKUP(A79,Ergebnis_je_Aktie_verwässert!A$3:AK$103,15,FALSE)&lt;&gt;"",IF(VLOOKUP(A79,Ergebnis_je_Aktie_verwässert!A$3:AK$103,15,FALSE)&lt;=0,2,IF(VLOOKUP(A79,Dividende_je_Aktie!A$3:AM$103,15,FALSE)/VLOOKUP(A79,Ergebnis_je_Aktie_verwässert!A$3:AK$103,15,FALSE)&gt;=2,2,VLOOKUP(A79,Dividende_je_Aktie!A$3:AM$103,15,FALSE)/VLOOKUP(A79,Ergebnis_je_Aktie_verwässert!A$3:AK$103,15,FALSE))),""),"")</f>
        <v>#N/A</v>
      </c>
      <c r="AD79" s="71" t="e">
        <f>IF(VLOOKUP(A79,Dividende_je_Aktie!A$3:AM$103,16,FALSE)&lt;&gt;"",IF(VLOOKUP(A79,Ergebnis_je_Aktie_verwässert!A$3:AK$103,16,FALSE)&lt;&gt;"",IF(VLOOKUP(A79,Ergebnis_je_Aktie_verwässert!A$3:AK$103,16,FALSE)&lt;=0,2,IF(VLOOKUP(A79,Dividende_je_Aktie!A$3:AM$103,16,FALSE)/VLOOKUP(A79,Ergebnis_je_Aktie_verwässert!A$3:AK$103,16,FALSE)&gt;=2,2,VLOOKUP(A79,Dividende_je_Aktie!A$3:AM$103,16,FALSE)/VLOOKUP(A79,Ergebnis_je_Aktie_verwässert!A$3:AK$103,16,FALSE))),""),"")</f>
        <v>#N/A</v>
      </c>
      <c r="AE79" s="71" t="e">
        <f>IF(VLOOKUP(A79,Dividende_je_Aktie!A$3:AM$103,17,FALSE)&lt;&gt;"",IF(VLOOKUP(A79,Ergebnis_je_Aktie_verwässert!A$3:AK$103,17,FALSE)&lt;&gt;"",IF(VLOOKUP(A79,Ergebnis_je_Aktie_verwässert!A$3:AK$103,17,FALSE)&lt;=0,2,IF(VLOOKUP(A79,Dividende_je_Aktie!A$3:AM$103,17,FALSE)/VLOOKUP(A79,Ergebnis_je_Aktie_verwässert!A$3:AK$103,17,FALSE)&gt;=2,2,VLOOKUP(A79,Dividende_je_Aktie!A$3:AM$103,17,FALSE)/VLOOKUP(A79,Ergebnis_je_Aktie_verwässert!A$3:AK$103,17,FALSE))),""),"")</f>
        <v>#N/A</v>
      </c>
      <c r="AF79" s="71" t="e">
        <f>IF(VLOOKUP(A79,Dividende_je_Aktie!A$3:AM$103,18,FALSE)&lt;&gt;"",IF(VLOOKUP(A79,Ergebnis_je_Aktie_verwässert!A$3:AK$103,18,FALSE)&lt;&gt;"",IF(VLOOKUP(A79,Ergebnis_je_Aktie_verwässert!A$3:AK$103,18,FALSE)&lt;=0,2,IF(VLOOKUP(A79,Dividende_je_Aktie!A$3:AM$103,18,FALSE)/VLOOKUP(A79,Ergebnis_je_Aktie_verwässert!A$3:AK$103,18,FALSE)&gt;=2,2,VLOOKUP(A79,Dividende_je_Aktie!A$3:AM$103,18,FALSE)/VLOOKUP(A79,Ergebnis_je_Aktie_verwässert!A$3:AK$103,18,FALSE))),""),"")</f>
        <v>#N/A</v>
      </c>
      <c r="AG79" s="105" t="e">
        <f t="shared" si="15"/>
        <v>#N/A</v>
      </c>
      <c r="AH79" s="4">
        <f t="shared" ca="1" si="16"/>
        <v>41899</v>
      </c>
      <c r="AI79" s="4">
        <f t="shared" ca="1" si="17"/>
        <v>-41539</v>
      </c>
      <c r="AJ79" s="4" t="e">
        <f t="shared" ca="1" si="18"/>
        <v>#NUM!</v>
      </c>
      <c r="AK79" s="10" t="e">
        <f t="shared" ca="1" si="19"/>
        <v>#N/A</v>
      </c>
      <c r="AL79" s="5" t="e">
        <f t="shared" si="20"/>
        <v>#N/A</v>
      </c>
    </row>
    <row r="80" spans="1:38">
      <c r="C80" s="60"/>
      <c r="D80" s="60"/>
      <c r="E80" s="60"/>
      <c r="F80" s="71" t="e">
        <f>IF(VLOOKUP(A80,Dividende_je_Aktie!A$3:AM$103,6,FALSE)&lt;&gt;"",IF(VLOOKUP(A80,Ergebnis_je_Aktie_verwässert!A$3:AK$103,6,FALSE)&lt;&gt;"",IF(VLOOKUP(A80,Ergebnis_je_Aktie_verwässert!A$3:AK$103,6,FALSE)&lt;=0,2,IF(VLOOKUP(A80,Dividende_je_Aktie!A$3:AM$103,6,FALSE)/VLOOKUP(A80,Ergebnis_je_Aktie_verwässert!A$3:AK$103,6,FALSE)&gt;=2,2,VLOOKUP(A80,Dividende_je_Aktie!A$3:AM$103,6,FALSE)/VLOOKUP(A80,Ergebnis_je_Aktie_verwässert!A$3:AK$103,6,FALSE))),""),"")</f>
        <v>#N/A</v>
      </c>
      <c r="G80" s="71" t="e">
        <f>IF(VLOOKUP(A80,Dividende_je_Aktie!A$3:AM$103,7,FALSE)&lt;&gt;"",IF(VLOOKUP(A80,Ergebnis_je_Aktie_verwässert!A$3:AK$103,7,FALSE)&lt;&gt;"",IF(VLOOKUP(A80,Ergebnis_je_Aktie_verwässert!A$3:AK$103,7,FALSE)&lt;=0,2,IF(VLOOKUP(A80,Dividende_je_Aktie!A$3:AM$103,7,FALSE)/VLOOKUP(A80,Ergebnis_je_Aktie_verwässert!A$3:AK$103,7,FALSE)&gt;=2,2,VLOOKUP(A80,Dividende_je_Aktie!A$3:AM$103,7,FALSE)/VLOOKUP(A80,Ergebnis_je_Aktie_verwässert!A$3:AK$103,7,FALSE))),""),"")</f>
        <v>#N/A</v>
      </c>
      <c r="H80" s="71" t="e">
        <f>IF(VLOOKUP(A80,Fiktive_Dividende!A$3:AM$103,14,FALSE)&lt;&gt;"",IF(VLOOKUP(A80,Ergebnis_je_Aktie_verwässert!A$3:AK$103,8,FALSE)&lt;&gt;"",IF(VLOOKUP(A80,Ergebnis_je_Aktie_verwässert!A$3:AK$103,8,FALSE)&lt;=0,2,IF(VLOOKUP(A80,Fiktive_Dividende!A$3:AM$103,14,FALSE)/VLOOKUP(A80,Ergebnis_je_Aktie_verwässert!A$3:AK$103,8,FALSE)&gt;=2,2,VLOOKUP(A80,Fiktive_Dividende!A$3:AM$103,14,FALSE)/VLOOKUP(A80,Ergebnis_je_Aktie_verwässert!A$3:AK$103,8,FALSE))),""),"")</f>
        <v>#N/A</v>
      </c>
      <c r="I80" s="71" t="e">
        <f>IF(VLOOKUP(A80,Fiktive_Dividende!A$3:AM$103,15,FALSE)&lt;&gt;"",IF(VLOOKUP(A80,Ergebnis_je_Aktie_verwässert!A$3:AK$103,9,FALSE)&lt;&gt;"",IF(VLOOKUP(A80,Ergebnis_je_Aktie_verwässert!A$3:AK$103,9,FALSE)&lt;=0,2,IF(VLOOKUP(A80,Fiktive_Dividende!A$3:AM$103,15,FALSE)/VLOOKUP(A80,Ergebnis_je_Aktie_verwässert!A$3:AK$103,9,FALSE)&gt;=2,2,VLOOKUP(A80,Fiktive_Dividende!A$3:AM$103,15,FALSE)/VLOOKUP(A80,Ergebnis_je_Aktie_verwässert!A$3:AK$103,9,FALSE))),""),"")</f>
        <v>#N/A</v>
      </c>
      <c r="J80" s="71" t="e">
        <f>IF(VLOOKUP(A80,Fiktive_Dividende!A$3:AM$103,16,FALSE)&lt;&gt;"",IF(VLOOKUP(A80,Ergebnis_je_Aktie_verwässert!A$3:AK$103,10,FALSE)&lt;&gt;"",IF(VLOOKUP(A80,Ergebnis_je_Aktie_verwässert!A$3:AK$103,10,FALSE)&lt;=0,2,IF(VLOOKUP(A80,Fiktive_Dividende!A$3:AM$103,16,FALSE)/VLOOKUP(A80,Ergebnis_je_Aktie_verwässert!A$3:AK$103,10,FALSE)&gt;=2,2,VLOOKUP(A80,Fiktive_Dividende!A$3:AM$103,16,FALSE)/VLOOKUP(A80,Ergebnis_je_Aktie_verwässert!A$3:AK$103,10,FALSE))),""),"")</f>
        <v>#N/A</v>
      </c>
      <c r="K80" s="71" t="e">
        <f>IF(VLOOKUP(A80,Fiktive_Dividende!A$3:AM$103,17,FALSE)&lt;&gt;"",IF(VLOOKUP(A80,Ergebnis_je_Aktie_verwässert!A$3:AK$103,11,FALSE)&lt;&gt;"",IF(VLOOKUP(A80,Ergebnis_je_Aktie_verwässert!A$3:AK$103,11,FALSE)&lt;=0,2,IF(VLOOKUP(A80,Fiktive_Dividende!A$3:AM$103,17,FALSE)/VLOOKUP(A80,Ergebnis_je_Aktie_verwässert!A$3:AK$103,11,FALSE)&gt;=2,2,VLOOKUP(A80,Fiktive_Dividende!A$3:AM$103,17,FALSE)/VLOOKUP(A80,Ergebnis_je_Aktie_verwässert!A$3:AK$103,11,FALSE))),""),"")</f>
        <v>#N/A</v>
      </c>
      <c r="L80" s="71" t="e">
        <f>IF(VLOOKUP(A80,Fiktive_Dividende!A$3:AM$103,18,FALSE)&lt;&gt;"",IF(VLOOKUP(A80,Ergebnis_je_Aktie_verwässert!A$3:AK$103,12,FALSE)&lt;&gt;"",IF(VLOOKUP(A80,Ergebnis_je_Aktie_verwässert!A$3:AK$103,12,FALSE)&lt;=0,2,IF(VLOOKUP(A80,Fiktive_Dividende!A$3:AM$103,18,FALSE)/VLOOKUP(A80,Ergebnis_je_Aktie_verwässert!A$3:AK$103,12,FALSE)&gt;=2,2,VLOOKUP(A80,Fiktive_Dividende!A$3:AM$103,18,FALSE)/VLOOKUP(A80,Ergebnis_je_Aktie_verwässert!A$3:AK$103,12,FALSE))),""),"")</f>
        <v>#N/A</v>
      </c>
      <c r="M80" s="71" t="e">
        <f>IF(VLOOKUP(A80,Fiktive_Dividende!A$3:AM$103,19,FALSE)&lt;&gt;"",IF(VLOOKUP(A80,Ergebnis_je_Aktie_verwässert!A$3:AK$103,13,FALSE)&lt;&gt;"",IF(VLOOKUP(A80,Ergebnis_je_Aktie_verwässert!A$3:AK$103,13,FALSE)&lt;=0,2,IF(VLOOKUP(A80,Fiktive_Dividende!A$3:AM$103,19,FALSE)/VLOOKUP(A80,Ergebnis_je_Aktie_verwässert!A$3:AK$103,13,FALSE)&gt;=2,2,VLOOKUP(A80,Fiktive_Dividende!A$3:AM$103,19,FALSE)/VLOOKUP(A80,Ergebnis_je_Aktie_verwässert!A$3:AK$103,13,FALSE))),""),"")</f>
        <v>#N/A</v>
      </c>
      <c r="N80" s="71" t="e">
        <f>IF(VLOOKUP(A80,Fiktive_Dividende!A$3:AM$103,20,FALSE)&lt;&gt;"",IF(VLOOKUP(A80,Ergebnis_je_Aktie_verwässert!A$3:AK$103,14,FALSE)&lt;&gt;"",IF(VLOOKUP(A80,Ergebnis_je_Aktie_verwässert!A$3:AK$103,14,FALSE)&lt;=0,2,IF(VLOOKUP(A80,Fiktive_Dividende!A$3:AM$103,20,FALSE)/VLOOKUP(A80,Ergebnis_je_Aktie_verwässert!A$3:AK$103,14,FALSE)&gt;=2,2,VLOOKUP(A80,Fiktive_Dividende!A$3:AM$103,20,FALSE)/VLOOKUP(A80,Ergebnis_je_Aktie_verwässert!A$3:AK$103,14,FALSE))),""),"")</f>
        <v>#N/A</v>
      </c>
      <c r="O80" s="71" t="e">
        <f>IF(VLOOKUP(A80,Fiktive_Dividende!A$3:AM$103,21,FALSE)&lt;&gt;"",IF(VLOOKUP(A80,Ergebnis_je_Aktie_verwässert!A$3:AK$103,15,FALSE)&lt;&gt;"",IF(VLOOKUP(A80,Ergebnis_je_Aktie_verwässert!A$3:AK$103,15,FALSE)&lt;=0,2,IF(VLOOKUP(A80,Fiktive_Dividende!A$3:AM$103,21,FALSE)/VLOOKUP(A80,Ergebnis_je_Aktie_verwässert!A$3:AK$103,15,FALSE)&gt;=2,2,VLOOKUP(A80,Fiktive_Dividende!A$3:AM$103,21,FALSE)/VLOOKUP(A80,Ergebnis_je_Aktie_verwässert!A$3:AK$103,15,FALSE))),""),"")</f>
        <v>#N/A</v>
      </c>
      <c r="P80" s="71" t="e">
        <f>IF(VLOOKUP(A80,Fiktive_Dividende!A$3:AM$103,22,FALSE)&lt;&gt;"",IF(VLOOKUP(A80,Ergebnis_je_Aktie_verwässert!A$3:AK$103,16,FALSE)&lt;&gt;"",IF(VLOOKUP(A80,Ergebnis_je_Aktie_verwässert!A$3:AK$103,16,FALSE)&lt;=0,2,IF(VLOOKUP(A80,Fiktive_Dividende!A$3:AM$103,22,FALSE)/VLOOKUP(A80,Ergebnis_je_Aktie_verwässert!A$3:AK$103,16,FALSE)&gt;=2,2,VLOOKUP(A80,Fiktive_Dividende!A$3:AM$103,22,FALSE)/VLOOKUP(A80,Ergebnis_je_Aktie_verwässert!A$3:AK$103,16,FALSE))),""),"")</f>
        <v>#N/A</v>
      </c>
      <c r="Q80" s="71" t="e">
        <f>IF(VLOOKUP(A80,Fiktive_Dividende!A$3:AM$103,23,FALSE)&lt;&gt;"",IF(VLOOKUP(A80,Ergebnis_je_Aktie_verwässert!A$3:AK$103,17,FALSE)&lt;&gt;"",IF(VLOOKUP(A80,Ergebnis_je_Aktie_verwässert!A$3:AK$103,17,FALSE)&lt;=0,2,IF(VLOOKUP(A80,Fiktive_Dividende!A$3:AM$103,23,FALSE)/VLOOKUP(A80,Ergebnis_je_Aktie_verwässert!A$3:AK$103,17,FALSE)&gt;=2,2,VLOOKUP(A80,Fiktive_Dividende!A$3:AM$103,23,FALSE)/VLOOKUP(A80,Ergebnis_je_Aktie_verwässert!A$3:AK$103,17,FALSE))),""),"")</f>
        <v>#N/A</v>
      </c>
      <c r="R80" s="71" t="e">
        <f>IF(VLOOKUP(A80,Fiktive_Dividende!A$3:AM$103,24,FALSE)&lt;&gt;"",IF(VLOOKUP(A80,Ergebnis_je_Aktie_verwässert!A$3:AK$103,18,FALSE)&lt;&gt;"",IF(VLOOKUP(A80,Ergebnis_je_Aktie_verwässert!A$3:AK$103,18,FALSE)&lt;=0,2,IF(VLOOKUP(A80,Fiktive_Dividende!A$3:AM$103,24,FALSE)/VLOOKUP(A80,Ergebnis_je_Aktie_verwässert!A$3:AK$103,18,FALSE)&gt;=2,2,VLOOKUP(A80,Fiktive_Dividende!A$3:AM$103,24,FALSE)/VLOOKUP(A80,Ergebnis_je_Aktie_verwässert!A$3:AK$103,18,FALSE))),""),"")</f>
        <v>#N/A</v>
      </c>
      <c r="S80" s="105" t="e">
        <f t="shared" si="14"/>
        <v>#N/A</v>
      </c>
      <c r="T80" s="71" t="e">
        <f>IF(VLOOKUP(A80,Dividende_je_Aktie!A$3:AM$103,6,FALSE)&lt;&gt;"",IF(VLOOKUP(A80,Ergebnis_je_Aktie_verwässert!A$3:AK$103,6,FALSE)&lt;&gt;"",IF(VLOOKUP(A80,Ergebnis_je_Aktie_verwässert!A$3:AK$103,6,FALSE)&lt;=0,2,IF(VLOOKUP(A80,Dividende_je_Aktie!A$3:AM$103,6,FALSE)/VLOOKUP(A80,Ergebnis_je_Aktie_verwässert!A$3:AK$103,6,FALSE)&gt;=2,2,VLOOKUP(A80,Dividende_je_Aktie!A$3:AM$103,6,FALSE)/VLOOKUP(A80,Ergebnis_je_Aktie_verwässert!A$3:AK$103,6,FALSE))),""),"")</f>
        <v>#N/A</v>
      </c>
      <c r="U80" s="71" t="e">
        <f>IF(VLOOKUP(A80,Dividende_je_Aktie!A$3:AM$103,7,FALSE)&lt;&gt;"",IF(VLOOKUP(A80,Ergebnis_je_Aktie_verwässert!A$3:AK$103,7,FALSE)&lt;&gt;"",IF(VLOOKUP(A80,Ergebnis_je_Aktie_verwässert!A$3:AK$103,7,FALSE)&lt;=0,2,IF(VLOOKUP(A80,Dividende_je_Aktie!A$3:AM$103,7,FALSE)/VLOOKUP(A80,Ergebnis_je_Aktie_verwässert!A$3:AK$103,7,FALSE)&gt;=2,2,VLOOKUP(A80,Dividende_je_Aktie!A$3:AM$103,7,FALSE)/VLOOKUP(A80,Ergebnis_je_Aktie_verwässert!A$3:AK$103,7,FALSE))),""),"")</f>
        <v>#N/A</v>
      </c>
      <c r="V80" s="71" t="e">
        <f>IF(VLOOKUP(A80,Dividende_je_Aktie!A$3:AM$103,8,FALSE)&lt;&gt;"",IF(VLOOKUP(A80,Ergebnis_je_Aktie_verwässert!A$3:AK$103,8,FALSE)&lt;&gt;"",IF(VLOOKUP(A80,Ergebnis_je_Aktie_verwässert!A$3:AK$103,8,FALSE)&lt;=0,2,IF(VLOOKUP(A80,Dividende_je_Aktie!A$3:AM$103,8,FALSE)/VLOOKUP(A80,Ergebnis_je_Aktie_verwässert!A$3:AK$103,8,FALSE)&gt;=2,2,VLOOKUP(A80,Dividende_je_Aktie!A$3:AM$103,8,FALSE)/VLOOKUP(A80,Ergebnis_je_Aktie_verwässert!A$3:AK$103,8,FALSE))),""),"")</f>
        <v>#N/A</v>
      </c>
      <c r="W80" s="71" t="e">
        <f>IF(VLOOKUP(A80,Dividende_je_Aktie!A$3:AM$103,9,FALSE)&lt;&gt;"",IF(VLOOKUP(A80,Ergebnis_je_Aktie_verwässert!A$3:AK$103,9,FALSE)&lt;&gt;"",IF(VLOOKUP(A80,Ergebnis_je_Aktie_verwässert!A$3:AK$103,9,FALSE)&lt;=0,2,IF(VLOOKUP(A80,Dividende_je_Aktie!A$3:AM$103,9,FALSE)/VLOOKUP(A80,Ergebnis_je_Aktie_verwässert!A$3:AK$103,9,FALSE)&gt;=2,2,VLOOKUP(A80,Dividende_je_Aktie!A$3:AM$103,9,FALSE)/VLOOKUP(A80,Ergebnis_je_Aktie_verwässert!A$3:AK$103,9,FALSE))),""),"")</f>
        <v>#N/A</v>
      </c>
      <c r="X80" s="71" t="e">
        <f>IF(VLOOKUP(A80,Dividende_je_Aktie!A$3:AM$103,10,FALSE)&lt;&gt;"",IF(VLOOKUP(A80,Ergebnis_je_Aktie_verwässert!A$3:AK$103,10,FALSE)&lt;&gt;"",IF(VLOOKUP(A80,Ergebnis_je_Aktie_verwässert!A$3:AK$103,10,FALSE)&lt;=0,2,IF(VLOOKUP(A80,Dividende_je_Aktie!A$3:AM$103,10,FALSE)/VLOOKUP(A80,Ergebnis_je_Aktie_verwässert!A$3:AK$103,10,FALSE)&gt;=2,2,VLOOKUP(A80,Dividende_je_Aktie!A$3:AM$103,10,FALSE)/VLOOKUP(A80,Ergebnis_je_Aktie_verwässert!A$3:AK$103,10,FALSE))),""),"")</f>
        <v>#N/A</v>
      </c>
      <c r="Y80" s="71" t="e">
        <f>IF(VLOOKUP(A80,Dividende_je_Aktie!A$3:AM$103,11,FALSE)&lt;&gt;"",IF(VLOOKUP(A80,Ergebnis_je_Aktie_verwässert!A$3:AK$103,11,FALSE)&lt;&gt;"",IF(VLOOKUP(A80,Ergebnis_je_Aktie_verwässert!A$3:AK$103,11,FALSE)&lt;=0,2,IF(VLOOKUP(A80,Dividende_je_Aktie!A$3:AM$103,11,FALSE)/VLOOKUP(A80,Ergebnis_je_Aktie_verwässert!A$3:AK$103,11,FALSE)&gt;=2,2,VLOOKUP(A80,Dividende_je_Aktie!A$3:AM$103,11,FALSE)/VLOOKUP(A80,Ergebnis_je_Aktie_verwässert!A$3:AK$103,11,FALSE))),""),"")</f>
        <v>#N/A</v>
      </c>
      <c r="Z80" s="71" t="e">
        <f>IF(VLOOKUP(A80,Dividende_je_Aktie!A$3:AM$103,12,FALSE)&lt;&gt;"",IF(VLOOKUP(A80,Ergebnis_je_Aktie_verwässert!A$3:AK$103,12,FALSE)&lt;&gt;"",IF(VLOOKUP(A80,Ergebnis_je_Aktie_verwässert!A$3:AK$103,12,FALSE)&lt;=0,2,IF(VLOOKUP(A80,Dividende_je_Aktie!A$3:AM$103,12,FALSE)/VLOOKUP(A80,Ergebnis_je_Aktie_verwässert!A$3:AK$103,12,FALSE)&gt;=2,2,VLOOKUP(A80,Dividende_je_Aktie!A$3:AM$103,12,FALSE)/VLOOKUP(A80,Ergebnis_je_Aktie_verwässert!A$3:AK$103,12,FALSE))),""),"")</f>
        <v>#N/A</v>
      </c>
      <c r="AA80" s="71" t="e">
        <f>IF(VLOOKUP(A80,Dividende_je_Aktie!A$3:AM$103,13,FALSE)&lt;&gt;"",IF(VLOOKUP(A80,Ergebnis_je_Aktie_verwässert!A$3:AK$103,13,FALSE)&lt;&gt;"",IF(VLOOKUP(A80,Ergebnis_je_Aktie_verwässert!A$3:AK$103,13,FALSE)&lt;=0,2,IF(VLOOKUP(A80,Dividende_je_Aktie!A$3:AM$103,13,FALSE)/VLOOKUP(A80,Ergebnis_je_Aktie_verwässert!A$3:AK$103,13,FALSE)&gt;=2,2,VLOOKUP(A80,Dividende_je_Aktie!A$3:AM$103,13,FALSE)/VLOOKUP(A80,Ergebnis_je_Aktie_verwässert!A$3:AK$103,13,FALSE))),""),"")</f>
        <v>#N/A</v>
      </c>
      <c r="AB80" s="71" t="e">
        <f>IF(VLOOKUP(A80,Dividende_je_Aktie!A$3:AM$103,14,FALSE)&lt;&gt;"",IF(VLOOKUP(A80,Ergebnis_je_Aktie_verwässert!A$3:AK$103,14,FALSE)&lt;&gt;"",IF(VLOOKUP(A80,Ergebnis_je_Aktie_verwässert!A$3:AK$103,14,FALSE)&lt;=0,2,IF(VLOOKUP(A80,Dividende_je_Aktie!A$3:AM$103,14,FALSE)/VLOOKUP(A80,Ergebnis_je_Aktie_verwässert!A$3:AK$103,14,FALSE)&gt;=2,2,VLOOKUP(A80,Dividende_je_Aktie!A$3:AM$103,14,FALSE)/VLOOKUP(A80,Ergebnis_je_Aktie_verwässert!A$3:AK$103,14,FALSE))),""),"")</f>
        <v>#N/A</v>
      </c>
      <c r="AC80" s="71" t="e">
        <f>IF(VLOOKUP(A80,Dividende_je_Aktie!A$3:AM$103,15,FALSE)&lt;&gt;"",IF(VLOOKUP(A80,Ergebnis_je_Aktie_verwässert!A$3:AK$103,15,FALSE)&lt;&gt;"",IF(VLOOKUP(A80,Ergebnis_je_Aktie_verwässert!A$3:AK$103,15,FALSE)&lt;=0,2,IF(VLOOKUP(A80,Dividende_je_Aktie!A$3:AM$103,15,FALSE)/VLOOKUP(A80,Ergebnis_je_Aktie_verwässert!A$3:AK$103,15,FALSE)&gt;=2,2,VLOOKUP(A80,Dividende_je_Aktie!A$3:AM$103,15,FALSE)/VLOOKUP(A80,Ergebnis_je_Aktie_verwässert!A$3:AK$103,15,FALSE))),""),"")</f>
        <v>#N/A</v>
      </c>
      <c r="AD80" s="71" t="e">
        <f>IF(VLOOKUP(A80,Dividende_je_Aktie!A$3:AM$103,16,FALSE)&lt;&gt;"",IF(VLOOKUP(A80,Ergebnis_je_Aktie_verwässert!A$3:AK$103,16,FALSE)&lt;&gt;"",IF(VLOOKUP(A80,Ergebnis_je_Aktie_verwässert!A$3:AK$103,16,FALSE)&lt;=0,2,IF(VLOOKUP(A80,Dividende_je_Aktie!A$3:AM$103,16,FALSE)/VLOOKUP(A80,Ergebnis_je_Aktie_verwässert!A$3:AK$103,16,FALSE)&gt;=2,2,VLOOKUP(A80,Dividende_je_Aktie!A$3:AM$103,16,FALSE)/VLOOKUP(A80,Ergebnis_je_Aktie_verwässert!A$3:AK$103,16,FALSE))),""),"")</f>
        <v>#N/A</v>
      </c>
      <c r="AE80" s="71" t="e">
        <f>IF(VLOOKUP(A80,Dividende_je_Aktie!A$3:AM$103,17,FALSE)&lt;&gt;"",IF(VLOOKUP(A80,Ergebnis_je_Aktie_verwässert!A$3:AK$103,17,FALSE)&lt;&gt;"",IF(VLOOKUP(A80,Ergebnis_je_Aktie_verwässert!A$3:AK$103,17,FALSE)&lt;=0,2,IF(VLOOKUP(A80,Dividende_je_Aktie!A$3:AM$103,17,FALSE)/VLOOKUP(A80,Ergebnis_je_Aktie_verwässert!A$3:AK$103,17,FALSE)&gt;=2,2,VLOOKUP(A80,Dividende_je_Aktie!A$3:AM$103,17,FALSE)/VLOOKUP(A80,Ergebnis_je_Aktie_verwässert!A$3:AK$103,17,FALSE))),""),"")</f>
        <v>#N/A</v>
      </c>
      <c r="AF80" s="71" t="e">
        <f>IF(VLOOKUP(A80,Dividende_je_Aktie!A$3:AM$103,18,FALSE)&lt;&gt;"",IF(VLOOKUP(A80,Ergebnis_je_Aktie_verwässert!A$3:AK$103,18,FALSE)&lt;&gt;"",IF(VLOOKUP(A80,Ergebnis_je_Aktie_verwässert!A$3:AK$103,18,FALSE)&lt;=0,2,IF(VLOOKUP(A80,Dividende_je_Aktie!A$3:AM$103,18,FALSE)/VLOOKUP(A80,Ergebnis_je_Aktie_verwässert!A$3:AK$103,18,FALSE)&gt;=2,2,VLOOKUP(A80,Dividende_je_Aktie!A$3:AM$103,18,FALSE)/VLOOKUP(A80,Ergebnis_je_Aktie_verwässert!A$3:AK$103,18,FALSE))),""),"")</f>
        <v>#N/A</v>
      </c>
      <c r="AG80" s="105" t="e">
        <f t="shared" si="15"/>
        <v>#N/A</v>
      </c>
      <c r="AH80" s="4">
        <f t="shared" ca="1" si="16"/>
        <v>41899</v>
      </c>
      <c r="AI80" s="4">
        <f t="shared" ca="1" si="17"/>
        <v>-41539</v>
      </c>
      <c r="AJ80" s="4" t="e">
        <f t="shared" ca="1" si="18"/>
        <v>#NUM!</v>
      </c>
      <c r="AK80" s="10" t="e">
        <f t="shared" ca="1" si="19"/>
        <v>#N/A</v>
      </c>
      <c r="AL80" s="5" t="e">
        <f t="shared" si="20"/>
        <v>#N/A</v>
      </c>
    </row>
    <row r="81" spans="3:38">
      <c r="C81" s="60"/>
      <c r="D81" s="60"/>
      <c r="E81" s="60"/>
      <c r="F81" s="71" t="e">
        <f>IF(VLOOKUP(A81,Dividende_je_Aktie!A$3:AM$103,6,FALSE)&lt;&gt;"",IF(VLOOKUP(A81,Ergebnis_je_Aktie_verwässert!A$3:AK$103,6,FALSE)&lt;&gt;"",IF(VLOOKUP(A81,Ergebnis_je_Aktie_verwässert!A$3:AK$103,6,FALSE)&lt;=0,2,IF(VLOOKUP(A81,Dividende_je_Aktie!A$3:AM$103,6,FALSE)/VLOOKUP(A81,Ergebnis_je_Aktie_verwässert!A$3:AK$103,6,FALSE)&gt;=2,2,VLOOKUP(A81,Dividende_je_Aktie!A$3:AM$103,6,FALSE)/VLOOKUP(A81,Ergebnis_je_Aktie_verwässert!A$3:AK$103,6,FALSE))),""),"")</f>
        <v>#N/A</v>
      </c>
      <c r="G81" s="71" t="e">
        <f>IF(VLOOKUP(A81,Dividende_je_Aktie!A$3:AM$103,7,FALSE)&lt;&gt;"",IF(VLOOKUP(A81,Ergebnis_je_Aktie_verwässert!A$3:AK$103,7,FALSE)&lt;&gt;"",IF(VLOOKUP(A81,Ergebnis_je_Aktie_verwässert!A$3:AK$103,7,FALSE)&lt;=0,2,IF(VLOOKUP(A81,Dividende_je_Aktie!A$3:AM$103,7,FALSE)/VLOOKUP(A81,Ergebnis_je_Aktie_verwässert!A$3:AK$103,7,FALSE)&gt;=2,2,VLOOKUP(A81,Dividende_je_Aktie!A$3:AM$103,7,FALSE)/VLOOKUP(A81,Ergebnis_je_Aktie_verwässert!A$3:AK$103,7,FALSE))),""),"")</f>
        <v>#N/A</v>
      </c>
      <c r="H81" s="71" t="e">
        <f>IF(VLOOKUP(A81,Fiktive_Dividende!A$3:AM$103,14,FALSE)&lt;&gt;"",IF(VLOOKUP(A81,Ergebnis_je_Aktie_verwässert!A$3:AK$103,8,FALSE)&lt;&gt;"",IF(VLOOKUP(A81,Ergebnis_je_Aktie_verwässert!A$3:AK$103,8,FALSE)&lt;=0,2,IF(VLOOKUP(A81,Fiktive_Dividende!A$3:AM$103,14,FALSE)/VLOOKUP(A81,Ergebnis_je_Aktie_verwässert!A$3:AK$103,8,FALSE)&gt;=2,2,VLOOKUP(A81,Fiktive_Dividende!A$3:AM$103,14,FALSE)/VLOOKUP(A81,Ergebnis_je_Aktie_verwässert!A$3:AK$103,8,FALSE))),""),"")</f>
        <v>#N/A</v>
      </c>
      <c r="I81" s="71" t="e">
        <f>IF(VLOOKUP(A81,Fiktive_Dividende!A$3:AM$103,15,FALSE)&lt;&gt;"",IF(VLOOKUP(A81,Ergebnis_je_Aktie_verwässert!A$3:AK$103,9,FALSE)&lt;&gt;"",IF(VLOOKUP(A81,Ergebnis_je_Aktie_verwässert!A$3:AK$103,9,FALSE)&lt;=0,2,IF(VLOOKUP(A81,Fiktive_Dividende!A$3:AM$103,15,FALSE)/VLOOKUP(A81,Ergebnis_je_Aktie_verwässert!A$3:AK$103,9,FALSE)&gt;=2,2,VLOOKUP(A81,Fiktive_Dividende!A$3:AM$103,15,FALSE)/VLOOKUP(A81,Ergebnis_je_Aktie_verwässert!A$3:AK$103,9,FALSE))),""),"")</f>
        <v>#N/A</v>
      </c>
      <c r="J81" s="71" t="e">
        <f>IF(VLOOKUP(A81,Fiktive_Dividende!A$3:AM$103,16,FALSE)&lt;&gt;"",IF(VLOOKUP(A81,Ergebnis_je_Aktie_verwässert!A$3:AK$103,10,FALSE)&lt;&gt;"",IF(VLOOKUP(A81,Ergebnis_je_Aktie_verwässert!A$3:AK$103,10,FALSE)&lt;=0,2,IF(VLOOKUP(A81,Fiktive_Dividende!A$3:AM$103,16,FALSE)/VLOOKUP(A81,Ergebnis_je_Aktie_verwässert!A$3:AK$103,10,FALSE)&gt;=2,2,VLOOKUP(A81,Fiktive_Dividende!A$3:AM$103,16,FALSE)/VLOOKUP(A81,Ergebnis_je_Aktie_verwässert!A$3:AK$103,10,FALSE))),""),"")</f>
        <v>#N/A</v>
      </c>
      <c r="K81" s="71" t="e">
        <f>IF(VLOOKUP(A81,Fiktive_Dividende!A$3:AM$103,17,FALSE)&lt;&gt;"",IF(VLOOKUP(A81,Ergebnis_je_Aktie_verwässert!A$3:AK$103,11,FALSE)&lt;&gt;"",IF(VLOOKUP(A81,Ergebnis_je_Aktie_verwässert!A$3:AK$103,11,FALSE)&lt;=0,2,IF(VLOOKUP(A81,Fiktive_Dividende!A$3:AM$103,17,FALSE)/VLOOKUP(A81,Ergebnis_je_Aktie_verwässert!A$3:AK$103,11,FALSE)&gt;=2,2,VLOOKUP(A81,Fiktive_Dividende!A$3:AM$103,17,FALSE)/VLOOKUP(A81,Ergebnis_je_Aktie_verwässert!A$3:AK$103,11,FALSE))),""),"")</f>
        <v>#N/A</v>
      </c>
      <c r="L81" s="71" t="e">
        <f>IF(VLOOKUP(A81,Fiktive_Dividende!A$3:AM$103,18,FALSE)&lt;&gt;"",IF(VLOOKUP(A81,Ergebnis_je_Aktie_verwässert!A$3:AK$103,12,FALSE)&lt;&gt;"",IF(VLOOKUP(A81,Ergebnis_je_Aktie_verwässert!A$3:AK$103,12,FALSE)&lt;=0,2,IF(VLOOKUP(A81,Fiktive_Dividende!A$3:AM$103,18,FALSE)/VLOOKUP(A81,Ergebnis_je_Aktie_verwässert!A$3:AK$103,12,FALSE)&gt;=2,2,VLOOKUP(A81,Fiktive_Dividende!A$3:AM$103,18,FALSE)/VLOOKUP(A81,Ergebnis_je_Aktie_verwässert!A$3:AK$103,12,FALSE))),""),"")</f>
        <v>#N/A</v>
      </c>
      <c r="M81" s="71" t="e">
        <f>IF(VLOOKUP(A81,Fiktive_Dividende!A$3:AM$103,19,FALSE)&lt;&gt;"",IF(VLOOKUP(A81,Ergebnis_je_Aktie_verwässert!A$3:AK$103,13,FALSE)&lt;&gt;"",IF(VLOOKUP(A81,Ergebnis_je_Aktie_verwässert!A$3:AK$103,13,FALSE)&lt;=0,2,IF(VLOOKUP(A81,Fiktive_Dividende!A$3:AM$103,19,FALSE)/VLOOKUP(A81,Ergebnis_je_Aktie_verwässert!A$3:AK$103,13,FALSE)&gt;=2,2,VLOOKUP(A81,Fiktive_Dividende!A$3:AM$103,19,FALSE)/VLOOKUP(A81,Ergebnis_je_Aktie_verwässert!A$3:AK$103,13,FALSE))),""),"")</f>
        <v>#N/A</v>
      </c>
      <c r="N81" s="71" t="e">
        <f>IF(VLOOKUP(A81,Fiktive_Dividende!A$3:AM$103,20,FALSE)&lt;&gt;"",IF(VLOOKUP(A81,Ergebnis_je_Aktie_verwässert!A$3:AK$103,14,FALSE)&lt;&gt;"",IF(VLOOKUP(A81,Ergebnis_je_Aktie_verwässert!A$3:AK$103,14,FALSE)&lt;=0,2,IF(VLOOKUP(A81,Fiktive_Dividende!A$3:AM$103,20,FALSE)/VLOOKUP(A81,Ergebnis_je_Aktie_verwässert!A$3:AK$103,14,FALSE)&gt;=2,2,VLOOKUP(A81,Fiktive_Dividende!A$3:AM$103,20,FALSE)/VLOOKUP(A81,Ergebnis_je_Aktie_verwässert!A$3:AK$103,14,FALSE))),""),"")</f>
        <v>#N/A</v>
      </c>
      <c r="O81" s="71" t="e">
        <f>IF(VLOOKUP(A81,Fiktive_Dividende!A$3:AM$103,21,FALSE)&lt;&gt;"",IF(VLOOKUP(A81,Ergebnis_je_Aktie_verwässert!A$3:AK$103,15,FALSE)&lt;&gt;"",IF(VLOOKUP(A81,Ergebnis_je_Aktie_verwässert!A$3:AK$103,15,FALSE)&lt;=0,2,IF(VLOOKUP(A81,Fiktive_Dividende!A$3:AM$103,21,FALSE)/VLOOKUP(A81,Ergebnis_je_Aktie_verwässert!A$3:AK$103,15,FALSE)&gt;=2,2,VLOOKUP(A81,Fiktive_Dividende!A$3:AM$103,21,FALSE)/VLOOKUP(A81,Ergebnis_je_Aktie_verwässert!A$3:AK$103,15,FALSE))),""),"")</f>
        <v>#N/A</v>
      </c>
      <c r="P81" s="71" t="e">
        <f>IF(VLOOKUP(A81,Fiktive_Dividende!A$3:AM$103,22,FALSE)&lt;&gt;"",IF(VLOOKUP(A81,Ergebnis_je_Aktie_verwässert!A$3:AK$103,16,FALSE)&lt;&gt;"",IF(VLOOKUP(A81,Ergebnis_je_Aktie_verwässert!A$3:AK$103,16,FALSE)&lt;=0,2,IF(VLOOKUP(A81,Fiktive_Dividende!A$3:AM$103,22,FALSE)/VLOOKUP(A81,Ergebnis_je_Aktie_verwässert!A$3:AK$103,16,FALSE)&gt;=2,2,VLOOKUP(A81,Fiktive_Dividende!A$3:AM$103,22,FALSE)/VLOOKUP(A81,Ergebnis_je_Aktie_verwässert!A$3:AK$103,16,FALSE))),""),"")</f>
        <v>#N/A</v>
      </c>
      <c r="Q81" s="71" t="e">
        <f>IF(VLOOKUP(A81,Fiktive_Dividende!A$3:AM$103,23,FALSE)&lt;&gt;"",IF(VLOOKUP(A81,Ergebnis_je_Aktie_verwässert!A$3:AK$103,17,FALSE)&lt;&gt;"",IF(VLOOKUP(A81,Ergebnis_je_Aktie_verwässert!A$3:AK$103,17,FALSE)&lt;=0,2,IF(VLOOKUP(A81,Fiktive_Dividende!A$3:AM$103,23,FALSE)/VLOOKUP(A81,Ergebnis_je_Aktie_verwässert!A$3:AK$103,17,FALSE)&gt;=2,2,VLOOKUP(A81,Fiktive_Dividende!A$3:AM$103,23,FALSE)/VLOOKUP(A81,Ergebnis_je_Aktie_verwässert!A$3:AK$103,17,FALSE))),""),"")</f>
        <v>#N/A</v>
      </c>
      <c r="R81" s="71" t="e">
        <f>IF(VLOOKUP(A81,Fiktive_Dividende!A$3:AM$103,24,FALSE)&lt;&gt;"",IF(VLOOKUP(A81,Ergebnis_je_Aktie_verwässert!A$3:AK$103,18,FALSE)&lt;&gt;"",IF(VLOOKUP(A81,Ergebnis_je_Aktie_verwässert!A$3:AK$103,18,FALSE)&lt;=0,2,IF(VLOOKUP(A81,Fiktive_Dividende!A$3:AM$103,24,FALSE)/VLOOKUP(A81,Ergebnis_je_Aktie_verwässert!A$3:AK$103,18,FALSE)&gt;=2,2,VLOOKUP(A81,Fiktive_Dividende!A$3:AM$103,24,FALSE)/VLOOKUP(A81,Ergebnis_je_Aktie_verwässert!A$3:AK$103,18,FALSE))),""),"")</f>
        <v>#N/A</v>
      </c>
      <c r="S81" s="105" t="e">
        <f t="shared" si="14"/>
        <v>#N/A</v>
      </c>
      <c r="T81" s="71" t="e">
        <f>IF(VLOOKUP(A81,Dividende_je_Aktie!A$3:AM$103,6,FALSE)&lt;&gt;"",IF(VLOOKUP(A81,Ergebnis_je_Aktie_verwässert!A$3:AK$103,6,FALSE)&lt;&gt;"",IF(VLOOKUP(A81,Ergebnis_je_Aktie_verwässert!A$3:AK$103,6,FALSE)&lt;=0,2,IF(VLOOKUP(A81,Dividende_je_Aktie!A$3:AM$103,6,FALSE)/VLOOKUP(A81,Ergebnis_je_Aktie_verwässert!A$3:AK$103,6,FALSE)&gt;=2,2,VLOOKUP(A81,Dividende_je_Aktie!A$3:AM$103,6,FALSE)/VLOOKUP(A81,Ergebnis_je_Aktie_verwässert!A$3:AK$103,6,FALSE))),""),"")</f>
        <v>#N/A</v>
      </c>
      <c r="U81" s="71" t="e">
        <f>IF(VLOOKUP(A81,Dividende_je_Aktie!A$3:AM$103,7,FALSE)&lt;&gt;"",IF(VLOOKUP(A81,Ergebnis_je_Aktie_verwässert!A$3:AK$103,7,FALSE)&lt;&gt;"",IF(VLOOKUP(A81,Ergebnis_je_Aktie_verwässert!A$3:AK$103,7,FALSE)&lt;=0,2,IF(VLOOKUP(A81,Dividende_je_Aktie!A$3:AM$103,7,FALSE)/VLOOKUP(A81,Ergebnis_je_Aktie_verwässert!A$3:AK$103,7,FALSE)&gt;=2,2,VLOOKUP(A81,Dividende_je_Aktie!A$3:AM$103,7,FALSE)/VLOOKUP(A81,Ergebnis_je_Aktie_verwässert!A$3:AK$103,7,FALSE))),""),"")</f>
        <v>#N/A</v>
      </c>
      <c r="V81" s="71" t="e">
        <f>IF(VLOOKUP(A81,Dividende_je_Aktie!A$3:AM$103,8,FALSE)&lt;&gt;"",IF(VLOOKUP(A81,Ergebnis_je_Aktie_verwässert!A$3:AK$103,8,FALSE)&lt;&gt;"",IF(VLOOKUP(A81,Ergebnis_je_Aktie_verwässert!A$3:AK$103,8,FALSE)&lt;=0,2,IF(VLOOKUP(A81,Dividende_je_Aktie!A$3:AM$103,8,FALSE)/VLOOKUP(A81,Ergebnis_je_Aktie_verwässert!A$3:AK$103,8,FALSE)&gt;=2,2,VLOOKUP(A81,Dividende_je_Aktie!A$3:AM$103,8,FALSE)/VLOOKUP(A81,Ergebnis_je_Aktie_verwässert!A$3:AK$103,8,FALSE))),""),"")</f>
        <v>#N/A</v>
      </c>
      <c r="W81" s="71" t="e">
        <f>IF(VLOOKUP(A81,Dividende_je_Aktie!A$3:AM$103,9,FALSE)&lt;&gt;"",IF(VLOOKUP(A81,Ergebnis_je_Aktie_verwässert!A$3:AK$103,9,FALSE)&lt;&gt;"",IF(VLOOKUP(A81,Ergebnis_je_Aktie_verwässert!A$3:AK$103,9,FALSE)&lt;=0,2,IF(VLOOKUP(A81,Dividende_je_Aktie!A$3:AM$103,9,FALSE)/VLOOKUP(A81,Ergebnis_je_Aktie_verwässert!A$3:AK$103,9,FALSE)&gt;=2,2,VLOOKUP(A81,Dividende_je_Aktie!A$3:AM$103,9,FALSE)/VLOOKUP(A81,Ergebnis_je_Aktie_verwässert!A$3:AK$103,9,FALSE))),""),"")</f>
        <v>#N/A</v>
      </c>
      <c r="X81" s="71" t="e">
        <f>IF(VLOOKUP(A81,Dividende_je_Aktie!A$3:AM$103,10,FALSE)&lt;&gt;"",IF(VLOOKUP(A81,Ergebnis_je_Aktie_verwässert!A$3:AK$103,10,FALSE)&lt;&gt;"",IF(VLOOKUP(A81,Ergebnis_je_Aktie_verwässert!A$3:AK$103,10,FALSE)&lt;=0,2,IF(VLOOKUP(A81,Dividende_je_Aktie!A$3:AM$103,10,FALSE)/VLOOKUP(A81,Ergebnis_je_Aktie_verwässert!A$3:AK$103,10,FALSE)&gt;=2,2,VLOOKUP(A81,Dividende_je_Aktie!A$3:AM$103,10,FALSE)/VLOOKUP(A81,Ergebnis_je_Aktie_verwässert!A$3:AK$103,10,FALSE))),""),"")</f>
        <v>#N/A</v>
      </c>
      <c r="Y81" s="71" t="e">
        <f>IF(VLOOKUP(A81,Dividende_je_Aktie!A$3:AM$103,11,FALSE)&lt;&gt;"",IF(VLOOKUP(A81,Ergebnis_je_Aktie_verwässert!A$3:AK$103,11,FALSE)&lt;&gt;"",IF(VLOOKUP(A81,Ergebnis_je_Aktie_verwässert!A$3:AK$103,11,FALSE)&lt;=0,2,IF(VLOOKUP(A81,Dividende_je_Aktie!A$3:AM$103,11,FALSE)/VLOOKUP(A81,Ergebnis_je_Aktie_verwässert!A$3:AK$103,11,FALSE)&gt;=2,2,VLOOKUP(A81,Dividende_je_Aktie!A$3:AM$103,11,FALSE)/VLOOKUP(A81,Ergebnis_je_Aktie_verwässert!A$3:AK$103,11,FALSE))),""),"")</f>
        <v>#N/A</v>
      </c>
      <c r="Z81" s="71" t="e">
        <f>IF(VLOOKUP(A81,Dividende_je_Aktie!A$3:AM$103,12,FALSE)&lt;&gt;"",IF(VLOOKUP(A81,Ergebnis_je_Aktie_verwässert!A$3:AK$103,12,FALSE)&lt;&gt;"",IF(VLOOKUP(A81,Ergebnis_je_Aktie_verwässert!A$3:AK$103,12,FALSE)&lt;=0,2,IF(VLOOKUP(A81,Dividende_je_Aktie!A$3:AM$103,12,FALSE)/VLOOKUP(A81,Ergebnis_je_Aktie_verwässert!A$3:AK$103,12,FALSE)&gt;=2,2,VLOOKUP(A81,Dividende_je_Aktie!A$3:AM$103,12,FALSE)/VLOOKUP(A81,Ergebnis_je_Aktie_verwässert!A$3:AK$103,12,FALSE))),""),"")</f>
        <v>#N/A</v>
      </c>
      <c r="AA81" s="71" t="e">
        <f>IF(VLOOKUP(A81,Dividende_je_Aktie!A$3:AM$103,13,FALSE)&lt;&gt;"",IF(VLOOKUP(A81,Ergebnis_je_Aktie_verwässert!A$3:AK$103,13,FALSE)&lt;&gt;"",IF(VLOOKUP(A81,Ergebnis_je_Aktie_verwässert!A$3:AK$103,13,FALSE)&lt;=0,2,IF(VLOOKUP(A81,Dividende_je_Aktie!A$3:AM$103,13,FALSE)/VLOOKUP(A81,Ergebnis_je_Aktie_verwässert!A$3:AK$103,13,FALSE)&gt;=2,2,VLOOKUP(A81,Dividende_je_Aktie!A$3:AM$103,13,FALSE)/VLOOKUP(A81,Ergebnis_je_Aktie_verwässert!A$3:AK$103,13,FALSE))),""),"")</f>
        <v>#N/A</v>
      </c>
      <c r="AB81" s="71" t="e">
        <f>IF(VLOOKUP(A81,Dividende_je_Aktie!A$3:AM$103,14,FALSE)&lt;&gt;"",IF(VLOOKUP(A81,Ergebnis_je_Aktie_verwässert!A$3:AK$103,14,FALSE)&lt;&gt;"",IF(VLOOKUP(A81,Ergebnis_je_Aktie_verwässert!A$3:AK$103,14,FALSE)&lt;=0,2,IF(VLOOKUP(A81,Dividende_je_Aktie!A$3:AM$103,14,FALSE)/VLOOKUP(A81,Ergebnis_je_Aktie_verwässert!A$3:AK$103,14,FALSE)&gt;=2,2,VLOOKUP(A81,Dividende_je_Aktie!A$3:AM$103,14,FALSE)/VLOOKUP(A81,Ergebnis_je_Aktie_verwässert!A$3:AK$103,14,FALSE))),""),"")</f>
        <v>#N/A</v>
      </c>
      <c r="AC81" s="71" t="e">
        <f>IF(VLOOKUP(A81,Dividende_je_Aktie!A$3:AM$103,15,FALSE)&lt;&gt;"",IF(VLOOKUP(A81,Ergebnis_je_Aktie_verwässert!A$3:AK$103,15,FALSE)&lt;&gt;"",IF(VLOOKUP(A81,Ergebnis_je_Aktie_verwässert!A$3:AK$103,15,FALSE)&lt;=0,2,IF(VLOOKUP(A81,Dividende_je_Aktie!A$3:AM$103,15,FALSE)/VLOOKUP(A81,Ergebnis_je_Aktie_verwässert!A$3:AK$103,15,FALSE)&gt;=2,2,VLOOKUP(A81,Dividende_je_Aktie!A$3:AM$103,15,FALSE)/VLOOKUP(A81,Ergebnis_je_Aktie_verwässert!A$3:AK$103,15,FALSE))),""),"")</f>
        <v>#N/A</v>
      </c>
      <c r="AD81" s="71" t="e">
        <f>IF(VLOOKUP(A81,Dividende_je_Aktie!A$3:AM$103,16,FALSE)&lt;&gt;"",IF(VLOOKUP(A81,Ergebnis_je_Aktie_verwässert!A$3:AK$103,16,FALSE)&lt;&gt;"",IF(VLOOKUP(A81,Ergebnis_je_Aktie_verwässert!A$3:AK$103,16,FALSE)&lt;=0,2,IF(VLOOKUP(A81,Dividende_je_Aktie!A$3:AM$103,16,FALSE)/VLOOKUP(A81,Ergebnis_je_Aktie_verwässert!A$3:AK$103,16,FALSE)&gt;=2,2,VLOOKUP(A81,Dividende_je_Aktie!A$3:AM$103,16,FALSE)/VLOOKUP(A81,Ergebnis_je_Aktie_verwässert!A$3:AK$103,16,FALSE))),""),"")</f>
        <v>#N/A</v>
      </c>
      <c r="AE81" s="71" t="e">
        <f>IF(VLOOKUP(A81,Dividende_je_Aktie!A$3:AM$103,17,FALSE)&lt;&gt;"",IF(VLOOKUP(A81,Ergebnis_je_Aktie_verwässert!A$3:AK$103,17,FALSE)&lt;&gt;"",IF(VLOOKUP(A81,Ergebnis_je_Aktie_verwässert!A$3:AK$103,17,FALSE)&lt;=0,2,IF(VLOOKUP(A81,Dividende_je_Aktie!A$3:AM$103,17,FALSE)/VLOOKUP(A81,Ergebnis_je_Aktie_verwässert!A$3:AK$103,17,FALSE)&gt;=2,2,VLOOKUP(A81,Dividende_je_Aktie!A$3:AM$103,17,FALSE)/VLOOKUP(A81,Ergebnis_je_Aktie_verwässert!A$3:AK$103,17,FALSE))),""),"")</f>
        <v>#N/A</v>
      </c>
      <c r="AF81" s="71" t="e">
        <f>IF(VLOOKUP(A81,Dividende_je_Aktie!A$3:AM$103,18,FALSE)&lt;&gt;"",IF(VLOOKUP(A81,Ergebnis_je_Aktie_verwässert!A$3:AK$103,18,FALSE)&lt;&gt;"",IF(VLOOKUP(A81,Ergebnis_je_Aktie_verwässert!A$3:AK$103,18,FALSE)&lt;=0,2,IF(VLOOKUP(A81,Dividende_je_Aktie!A$3:AM$103,18,FALSE)/VLOOKUP(A81,Ergebnis_je_Aktie_verwässert!A$3:AK$103,18,FALSE)&gt;=2,2,VLOOKUP(A81,Dividende_je_Aktie!A$3:AM$103,18,FALSE)/VLOOKUP(A81,Ergebnis_je_Aktie_verwässert!A$3:AK$103,18,FALSE))),""),"")</f>
        <v>#N/A</v>
      </c>
      <c r="AG81" s="105" t="e">
        <f t="shared" si="15"/>
        <v>#N/A</v>
      </c>
      <c r="AH81" s="4">
        <f t="shared" ca="1" si="16"/>
        <v>41899</v>
      </c>
      <c r="AI81" s="4">
        <f t="shared" ca="1" si="17"/>
        <v>-41539</v>
      </c>
      <c r="AJ81" s="4" t="e">
        <f t="shared" ca="1" si="18"/>
        <v>#NUM!</v>
      </c>
      <c r="AK81" s="10" t="e">
        <f t="shared" ca="1" si="19"/>
        <v>#N/A</v>
      </c>
      <c r="AL81" s="5" t="e">
        <f t="shared" si="20"/>
        <v>#N/A</v>
      </c>
    </row>
    <row r="82" spans="3:38">
      <c r="C82" s="60"/>
      <c r="D82" s="60"/>
      <c r="E82" s="60"/>
      <c r="F82" s="71" t="e">
        <f>IF(VLOOKUP(A82,Dividende_je_Aktie!A$3:AM$103,6,FALSE)&lt;&gt;"",IF(VLOOKUP(A82,Ergebnis_je_Aktie_verwässert!A$3:AK$103,6,FALSE)&lt;&gt;"",IF(VLOOKUP(A82,Ergebnis_je_Aktie_verwässert!A$3:AK$103,6,FALSE)&lt;=0,2,IF(VLOOKUP(A82,Dividende_je_Aktie!A$3:AM$103,6,FALSE)/VLOOKUP(A82,Ergebnis_je_Aktie_verwässert!A$3:AK$103,6,FALSE)&gt;=2,2,VLOOKUP(A82,Dividende_je_Aktie!A$3:AM$103,6,FALSE)/VLOOKUP(A82,Ergebnis_je_Aktie_verwässert!A$3:AK$103,6,FALSE))),""),"")</f>
        <v>#N/A</v>
      </c>
      <c r="G82" s="71" t="e">
        <f>IF(VLOOKUP(A82,Dividende_je_Aktie!A$3:AM$103,7,FALSE)&lt;&gt;"",IF(VLOOKUP(A82,Ergebnis_je_Aktie_verwässert!A$3:AK$103,7,FALSE)&lt;&gt;"",IF(VLOOKUP(A82,Ergebnis_je_Aktie_verwässert!A$3:AK$103,7,FALSE)&lt;=0,2,IF(VLOOKUP(A82,Dividende_je_Aktie!A$3:AM$103,7,FALSE)/VLOOKUP(A82,Ergebnis_je_Aktie_verwässert!A$3:AK$103,7,FALSE)&gt;=2,2,VLOOKUP(A82,Dividende_je_Aktie!A$3:AM$103,7,FALSE)/VLOOKUP(A82,Ergebnis_je_Aktie_verwässert!A$3:AK$103,7,FALSE))),""),"")</f>
        <v>#N/A</v>
      </c>
      <c r="H82" s="71" t="e">
        <f>IF(VLOOKUP(A82,Fiktive_Dividende!A$3:AM$103,14,FALSE)&lt;&gt;"",IF(VLOOKUP(A82,Ergebnis_je_Aktie_verwässert!A$3:AK$103,8,FALSE)&lt;&gt;"",IF(VLOOKUP(A82,Ergebnis_je_Aktie_verwässert!A$3:AK$103,8,FALSE)&lt;=0,2,IF(VLOOKUP(A82,Fiktive_Dividende!A$3:AM$103,14,FALSE)/VLOOKUP(A82,Ergebnis_je_Aktie_verwässert!A$3:AK$103,8,FALSE)&gt;=2,2,VLOOKUP(A82,Fiktive_Dividende!A$3:AM$103,14,FALSE)/VLOOKUP(A82,Ergebnis_je_Aktie_verwässert!A$3:AK$103,8,FALSE))),""),"")</f>
        <v>#N/A</v>
      </c>
      <c r="I82" s="71" t="e">
        <f>IF(VLOOKUP(A82,Fiktive_Dividende!A$3:AM$103,15,FALSE)&lt;&gt;"",IF(VLOOKUP(A82,Ergebnis_je_Aktie_verwässert!A$3:AK$103,9,FALSE)&lt;&gt;"",IF(VLOOKUP(A82,Ergebnis_je_Aktie_verwässert!A$3:AK$103,9,FALSE)&lt;=0,2,IF(VLOOKUP(A82,Fiktive_Dividende!A$3:AM$103,15,FALSE)/VLOOKUP(A82,Ergebnis_je_Aktie_verwässert!A$3:AK$103,9,FALSE)&gt;=2,2,VLOOKUP(A82,Fiktive_Dividende!A$3:AM$103,15,FALSE)/VLOOKUP(A82,Ergebnis_je_Aktie_verwässert!A$3:AK$103,9,FALSE))),""),"")</f>
        <v>#N/A</v>
      </c>
      <c r="J82" s="71" t="e">
        <f>IF(VLOOKUP(A82,Fiktive_Dividende!A$3:AM$103,16,FALSE)&lt;&gt;"",IF(VLOOKUP(A82,Ergebnis_je_Aktie_verwässert!A$3:AK$103,10,FALSE)&lt;&gt;"",IF(VLOOKUP(A82,Ergebnis_je_Aktie_verwässert!A$3:AK$103,10,FALSE)&lt;=0,2,IF(VLOOKUP(A82,Fiktive_Dividende!A$3:AM$103,16,FALSE)/VLOOKUP(A82,Ergebnis_je_Aktie_verwässert!A$3:AK$103,10,FALSE)&gt;=2,2,VLOOKUP(A82,Fiktive_Dividende!A$3:AM$103,16,FALSE)/VLOOKUP(A82,Ergebnis_je_Aktie_verwässert!A$3:AK$103,10,FALSE))),""),"")</f>
        <v>#N/A</v>
      </c>
      <c r="K82" s="71" t="e">
        <f>IF(VLOOKUP(A82,Fiktive_Dividende!A$3:AM$103,17,FALSE)&lt;&gt;"",IF(VLOOKUP(A82,Ergebnis_je_Aktie_verwässert!A$3:AK$103,11,FALSE)&lt;&gt;"",IF(VLOOKUP(A82,Ergebnis_je_Aktie_verwässert!A$3:AK$103,11,FALSE)&lt;=0,2,IF(VLOOKUP(A82,Fiktive_Dividende!A$3:AM$103,17,FALSE)/VLOOKUP(A82,Ergebnis_je_Aktie_verwässert!A$3:AK$103,11,FALSE)&gt;=2,2,VLOOKUP(A82,Fiktive_Dividende!A$3:AM$103,17,FALSE)/VLOOKUP(A82,Ergebnis_je_Aktie_verwässert!A$3:AK$103,11,FALSE))),""),"")</f>
        <v>#N/A</v>
      </c>
      <c r="L82" s="71" t="e">
        <f>IF(VLOOKUP(A82,Fiktive_Dividende!A$3:AM$103,18,FALSE)&lt;&gt;"",IF(VLOOKUP(A82,Ergebnis_je_Aktie_verwässert!A$3:AK$103,12,FALSE)&lt;&gt;"",IF(VLOOKUP(A82,Ergebnis_je_Aktie_verwässert!A$3:AK$103,12,FALSE)&lt;=0,2,IF(VLOOKUP(A82,Fiktive_Dividende!A$3:AM$103,18,FALSE)/VLOOKUP(A82,Ergebnis_je_Aktie_verwässert!A$3:AK$103,12,FALSE)&gt;=2,2,VLOOKUP(A82,Fiktive_Dividende!A$3:AM$103,18,FALSE)/VLOOKUP(A82,Ergebnis_je_Aktie_verwässert!A$3:AK$103,12,FALSE))),""),"")</f>
        <v>#N/A</v>
      </c>
      <c r="M82" s="71" t="e">
        <f>IF(VLOOKUP(A82,Fiktive_Dividende!A$3:AM$103,19,FALSE)&lt;&gt;"",IF(VLOOKUP(A82,Ergebnis_je_Aktie_verwässert!A$3:AK$103,13,FALSE)&lt;&gt;"",IF(VLOOKUP(A82,Ergebnis_je_Aktie_verwässert!A$3:AK$103,13,FALSE)&lt;=0,2,IF(VLOOKUP(A82,Fiktive_Dividende!A$3:AM$103,19,FALSE)/VLOOKUP(A82,Ergebnis_je_Aktie_verwässert!A$3:AK$103,13,FALSE)&gt;=2,2,VLOOKUP(A82,Fiktive_Dividende!A$3:AM$103,19,FALSE)/VLOOKUP(A82,Ergebnis_je_Aktie_verwässert!A$3:AK$103,13,FALSE))),""),"")</f>
        <v>#N/A</v>
      </c>
      <c r="N82" s="71" t="e">
        <f>IF(VLOOKUP(A82,Fiktive_Dividende!A$3:AM$103,20,FALSE)&lt;&gt;"",IF(VLOOKUP(A82,Ergebnis_je_Aktie_verwässert!A$3:AK$103,14,FALSE)&lt;&gt;"",IF(VLOOKUP(A82,Ergebnis_je_Aktie_verwässert!A$3:AK$103,14,FALSE)&lt;=0,2,IF(VLOOKUP(A82,Fiktive_Dividende!A$3:AM$103,20,FALSE)/VLOOKUP(A82,Ergebnis_je_Aktie_verwässert!A$3:AK$103,14,FALSE)&gt;=2,2,VLOOKUP(A82,Fiktive_Dividende!A$3:AM$103,20,FALSE)/VLOOKUP(A82,Ergebnis_je_Aktie_verwässert!A$3:AK$103,14,FALSE))),""),"")</f>
        <v>#N/A</v>
      </c>
      <c r="O82" s="71" t="e">
        <f>IF(VLOOKUP(A82,Fiktive_Dividende!A$3:AM$103,21,FALSE)&lt;&gt;"",IF(VLOOKUP(A82,Ergebnis_je_Aktie_verwässert!A$3:AK$103,15,FALSE)&lt;&gt;"",IF(VLOOKUP(A82,Ergebnis_je_Aktie_verwässert!A$3:AK$103,15,FALSE)&lt;=0,2,IF(VLOOKUP(A82,Fiktive_Dividende!A$3:AM$103,21,FALSE)/VLOOKUP(A82,Ergebnis_je_Aktie_verwässert!A$3:AK$103,15,FALSE)&gt;=2,2,VLOOKUP(A82,Fiktive_Dividende!A$3:AM$103,21,FALSE)/VLOOKUP(A82,Ergebnis_je_Aktie_verwässert!A$3:AK$103,15,FALSE))),""),"")</f>
        <v>#N/A</v>
      </c>
      <c r="P82" s="71" t="e">
        <f>IF(VLOOKUP(A82,Fiktive_Dividende!A$3:AM$103,22,FALSE)&lt;&gt;"",IF(VLOOKUP(A82,Ergebnis_je_Aktie_verwässert!A$3:AK$103,16,FALSE)&lt;&gt;"",IF(VLOOKUP(A82,Ergebnis_je_Aktie_verwässert!A$3:AK$103,16,FALSE)&lt;=0,2,IF(VLOOKUP(A82,Fiktive_Dividende!A$3:AM$103,22,FALSE)/VLOOKUP(A82,Ergebnis_je_Aktie_verwässert!A$3:AK$103,16,FALSE)&gt;=2,2,VLOOKUP(A82,Fiktive_Dividende!A$3:AM$103,22,FALSE)/VLOOKUP(A82,Ergebnis_je_Aktie_verwässert!A$3:AK$103,16,FALSE))),""),"")</f>
        <v>#N/A</v>
      </c>
      <c r="Q82" s="71" t="e">
        <f>IF(VLOOKUP(A82,Fiktive_Dividende!A$3:AM$103,23,FALSE)&lt;&gt;"",IF(VLOOKUP(A82,Ergebnis_je_Aktie_verwässert!A$3:AK$103,17,FALSE)&lt;&gt;"",IF(VLOOKUP(A82,Ergebnis_je_Aktie_verwässert!A$3:AK$103,17,FALSE)&lt;=0,2,IF(VLOOKUP(A82,Fiktive_Dividende!A$3:AM$103,23,FALSE)/VLOOKUP(A82,Ergebnis_je_Aktie_verwässert!A$3:AK$103,17,FALSE)&gt;=2,2,VLOOKUP(A82,Fiktive_Dividende!A$3:AM$103,23,FALSE)/VLOOKUP(A82,Ergebnis_je_Aktie_verwässert!A$3:AK$103,17,FALSE))),""),"")</f>
        <v>#N/A</v>
      </c>
      <c r="R82" s="71" t="e">
        <f>IF(VLOOKUP(A82,Fiktive_Dividende!A$3:AM$103,24,FALSE)&lt;&gt;"",IF(VLOOKUP(A82,Ergebnis_je_Aktie_verwässert!A$3:AK$103,18,FALSE)&lt;&gt;"",IF(VLOOKUP(A82,Ergebnis_je_Aktie_verwässert!A$3:AK$103,18,FALSE)&lt;=0,2,IF(VLOOKUP(A82,Fiktive_Dividende!A$3:AM$103,24,FALSE)/VLOOKUP(A82,Ergebnis_je_Aktie_verwässert!A$3:AK$103,18,FALSE)&gt;=2,2,VLOOKUP(A82,Fiktive_Dividende!A$3:AM$103,24,FALSE)/VLOOKUP(A82,Ergebnis_je_Aktie_verwässert!A$3:AK$103,18,FALSE))),""),"")</f>
        <v>#N/A</v>
      </c>
      <c r="S82" s="105" t="e">
        <f t="shared" si="14"/>
        <v>#N/A</v>
      </c>
      <c r="T82" s="71" t="e">
        <f>IF(VLOOKUP(A82,Dividende_je_Aktie!A$3:AM$103,6,FALSE)&lt;&gt;"",IF(VLOOKUP(A82,Ergebnis_je_Aktie_verwässert!A$3:AK$103,6,FALSE)&lt;&gt;"",IF(VLOOKUP(A82,Ergebnis_je_Aktie_verwässert!A$3:AK$103,6,FALSE)&lt;=0,2,IF(VLOOKUP(A82,Dividende_je_Aktie!A$3:AM$103,6,FALSE)/VLOOKUP(A82,Ergebnis_je_Aktie_verwässert!A$3:AK$103,6,FALSE)&gt;=2,2,VLOOKUP(A82,Dividende_je_Aktie!A$3:AM$103,6,FALSE)/VLOOKUP(A82,Ergebnis_je_Aktie_verwässert!A$3:AK$103,6,FALSE))),""),"")</f>
        <v>#N/A</v>
      </c>
      <c r="U82" s="71" t="e">
        <f>IF(VLOOKUP(A82,Dividende_je_Aktie!A$3:AM$103,7,FALSE)&lt;&gt;"",IF(VLOOKUP(A82,Ergebnis_je_Aktie_verwässert!A$3:AK$103,7,FALSE)&lt;&gt;"",IF(VLOOKUP(A82,Ergebnis_je_Aktie_verwässert!A$3:AK$103,7,FALSE)&lt;=0,2,IF(VLOOKUP(A82,Dividende_je_Aktie!A$3:AM$103,7,FALSE)/VLOOKUP(A82,Ergebnis_je_Aktie_verwässert!A$3:AK$103,7,FALSE)&gt;=2,2,VLOOKUP(A82,Dividende_je_Aktie!A$3:AM$103,7,FALSE)/VLOOKUP(A82,Ergebnis_je_Aktie_verwässert!A$3:AK$103,7,FALSE))),""),"")</f>
        <v>#N/A</v>
      </c>
      <c r="V82" s="71" t="e">
        <f>IF(VLOOKUP(A82,Dividende_je_Aktie!A$3:AM$103,8,FALSE)&lt;&gt;"",IF(VLOOKUP(A82,Ergebnis_je_Aktie_verwässert!A$3:AK$103,8,FALSE)&lt;&gt;"",IF(VLOOKUP(A82,Ergebnis_je_Aktie_verwässert!A$3:AK$103,8,FALSE)&lt;=0,2,IF(VLOOKUP(A82,Dividende_je_Aktie!A$3:AM$103,8,FALSE)/VLOOKUP(A82,Ergebnis_je_Aktie_verwässert!A$3:AK$103,8,FALSE)&gt;=2,2,VLOOKUP(A82,Dividende_je_Aktie!A$3:AM$103,8,FALSE)/VLOOKUP(A82,Ergebnis_je_Aktie_verwässert!A$3:AK$103,8,FALSE))),""),"")</f>
        <v>#N/A</v>
      </c>
      <c r="W82" s="71" t="e">
        <f>IF(VLOOKUP(A82,Dividende_je_Aktie!A$3:AM$103,9,FALSE)&lt;&gt;"",IF(VLOOKUP(A82,Ergebnis_je_Aktie_verwässert!A$3:AK$103,9,FALSE)&lt;&gt;"",IF(VLOOKUP(A82,Ergebnis_je_Aktie_verwässert!A$3:AK$103,9,FALSE)&lt;=0,2,IF(VLOOKUP(A82,Dividende_je_Aktie!A$3:AM$103,9,FALSE)/VLOOKUP(A82,Ergebnis_je_Aktie_verwässert!A$3:AK$103,9,FALSE)&gt;=2,2,VLOOKUP(A82,Dividende_je_Aktie!A$3:AM$103,9,FALSE)/VLOOKUP(A82,Ergebnis_je_Aktie_verwässert!A$3:AK$103,9,FALSE))),""),"")</f>
        <v>#N/A</v>
      </c>
      <c r="X82" s="71" t="e">
        <f>IF(VLOOKUP(A82,Dividende_je_Aktie!A$3:AM$103,10,FALSE)&lt;&gt;"",IF(VLOOKUP(A82,Ergebnis_je_Aktie_verwässert!A$3:AK$103,10,FALSE)&lt;&gt;"",IF(VLOOKUP(A82,Ergebnis_je_Aktie_verwässert!A$3:AK$103,10,FALSE)&lt;=0,2,IF(VLOOKUP(A82,Dividende_je_Aktie!A$3:AM$103,10,FALSE)/VLOOKUP(A82,Ergebnis_je_Aktie_verwässert!A$3:AK$103,10,FALSE)&gt;=2,2,VLOOKUP(A82,Dividende_je_Aktie!A$3:AM$103,10,FALSE)/VLOOKUP(A82,Ergebnis_je_Aktie_verwässert!A$3:AK$103,10,FALSE))),""),"")</f>
        <v>#N/A</v>
      </c>
      <c r="Y82" s="71" t="e">
        <f>IF(VLOOKUP(A82,Dividende_je_Aktie!A$3:AM$103,11,FALSE)&lt;&gt;"",IF(VLOOKUP(A82,Ergebnis_je_Aktie_verwässert!A$3:AK$103,11,FALSE)&lt;&gt;"",IF(VLOOKUP(A82,Ergebnis_je_Aktie_verwässert!A$3:AK$103,11,FALSE)&lt;=0,2,IF(VLOOKUP(A82,Dividende_je_Aktie!A$3:AM$103,11,FALSE)/VLOOKUP(A82,Ergebnis_je_Aktie_verwässert!A$3:AK$103,11,FALSE)&gt;=2,2,VLOOKUP(A82,Dividende_je_Aktie!A$3:AM$103,11,FALSE)/VLOOKUP(A82,Ergebnis_je_Aktie_verwässert!A$3:AK$103,11,FALSE))),""),"")</f>
        <v>#N/A</v>
      </c>
      <c r="Z82" s="71" t="e">
        <f>IF(VLOOKUP(A82,Dividende_je_Aktie!A$3:AM$103,12,FALSE)&lt;&gt;"",IF(VLOOKUP(A82,Ergebnis_je_Aktie_verwässert!A$3:AK$103,12,FALSE)&lt;&gt;"",IF(VLOOKUP(A82,Ergebnis_je_Aktie_verwässert!A$3:AK$103,12,FALSE)&lt;=0,2,IF(VLOOKUP(A82,Dividende_je_Aktie!A$3:AM$103,12,FALSE)/VLOOKUP(A82,Ergebnis_je_Aktie_verwässert!A$3:AK$103,12,FALSE)&gt;=2,2,VLOOKUP(A82,Dividende_je_Aktie!A$3:AM$103,12,FALSE)/VLOOKUP(A82,Ergebnis_je_Aktie_verwässert!A$3:AK$103,12,FALSE))),""),"")</f>
        <v>#N/A</v>
      </c>
      <c r="AA82" s="71" t="e">
        <f>IF(VLOOKUP(A82,Dividende_je_Aktie!A$3:AM$103,13,FALSE)&lt;&gt;"",IF(VLOOKUP(A82,Ergebnis_je_Aktie_verwässert!A$3:AK$103,13,FALSE)&lt;&gt;"",IF(VLOOKUP(A82,Ergebnis_je_Aktie_verwässert!A$3:AK$103,13,FALSE)&lt;=0,2,IF(VLOOKUP(A82,Dividende_je_Aktie!A$3:AM$103,13,FALSE)/VLOOKUP(A82,Ergebnis_je_Aktie_verwässert!A$3:AK$103,13,FALSE)&gt;=2,2,VLOOKUP(A82,Dividende_je_Aktie!A$3:AM$103,13,FALSE)/VLOOKUP(A82,Ergebnis_je_Aktie_verwässert!A$3:AK$103,13,FALSE))),""),"")</f>
        <v>#N/A</v>
      </c>
      <c r="AB82" s="71" t="e">
        <f>IF(VLOOKUP(A82,Dividende_je_Aktie!A$3:AM$103,14,FALSE)&lt;&gt;"",IF(VLOOKUP(A82,Ergebnis_je_Aktie_verwässert!A$3:AK$103,14,FALSE)&lt;&gt;"",IF(VLOOKUP(A82,Ergebnis_je_Aktie_verwässert!A$3:AK$103,14,FALSE)&lt;=0,2,IF(VLOOKUP(A82,Dividende_je_Aktie!A$3:AM$103,14,FALSE)/VLOOKUP(A82,Ergebnis_je_Aktie_verwässert!A$3:AK$103,14,FALSE)&gt;=2,2,VLOOKUP(A82,Dividende_je_Aktie!A$3:AM$103,14,FALSE)/VLOOKUP(A82,Ergebnis_je_Aktie_verwässert!A$3:AK$103,14,FALSE))),""),"")</f>
        <v>#N/A</v>
      </c>
      <c r="AC82" s="71" t="e">
        <f>IF(VLOOKUP(A82,Dividende_je_Aktie!A$3:AM$103,15,FALSE)&lt;&gt;"",IF(VLOOKUP(A82,Ergebnis_je_Aktie_verwässert!A$3:AK$103,15,FALSE)&lt;&gt;"",IF(VLOOKUP(A82,Ergebnis_je_Aktie_verwässert!A$3:AK$103,15,FALSE)&lt;=0,2,IF(VLOOKUP(A82,Dividende_je_Aktie!A$3:AM$103,15,FALSE)/VLOOKUP(A82,Ergebnis_je_Aktie_verwässert!A$3:AK$103,15,FALSE)&gt;=2,2,VLOOKUP(A82,Dividende_je_Aktie!A$3:AM$103,15,FALSE)/VLOOKUP(A82,Ergebnis_je_Aktie_verwässert!A$3:AK$103,15,FALSE))),""),"")</f>
        <v>#N/A</v>
      </c>
      <c r="AD82" s="71" t="e">
        <f>IF(VLOOKUP(A82,Dividende_je_Aktie!A$3:AM$103,16,FALSE)&lt;&gt;"",IF(VLOOKUP(A82,Ergebnis_je_Aktie_verwässert!A$3:AK$103,16,FALSE)&lt;&gt;"",IF(VLOOKUP(A82,Ergebnis_je_Aktie_verwässert!A$3:AK$103,16,FALSE)&lt;=0,2,IF(VLOOKUP(A82,Dividende_je_Aktie!A$3:AM$103,16,FALSE)/VLOOKUP(A82,Ergebnis_je_Aktie_verwässert!A$3:AK$103,16,FALSE)&gt;=2,2,VLOOKUP(A82,Dividende_je_Aktie!A$3:AM$103,16,FALSE)/VLOOKUP(A82,Ergebnis_je_Aktie_verwässert!A$3:AK$103,16,FALSE))),""),"")</f>
        <v>#N/A</v>
      </c>
      <c r="AE82" s="71" t="e">
        <f>IF(VLOOKUP(A82,Dividende_je_Aktie!A$3:AM$103,17,FALSE)&lt;&gt;"",IF(VLOOKUP(A82,Ergebnis_je_Aktie_verwässert!A$3:AK$103,17,FALSE)&lt;&gt;"",IF(VLOOKUP(A82,Ergebnis_je_Aktie_verwässert!A$3:AK$103,17,FALSE)&lt;=0,2,IF(VLOOKUP(A82,Dividende_je_Aktie!A$3:AM$103,17,FALSE)/VLOOKUP(A82,Ergebnis_je_Aktie_verwässert!A$3:AK$103,17,FALSE)&gt;=2,2,VLOOKUP(A82,Dividende_je_Aktie!A$3:AM$103,17,FALSE)/VLOOKUP(A82,Ergebnis_je_Aktie_verwässert!A$3:AK$103,17,FALSE))),""),"")</f>
        <v>#N/A</v>
      </c>
      <c r="AF82" s="71" t="e">
        <f>IF(VLOOKUP(A82,Dividende_je_Aktie!A$3:AM$103,18,FALSE)&lt;&gt;"",IF(VLOOKUP(A82,Ergebnis_je_Aktie_verwässert!A$3:AK$103,18,FALSE)&lt;&gt;"",IF(VLOOKUP(A82,Ergebnis_je_Aktie_verwässert!A$3:AK$103,18,FALSE)&lt;=0,2,IF(VLOOKUP(A82,Dividende_je_Aktie!A$3:AM$103,18,FALSE)/VLOOKUP(A82,Ergebnis_je_Aktie_verwässert!A$3:AK$103,18,FALSE)&gt;=2,2,VLOOKUP(A82,Dividende_je_Aktie!A$3:AM$103,18,FALSE)/VLOOKUP(A82,Ergebnis_je_Aktie_verwässert!A$3:AK$103,18,FALSE))),""),"")</f>
        <v>#N/A</v>
      </c>
      <c r="AG82" s="105" t="e">
        <f t="shared" si="15"/>
        <v>#N/A</v>
      </c>
      <c r="AH82" s="4">
        <f t="shared" ca="1" si="16"/>
        <v>41899</v>
      </c>
      <c r="AI82" s="4">
        <f t="shared" ca="1" si="17"/>
        <v>-41539</v>
      </c>
      <c r="AJ82" s="4" t="e">
        <f t="shared" ca="1" si="18"/>
        <v>#NUM!</v>
      </c>
      <c r="AK82" s="10" t="e">
        <f t="shared" ca="1" si="19"/>
        <v>#N/A</v>
      </c>
      <c r="AL82" s="5" t="e">
        <f t="shared" si="20"/>
        <v>#N/A</v>
      </c>
    </row>
    <row r="83" spans="3:38">
      <c r="C83" s="60"/>
      <c r="D83" s="60"/>
      <c r="E83" s="60"/>
      <c r="F83" s="71" t="e">
        <f>IF(VLOOKUP(A83,Dividende_je_Aktie!A$3:AM$103,6,FALSE)&lt;&gt;"",IF(VLOOKUP(A83,Ergebnis_je_Aktie_verwässert!A$3:AK$103,6,FALSE)&lt;&gt;"",IF(VLOOKUP(A83,Ergebnis_je_Aktie_verwässert!A$3:AK$103,6,FALSE)&lt;=0,2,IF(VLOOKUP(A83,Dividende_je_Aktie!A$3:AM$103,6,FALSE)/VLOOKUP(A83,Ergebnis_je_Aktie_verwässert!A$3:AK$103,6,FALSE)&gt;=2,2,VLOOKUP(A83,Dividende_je_Aktie!A$3:AM$103,6,FALSE)/VLOOKUP(A83,Ergebnis_je_Aktie_verwässert!A$3:AK$103,6,FALSE))),""),"")</f>
        <v>#N/A</v>
      </c>
      <c r="G83" s="71" t="e">
        <f>IF(VLOOKUP(A83,Dividende_je_Aktie!A$3:AM$103,7,FALSE)&lt;&gt;"",IF(VLOOKUP(A83,Ergebnis_je_Aktie_verwässert!A$3:AK$103,7,FALSE)&lt;&gt;"",IF(VLOOKUP(A83,Ergebnis_je_Aktie_verwässert!A$3:AK$103,7,FALSE)&lt;=0,2,IF(VLOOKUP(A83,Dividende_je_Aktie!A$3:AM$103,7,FALSE)/VLOOKUP(A83,Ergebnis_je_Aktie_verwässert!A$3:AK$103,7,FALSE)&gt;=2,2,VLOOKUP(A83,Dividende_je_Aktie!A$3:AM$103,7,FALSE)/VLOOKUP(A83,Ergebnis_je_Aktie_verwässert!A$3:AK$103,7,FALSE))),""),"")</f>
        <v>#N/A</v>
      </c>
      <c r="H83" s="71" t="e">
        <f>IF(VLOOKUP(A83,Fiktive_Dividende!A$3:AM$103,14,FALSE)&lt;&gt;"",IF(VLOOKUP(A83,Ergebnis_je_Aktie_verwässert!A$3:AK$103,8,FALSE)&lt;&gt;"",IF(VLOOKUP(A83,Ergebnis_je_Aktie_verwässert!A$3:AK$103,8,FALSE)&lt;=0,2,IF(VLOOKUP(A83,Fiktive_Dividende!A$3:AM$103,14,FALSE)/VLOOKUP(A83,Ergebnis_je_Aktie_verwässert!A$3:AK$103,8,FALSE)&gt;=2,2,VLOOKUP(A83,Fiktive_Dividende!A$3:AM$103,14,FALSE)/VLOOKUP(A83,Ergebnis_je_Aktie_verwässert!A$3:AK$103,8,FALSE))),""),"")</f>
        <v>#N/A</v>
      </c>
      <c r="I83" s="71" t="e">
        <f>IF(VLOOKUP(A83,Fiktive_Dividende!A$3:AM$103,15,FALSE)&lt;&gt;"",IF(VLOOKUP(A83,Ergebnis_je_Aktie_verwässert!A$3:AK$103,9,FALSE)&lt;&gt;"",IF(VLOOKUP(A83,Ergebnis_je_Aktie_verwässert!A$3:AK$103,9,FALSE)&lt;=0,2,IF(VLOOKUP(A83,Fiktive_Dividende!A$3:AM$103,15,FALSE)/VLOOKUP(A83,Ergebnis_je_Aktie_verwässert!A$3:AK$103,9,FALSE)&gt;=2,2,VLOOKUP(A83,Fiktive_Dividende!A$3:AM$103,15,FALSE)/VLOOKUP(A83,Ergebnis_je_Aktie_verwässert!A$3:AK$103,9,FALSE))),""),"")</f>
        <v>#N/A</v>
      </c>
      <c r="J83" s="71" t="e">
        <f>IF(VLOOKUP(A83,Fiktive_Dividende!A$3:AM$103,16,FALSE)&lt;&gt;"",IF(VLOOKUP(A83,Ergebnis_je_Aktie_verwässert!A$3:AK$103,10,FALSE)&lt;&gt;"",IF(VLOOKUP(A83,Ergebnis_je_Aktie_verwässert!A$3:AK$103,10,FALSE)&lt;=0,2,IF(VLOOKUP(A83,Fiktive_Dividende!A$3:AM$103,16,FALSE)/VLOOKUP(A83,Ergebnis_je_Aktie_verwässert!A$3:AK$103,10,FALSE)&gt;=2,2,VLOOKUP(A83,Fiktive_Dividende!A$3:AM$103,16,FALSE)/VLOOKUP(A83,Ergebnis_je_Aktie_verwässert!A$3:AK$103,10,FALSE))),""),"")</f>
        <v>#N/A</v>
      </c>
      <c r="K83" s="71" t="e">
        <f>IF(VLOOKUP(A83,Fiktive_Dividende!A$3:AM$103,17,FALSE)&lt;&gt;"",IF(VLOOKUP(A83,Ergebnis_je_Aktie_verwässert!A$3:AK$103,11,FALSE)&lt;&gt;"",IF(VLOOKUP(A83,Ergebnis_je_Aktie_verwässert!A$3:AK$103,11,FALSE)&lt;=0,2,IF(VLOOKUP(A83,Fiktive_Dividende!A$3:AM$103,17,FALSE)/VLOOKUP(A83,Ergebnis_je_Aktie_verwässert!A$3:AK$103,11,FALSE)&gt;=2,2,VLOOKUP(A83,Fiktive_Dividende!A$3:AM$103,17,FALSE)/VLOOKUP(A83,Ergebnis_je_Aktie_verwässert!A$3:AK$103,11,FALSE))),""),"")</f>
        <v>#N/A</v>
      </c>
      <c r="L83" s="71" t="e">
        <f>IF(VLOOKUP(A83,Fiktive_Dividende!A$3:AM$103,18,FALSE)&lt;&gt;"",IF(VLOOKUP(A83,Ergebnis_je_Aktie_verwässert!A$3:AK$103,12,FALSE)&lt;&gt;"",IF(VLOOKUP(A83,Ergebnis_je_Aktie_verwässert!A$3:AK$103,12,FALSE)&lt;=0,2,IF(VLOOKUP(A83,Fiktive_Dividende!A$3:AM$103,18,FALSE)/VLOOKUP(A83,Ergebnis_je_Aktie_verwässert!A$3:AK$103,12,FALSE)&gt;=2,2,VLOOKUP(A83,Fiktive_Dividende!A$3:AM$103,18,FALSE)/VLOOKUP(A83,Ergebnis_je_Aktie_verwässert!A$3:AK$103,12,FALSE))),""),"")</f>
        <v>#N/A</v>
      </c>
      <c r="M83" s="71" t="e">
        <f>IF(VLOOKUP(A83,Fiktive_Dividende!A$3:AM$103,19,FALSE)&lt;&gt;"",IF(VLOOKUP(A83,Ergebnis_je_Aktie_verwässert!A$3:AK$103,13,FALSE)&lt;&gt;"",IF(VLOOKUP(A83,Ergebnis_je_Aktie_verwässert!A$3:AK$103,13,FALSE)&lt;=0,2,IF(VLOOKUP(A83,Fiktive_Dividende!A$3:AM$103,19,FALSE)/VLOOKUP(A83,Ergebnis_je_Aktie_verwässert!A$3:AK$103,13,FALSE)&gt;=2,2,VLOOKUP(A83,Fiktive_Dividende!A$3:AM$103,19,FALSE)/VLOOKUP(A83,Ergebnis_je_Aktie_verwässert!A$3:AK$103,13,FALSE))),""),"")</f>
        <v>#N/A</v>
      </c>
      <c r="N83" s="71" t="e">
        <f>IF(VLOOKUP(A83,Fiktive_Dividende!A$3:AM$103,20,FALSE)&lt;&gt;"",IF(VLOOKUP(A83,Ergebnis_je_Aktie_verwässert!A$3:AK$103,14,FALSE)&lt;&gt;"",IF(VLOOKUP(A83,Ergebnis_je_Aktie_verwässert!A$3:AK$103,14,FALSE)&lt;=0,2,IF(VLOOKUP(A83,Fiktive_Dividende!A$3:AM$103,20,FALSE)/VLOOKUP(A83,Ergebnis_je_Aktie_verwässert!A$3:AK$103,14,FALSE)&gt;=2,2,VLOOKUP(A83,Fiktive_Dividende!A$3:AM$103,20,FALSE)/VLOOKUP(A83,Ergebnis_je_Aktie_verwässert!A$3:AK$103,14,FALSE))),""),"")</f>
        <v>#N/A</v>
      </c>
      <c r="O83" s="71" t="e">
        <f>IF(VLOOKUP(A83,Fiktive_Dividende!A$3:AM$103,21,FALSE)&lt;&gt;"",IF(VLOOKUP(A83,Ergebnis_je_Aktie_verwässert!A$3:AK$103,15,FALSE)&lt;&gt;"",IF(VLOOKUP(A83,Ergebnis_je_Aktie_verwässert!A$3:AK$103,15,FALSE)&lt;=0,2,IF(VLOOKUP(A83,Fiktive_Dividende!A$3:AM$103,21,FALSE)/VLOOKUP(A83,Ergebnis_je_Aktie_verwässert!A$3:AK$103,15,FALSE)&gt;=2,2,VLOOKUP(A83,Fiktive_Dividende!A$3:AM$103,21,FALSE)/VLOOKUP(A83,Ergebnis_je_Aktie_verwässert!A$3:AK$103,15,FALSE))),""),"")</f>
        <v>#N/A</v>
      </c>
      <c r="P83" s="71" t="e">
        <f>IF(VLOOKUP(A83,Fiktive_Dividende!A$3:AM$103,22,FALSE)&lt;&gt;"",IF(VLOOKUP(A83,Ergebnis_je_Aktie_verwässert!A$3:AK$103,16,FALSE)&lt;&gt;"",IF(VLOOKUP(A83,Ergebnis_je_Aktie_verwässert!A$3:AK$103,16,FALSE)&lt;=0,2,IF(VLOOKUP(A83,Fiktive_Dividende!A$3:AM$103,22,FALSE)/VLOOKUP(A83,Ergebnis_je_Aktie_verwässert!A$3:AK$103,16,FALSE)&gt;=2,2,VLOOKUP(A83,Fiktive_Dividende!A$3:AM$103,22,FALSE)/VLOOKUP(A83,Ergebnis_je_Aktie_verwässert!A$3:AK$103,16,FALSE))),""),"")</f>
        <v>#N/A</v>
      </c>
      <c r="Q83" s="71" t="e">
        <f>IF(VLOOKUP(A83,Fiktive_Dividende!A$3:AM$103,23,FALSE)&lt;&gt;"",IF(VLOOKUP(A83,Ergebnis_je_Aktie_verwässert!A$3:AK$103,17,FALSE)&lt;&gt;"",IF(VLOOKUP(A83,Ergebnis_je_Aktie_verwässert!A$3:AK$103,17,FALSE)&lt;=0,2,IF(VLOOKUP(A83,Fiktive_Dividende!A$3:AM$103,23,FALSE)/VLOOKUP(A83,Ergebnis_je_Aktie_verwässert!A$3:AK$103,17,FALSE)&gt;=2,2,VLOOKUP(A83,Fiktive_Dividende!A$3:AM$103,23,FALSE)/VLOOKUP(A83,Ergebnis_je_Aktie_verwässert!A$3:AK$103,17,FALSE))),""),"")</f>
        <v>#N/A</v>
      </c>
      <c r="R83" s="71" t="e">
        <f>IF(VLOOKUP(A83,Fiktive_Dividende!A$3:AM$103,24,FALSE)&lt;&gt;"",IF(VLOOKUP(A83,Ergebnis_je_Aktie_verwässert!A$3:AK$103,18,FALSE)&lt;&gt;"",IF(VLOOKUP(A83,Ergebnis_je_Aktie_verwässert!A$3:AK$103,18,FALSE)&lt;=0,2,IF(VLOOKUP(A83,Fiktive_Dividende!A$3:AM$103,24,FALSE)/VLOOKUP(A83,Ergebnis_je_Aktie_verwässert!A$3:AK$103,18,FALSE)&gt;=2,2,VLOOKUP(A83,Fiktive_Dividende!A$3:AM$103,24,FALSE)/VLOOKUP(A83,Ergebnis_je_Aktie_verwässert!A$3:AK$103,18,FALSE))),""),"")</f>
        <v>#N/A</v>
      </c>
      <c r="S83" s="105" t="e">
        <f t="shared" si="14"/>
        <v>#N/A</v>
      </c>
      <c r="T83" s="71" t="e">
        <f>IF(VLOOKUP(A83,Dividende_je_Aktie!A$3:AM$103,6,FALSE)&lt;&gt;"",IF(VLOOKUP(A83,Ergebnis_je_Aktie_verwässert!A$3:AK$103,6,FALSE)&lt;&gt;"",IF(VLOOKUP(A83,Ergebnis_je_Aktie_verwässert!A$3:AK$103,6,FALSE)&lt;=0,2,IF(VLOOKUP(A83,Dividende_je_Aktie!A$3:AM$103,6,FALSE)/VLOOKUP(A83,Ergebnis_je_Aktie_verwässert!A$3:AK$103,6,FALSE)&gt;=2,2,VLOOKUP(A83,Dividende_je_Aktie!A$3:AM$103,6,FALSE)/VLOOKUP(A83,Ergebnis_je_Aktie_verwässert!A$3:AK$103,6,FALSE))),""),"")</f>
        <v>#N/A</v>
      </c>
      <c r="U83" s="71" t="e">
        <f>IF(VLOOKUP(A83,Dividende_je_Aktie!A$3:AM$103,7,FALSE)&lt;&gt;"",IF(VLOOKUP(A83,Ergebnis_je_Aktie_verwässert!A$3:AK$103,7,FALSE)&lt;&gt;"",IF(VLOOKUP(A83,Ergebnis_je_Aktie_verwässert!A$3:AK$103,7,FALSE)&lt;=0,2,IF(VLOOKUP(A83,Dividende_je_Aktie!A$3:AM$103,7,FALSE)/VLOOKUP(A83,Ergebnis_je_Aktie_verwässert!A$3:AK$103,7,FALSE)&gt;=2,2,VLOOKUP(A83,Dividende_je_Aktie!A$3:AM$103,7,FALSE)/VLOOKUP(A83,Ergebnis_je_Aktie_verwässert!A$3:AK$103,7,FALSE))),""),"")</f>
        <v>#N/A</v>
      </c>
      <c r="V83" s="71" t="e">
        <f>IF(VLOOKUP(A83,Dividende_je_Aktie!A$3:AM$103,8,FALSE)&lt;&gt;"",IF(VLOOKUP(A83,Ergebnis_je_Aktie_verwässert!A$3:AK$103,8,FALSE)&lt;&gt;"",IF(VLOOKUP(A83,Ergebnis_je_Aktie_verwässert!A$3:AK$103,8,FALSE)&lt;=0,2,IF(VLOOKUP(A83,Dividende_je_Aktie!A$3:AM$103,8,FALSE)/VLOOKUP(A83,Ergebnis_je_Aktie_verwässert!A$3:AK$103,8,FALSE)&gt;=2,2,VLOOKUP(A83,Dividende_je_Aktie!A$3:AM$103,8,FALSE)/VLOOKUP(A83,Ergebnis_je_Aktie_verwässert!A$3:AK$103,8,FALSE))),""),"")</f>
        <v>#N/A</v>
      </c>
      <c r="W83" s="71" t="e">
        <f>IF(VLOOKUP(A83,Dividende_je_Aktie!A$3:AM$103,9,FALSE)&lt;&gt;"",IF(VLOOKUP(A83,Ergebnis_je_Aktie_verwässert!A$3:AK$103,9,FALSE)&lt;&gt;"",IF(VLOOKUP(A83,Ergebnis_je_Aktie_verwässert!A$3:AK$103,9,FALSE)&lt;=0,2,IF(VLOOKUP(A83,Dividende_je_Aktie!A$3:AM$103,9,FALSE)/VLOOKUP(A83,Ergebnis_je_Aktie_verwässert!A$3:AK$103,9,FALSE)&gt;=2,2,VLOOKUP(A83,Dividende_je_Aktie!A$3:AM$103,9,FALSE)/VLOOKUP(A83,Ergebnis_je_Aktie_verwässert!A$3:AK$103,9,FALSE))),""),"")</f>
        <v>#N/A</v>
      </c>
      <c r="X83" s="71" t="e">
        <f>IF(VLOOKUP(A83,Dividende_je_Aktie!A$3:AM$103,10,FALSE)&lt;&gt;"",IF(VLOOKUP(A83,Ergebnis_je_Aktie_verwässert!A$3:AK$103,10,FALSE)&lt;&gt;"",IF(VLOOKUP(A83,Ergebnis_je_Aktie_verwässert!A$3:AK$103,10,FALSE)&lt;=0,2,IF(VLOOKUP(A83,Dividende_je_Aktie!A$3:AM$103,10,FALSE)/VLOOKUP(A83,Ergebnis_je_Aktie_verwässert!A$3:AK$103,10,FALSE)&gt;=2,2,VLOOKUP(A83,Dividende_je_Aktie!A$3:AM$103,10,FALSE)/VLOOKUP(A83,Ergebnis_je_Aktie_verwässert!A$3:AK$103,10,FALSE))),""),"")</f>
        <v>#N/A</v>
      </c>
      <c r="Y83" s="71" t="e">
        <f>IF(VLOOKUP(A83,Dividende_je_Aktie!A$3:AM$103,11,FALSE)&lt;&gt;"",IF(VLOOKUP(A83,Ergebnis_je_Aktie_verwässert!A$3:AK$103,11,FALSE)&lt;&gt;"",IF(VLOOKUP(A83,Ergebnis_je_Aktie_verwässert!A$3:AK$103,11,FALSE)&lt;=0,2,IF(VLOOKUP(A83,Dividende_je_Aktie!A$3:AM$103,11,FALSE)/VLOOKUP(A83,Ergebnis_je_Aktie_verwässert!A$3:AK$103,11,FALSE)&gt;=2,2,VLOOKUP(A83,Dividende_je_Aktie!A$3:AM$103,11,FALSE)/VLOOKUP(A83,Ergebnis_je_Aktie_verwässert!A$3:AK$103,11,FALSE))),""),"")</f>
        <v>#N/A</v>
      </c>
      <c r="Z83" s="71" t="e">
        <f>IF(VLOOKUP(A83,Dividende_je_Aktie!A$3:AM$103,12,FALSE)&lt;&gt;"",IF(VLOOKUP(A83,Ergebnis_je_Aktie_verwässert!A$3:AK$103,12,FALSE)&lt;&gt;"",IF(VLOOKUP(A83,Ergebnis_je_Aktie_verwässert!A$3:AK$103,12,FALSE)&lt;=0,2,IF(VLOOKUP(A83,Dividende_je_Aktie!A$3:AM$103,12,FALSE)/VLOOKUP(A83,Ergebnis_je_Aktie_verwässert!A$3:AK$103,12,FALSE)&gt;=2,2,VLOOKUP(A83,Dividende_je_Aktie!A$3:AM$103,12,FALSE)/VLOOKUP(A83,Ergebnis_je_Aktie_verwässert!A$3:AK$103,12,FALSE))),""),"")</f>
        <v>#N/A</v>
      </c>
      <c r="AA83" s="71" t="e">
        <f>IF(VLOOKUP(A83,Dividende_je_Aktie!A$3:AM$103,13,FALSE)&lt;&gt;"",IF(VLOOKUP(A83,Ergebnis_je_Aktie_verwässert!A$3:AK$103,13,FALSE)&lt;&gt;"",IF(VLOOKUP(A83,Ergebnis_je_Aktie_verwässert!A$3:AK$103,13,FALSE)&lt;=0,2,IF(VLOOKUP(A83,Dividende_je_Aktie!A$3:AM$103,13,FALSE)/VLOOKUP(A83,Ergebnis_je_Aktie_verwässert!A$3:AK$103,13,FALSE)&gt;=2,2,VLOOKUP(A83,Dividende_je_Aktie!A$3:AM$103,13,FALSE)/VLOOKUP(A83,Ergebnis_je_Aktie_verwässert!A$3:AK$103,13,FALSE))),""),"")</f>
        <v>#N/A</v>
      </c>
      <c r="AB83" s="71" t="e">
        <f>IF(VLOOKUP(A83,Dividende_je_Aktie!A$3:AM$103,14,FALSE)&lt;&gt;"",IF(VLOOKUP(A83,Ergebnis_je_Aktie_verwässert!A$3:AK$103,14,FALSE)&lt;&gt;"",IF(VLOOKUP(A83,Ergebnis_je_Aktie_verwässert!A$3:AK$103,14,FALSE)&lt;=0,2,IF(VLOOKUP(A83,Dividende_je_Aktie!A$3:AM$103,14,FALSE)/VLOOKUP(A83,Ergebnis_je_Aktie_verwässert!A$3:AK$103,14,FALSE)&gt;=2,2,VLOOKUP(A83,Dividende_je_Aktie!A$3:AM$103,14,FALSE)/VLOOKUP(A83,Ergebnis_je_Aktie_verwässert!A$3:AK$103,14,FALSE))),""),"")</f>
        <v>#N/A</v>
      </c>
      <c r="AC83" s="71" t="e">
        <f>IF(VLOOKUP(A83,Dividende_je_Aktie!A$3:AM$103,15,FALSE)&lt;&gt;"",IF(VLOOKUP(A83,Ergebnis_je_Aktie_verwässert!A$3:AK$103,15,FALSE)&lt;&gt;"",IF(VLOOKUP(A83,Ergebnis_je_Aktie_verwässert!A$3:AK$103,15,FALSE)&lt;=0,2,IF(VLOOKUP(A83,Dividende_je_Aktie!A$3:AM$103,15,FALSE)/VLOOKUP(A83,Ergebnis_je_Aktie_verwässert!A$3:AK$103,15,FALSE)&gt;=2,2,VLOOKUP(A83,Dividende_je_Aktie!A$3:AM$103,15,FALSE)/VLOOKUP(A83,Ergebnis_je_Aktie_verwässert!A$3:AK$103,15,FALSE))),""),"")</f>
        <v>#N/A</v>
      </c>
      <c r="AD83" s="71" t="e">
        <f>IF(VLOOKUP(A83,Dividende_je_Aktie!A$3:AM$103,16,FALSE)&lt;&gt;"",IF(VLOOKUP(A83,Ergebnis_je_Aktie_verwässert!A$3:AK$103,16,FALSE)&lt;&gt;"",IF(VLOOKUP(A83,Ergebnis_je_Aktie_verwässert!A$3:AK$103,16,FALSE)&lt;=0,2,IF(VLOOKUP(A83,Dividende_je_Aktie!A$3:AM$103,16,FALSE)/VLOOKUP(A83,Ergebnis_je_Aktie_verwässert!A$3:AK$103,16,FALSE)&gt;=2,2,VLOOKUP(A83,Dividende_je_Aktie!A$3:AM$103,16,FALSE)/VLOOKUP(A83,Ergebnis_je_Aktie_verwässert!A$3:AK$103,16,FALSE))),""),"")</f>
        <v>#N/A</v>
      </c>
      <c r="AE83" s="71" t="e">
        <f>IF(VLOOKUP(A83,Dividende_je_Aktie!A$3:AM$103,17,FALSE)&lt;&gt;"",IF(VLOOKUP(A83,Ergebnis_je_Aktie_verwässert!A$3:AK$103,17,FALSE)&lt;&gt;"",IF(VLOOKUP(A83,Ergebnis_je_Aktie_verwässert!A$3:AK$103,17,FALSE)&lt;=0,2,IF(VLOOKUP(A83,Dividende_je_Aktie!A$3:AM$103,17,FALSE)/VLOOKUP(A83,Ergebnis_je_Aktie_verwässert!A$3:AK$103,17,FALSE)&gt;=2,2,VLOOKUP(A83,Dividende_je_Aktie!A$3:AM$103,17,FALSE)/VLOOKUP(A83,Ergebnis_je_Aktie_verwässert!A$3:AK$103,17,FALSE))),""),"")</f>
        <v>#N/A</v>
      </c>
      <c r="AF83" s="71" t="e">
        <f>IF(VLOOKUP(A83,Dividende_je_Aktie!A$3:AM$103,18,FALSE)&lt;&gt;"",IF(VLOOKUP(A83,Ergebnis_je_Aktie_verwässert!A$3:AK$103,18,FALSE)&lt;&gt;"",IF(VLOOKUP(A83,Ergebnis_je_Aktie_verwässert!A$3:AK$103,18,FALSE)&lt;=0,2,IF(VLOOKUP(A83,Dividende_je_Aktie!A$3:AM$103,18,FALSE)/VLOOKUP(A83,Ergebnis_je_Aktie_verwässert!A$3:AK$103,18,FALSE)&gt;=2,2,VLOOKUP(A83,Dividende_je_Aktie!A$3:AM$103,18,FALSE)/VLOOKUP(A83,Ergebnis_je_Aktie_verwässert!A$3:AK$103,18,FALSE))),""),"")</f>
        <v>#N/A</v>
      </c>
      <c r="AG83" s="105" t="e">
        <f t="shared" si="15"/>
        <v>#N/A</v>
      </c>
      <c r="AH83" s="4">
        <f t="shared" ca="1" si="16"/>
        <v>41899</v>
      </c>
      <c r="AI83" s="4">
        <f t="shared" ca="1" si="17"/>
        <v>-41539</v>
      </c>
      <c r="AJ83" s="4" t="e">
        <f t="shared" ca="1" si="18"/>
        <v>#NUM!</v>
      </c>
      <c r="AK83" s="10" t="e">
        <f t="shared" ca="1" si="19"/>
        <v>#N/A</v>
      </c>
      <c r="AL83" s="5" t="e">
        <f t="shared" si="20"/>
        <v>#N/A</v>
      </c>
    </row>
    <row r="84" spans="3:38">
      <c r="C84" s="60"/>
      <c r="D84" s="60"/>
      <c r="E84" s="60"/>
      <c r="F84" s="71" t="e">
        <f>IF(VLOOKUP(A84,Dividende_je_Aktie!A$3:AM$103,6,FALSE)&lt;&gt;"",IF(VLOOKUP(A84,Ergebnis_je_Aktie_verwässert!A$3:AK$103,6,FALSE)&lt;&gt;"",IF(VLOOKUP(A84,Ergebnis_je_Aktie_verwässert!A$3:AK$103,6,FALSE)&lt;=0,2,IF(VLOOKUP(A84,Dividende_je_Aktie!A$3:AM$103,6,FALSE)/VLOOKUP(A84,Ergebnis_je_Aktie_verwässert!A$3:AK$103,6,FALSE)&gt;=2,2,VLOOKUP(A84,Dividende_je_Aktie!A$3:AM$103,6,FALSE)/VLOOKUP(A84,Ergebnis_je_Aktie_verwässert!A$3:AK$103,6,FALSE))),""),"")</f>
        <v>#N/A</v>
      </c>
      <c r="G84" s="71" t="e">
        <f>IF(VLOOKUP(A84,Dividende_je_Aktie!A$3:AM$103,7,FALSE)&lt;&gt;"",IF(VLOOKUP(A84,Ergebnis_je_Aktie_verwässert!A$3:AK$103,7,FALSE)&lt;&gt;"",IF(VLOOKUP(A84,Ergebnis_je_Aktie_verwässert!A$3:AK$103,7,FALSE)&lt;=0,2,IF(VLOOKUP(A84,Dividende_je_Aktie!A$3:AM$103,7,FALSE)/VLOOKUP(A84,Ergebnis_je_Aktie_verwässert!A$3:AK$103,7,FALSE)&gt;=2,2,VLOOKUP(A84,Dividende_je_Aktie!A$3:AM$103,7,FALSE)/VLOOKUP(A84,Ergebnis_je_Aktie_verwässert!A$3:AK$103,7,FALSE))),""),"")</f>
        <v>#N/A</v>
      </c>
      <c r="H84" s="71" t="e">
        <f>IF(VLOOKUP(A84,Fiktive_Dividende!A$3:AM$103,14,FALSE)&lt;&gt;"",IF(VLOOKUP(A84,Ergebnis_je_Aktie_verwässert!A$3:AK$103,8,FALSE)&lt;&gt;"",IF(VLOOKUP(A84,Ergebnis_je_Aktie_verwässert!A$3:AK$103,8,FALSE)&lt;=0,2,IF(VLOOKUP(A84,Fiktive_Dividende!A$3:AM$103,14,FALSE)/VLOOKUP(A84,Ergebnis_je_Aktie_verwässert!A$3:AK$103,8,FALSE)&gt;=2,2,VLOOKUP(A84,Fiktive_Dividende!A$3:AM$103,14,FALSE)/VLOOKUP(A84,Ergebnis_je_Aktie_verwässert!A$3:AK$103,8,FALSE))),""),"")</f>
        <v>#N/A</v>
      </c>
      <c r="I84" s="71" t="e">
        <f>IF(VLOOKUP(A84,Fiktive_Dividende!A$3:AM$103,15,FALSE)&lt;&gt;"",IF(VLOOKUP(A84,Ergebnis_je_Aktie_verwässert!A$3:AK$103,9,FALSE)&lt;&gt;"",IF(VLOOKUP(A84,Ergebnis_je_Aktie_verwässert!A$3:AK$103,9,FALSE)&lt;=0,2,IF(VLOOKUP(A84,Fiktive_Dividende!A$3:AM$103,15,FALSE)/VLOOKUP(A84,Ergebnis_je_Aktie_verwässert!A$3:AK$103,9,FALSE)&gt;=2,2,VLOOKUP(A84,Fiktive_Dividende!A$3:AM$103,15,FALSE)/VLOOKUP(A84,Ergebnis_je_Aktie_verwässert!A$3:AK$103,9,FALSE))),""),"")</f>
        <v>#N/A</v>
      </c>
      <c r="J84" s="71" t="e">
        <f>IF(VLOOKUP(A84,Fiktive_Dividende!A$3:AM$103,16,FALSE)&lt;&gt;"",IF(VLOOKUP(A84,Ergebnis_je_Aktie_verwässert!A$3:AK$103,10,FALSE)&lt;&gt;"",IF(VLOOKUP(A84,Ergebnis_je_Aktie_verwässert!A$3:AK$103,10,FALSE)&lt;=0,2,IF(VLOOKUP(A84,Fiktive_Dividende!A$3:AM$103,16,FALSE)/VLOOKUP(A84,Ergebnis_je_Aktie_verwässert!A$3:AK$103,10,FALSE)&gt;=2,2,VLOOKUP(A84,Fiktive_Dividende!A$3:AM$103,16,FALSE)/VLOOKUP(A84,Ergebnis_je_Aktie_verwässert!A$3:AK$103,10,FALSE))),""),"")</f>
        <v>#N/A</v>
      </c>
      <c r="K84" s="71" t="e">
        <f>IF(VLOOKUP(A84,Fiktive_Dividende!A$3:AM$103,17,FALSE)&lt;&gt;"",IF(VLOOKUP(A84,Ergebnis_je_Aktie_verwässert!A$3:AK$103,11,FALSE)&lt;&gt;"",IF(VLOOKUP(A84,Ergebnis_je_Aktie_verwässert!A$3:AK$103,11,FALSE)&lt;=0,2,IF(VLOOKUP(A84,Fiktive_Dividende!A$3:AM$103,17,FALSE)/VLOOKUP(A84,Ergebnis_je_Aktie_verwässert!A$3:AK$103,11,FALSE)&gt;=2,2,VLOOKUP(A84,Fiktive_Dividende!A$3:AM$103,17,FALSE)/VLOOKUP(A84,Ergebnis_je_Aktie_verwässert!A$3:AK$103,11,FALSE))),""),"")</f>
        <v>#N/A</v>
      </c>
      <c r="L84" s="71" t="e">
        <f>IF(VLOOKUP(A84,Fiktive_Dividende!A$3:AM$103,18,FALSE)&lt;&gt;"",IF(VLOOKUP(A84,Ergebnis_je_Aktie_verwässert!A$3:AK$103,12,FALSE)&lt;&gt;"",IF(VLOOKUP(A84,Ergebnis_je_Aktie_verwässert!A$3:AK$103,12,FALSE)&lt;=0,2,IF(VLOOKUP(A84,Fiktive_Dividende!A$3:AM$103,18,FALSE)/VLOOKUP(A84,Ergebnis_je_Aktie_verwässert!A$3:AK$103,12,FALSE)&gt;=2,2,VLOOKUP(A84,Fiktive_Dividende!A$3:AM$103,18,FALSE)/VLOOKUP(A84,Ergebnis_je_Aktie_verwässert!A$3:AK$103,12,FALSE))),""),"")</f>
        <v>#N/A</v>
      </c>
      <c r="M84" s="71" t="e">
        <f>IF(VLOOKUP(A84,Fiktive_Dividende!A$3:AM$103,19,FALSE)&lt;&gt;"",IF(VLOOKUP(A84,Ergebnis_je_Aktie_verwässert!A$3:AK$103,13,FALSE)&lt;&gt;"",IF(VLOOKUP(A84,Ergebnis_je_Aktie_verwässert!A$3:AK$103,13,FALSE)&lt;=0,2,IF(VLOOKUP(A84,Fiktive_Dividende!A$3:AM$103,19,FALSE)/VLOOKUP(A84,Ergebnis_je_Aktie_verwässert!A$3:AK$103,13,FALSE)&gt;=2,2,VLOOKUP(A84,Fiktive_Dividende!A$3:AM$103,19,FALSE)/VLOOKUP(A84,Ergebnis_je_Aktie_verwässert!A$3:AK$103,13,FALSE))),""),"")</f>
        <v>#N/A</v>
      </c>
      <c r="N84" s="71" t="e">
        <f>IF(VLOOKUP(A84,Fiktive_Dividende!A$3:AM$103,20,FALSE)&lt;&gt;"",IF(VLOOKUP(A84,Ergebnis_je_Aktie_verwässert!A$3:AK$103,14,FALSE)&lt;&gt;"",IF(VLOOKUP(A84,Ergebnis_je_Aktie_verwässert!A$3:AK$103,14,FALSE)&lt;=0,2,IF(VLOOKUP(A84,Fiktive_Dividende!A$3:AM$103,20,FALSE)/VLOOKUP(A84,Ergebnis_je_Aktie_verwässert!A$3:AK$103,14,FALSE)&gt;=2,2,VLOOKUP(A84,Fiktive_Dividende!A$3:AM$103,20,FALSE)/VLOOKUP(A84,Ergebnis_je_Aktie_verwässert!A$3:AK$103,14,FALSE))),""),"")</f>
        <v>#N/A</v>
      </c>
      <c r="O84" s="71" t="e">
        <f>IF(VLOOKUP(A84,Fiktive_Dividende!A$3:AM$103,21,FALSE)&lt;&gt;"",IF(VLOOKUP(A84,Ergebnis_je_Aktie_verwässert!A$3:AK$103,15,FALSE)&lt;&gt;"",IF(VLOOKUP(A84,Ergebnis_je_Aktie_verwässert!A$3:AK$103,15,FALSE)&lt;=0,2,IF(VLOOKUP(A84,Fiktive_Dividende!A$3:AM$103,21,FALSE)/VLOOKUP(A84,Ergebnis_je_Aktie_verwässert!A$3:AK$103,15,FALSE)&gt;=2,2,VLOOKUP(A84,Fiktive_Dividende!A$3:AM$103,21,FALSE)/VLOOKUP(A84,Ergebnis_je_Aktie_verwässert!A$3:AK$103,15,FALSE))),""),"")</f>
        <v>#N/A</v>
      </c>
      <c r="P84" s="71" t="e">
        <f>IF(VLOOKUP(A84,Fiktive_Dividende!A$3:AM$103,22,FALSE)&lt;&gt;"",IF(VLOOKUP(A84,Ergebnis_je_Aktie_verwässert!A$3:AK$103,16,FALSE)&lt;&gt;"",IF(VLOOKUP(A84,Ergebnis_je_Aktie_verwässert!A$3:AK$103,16,FALSE)&lt;=0,2,IF(VLOOKUP(A84,Fiktive_Dividende!A$3:AM$103,22,FALSE)/VLOOKUP(A84,Ergebnis_je_Aktie_verwässert!A$3:AK$103,16,FALSE)&gt;=2,2,VLOOKUP(A84,Fiktive_Dividende!A$3:AM$103,22,FALSE)/VLOOKUP(A84,Ergebnis_je_Aktie_verwässert!A$3:AK$103,16,FALSE))),""),"")</f>
        <v>#N/A</v>
      </c>
      <c r="Q84" s="71" t="e">
        <f>IF(VLOOKUP(A84,Fiktive_Dividende!A$3:AM$103,23,FALSE)&lt;&gt;"",IF(VLOOKUP(A84,Ergebnis_je_Aktie_verwässert!A$3:AK$103,17,FALSE)&lt;&gt;"",IF(VLOOKUP(A84,Ergebnis_je_Aktie_verwässert!A$3:AK$103,17,FALSE)&lt;=0,2,IF(VLOOKUP(A84,Fiktive_Dividende!A$3:AM$103,23,FALSE)/VLOOKUP(A84,Ergebnis_je_Aktie_verwässert!A$3:AK$103,17,FALSE)&gt;=2,2,VLOOKUP(A84,Fiktive_Dividende!A$3:AM$103,23,FALSE)/VLOOKUP(A84,Ergebnis_je_Aktie_verwässert!A$3:AK$103,17,FALSE))),""),"")</f>
        <v>#N/A</v>
      </c>
      <c r="R84" s="71" t="e">
        <f>IF(VLOOKUP(A84,Fiktive_Dividende!A$3:AM$103,24,FALSE)&lt;&gt;"",IF(VLOOKUP(A84,Ergebnis_je_Aktie_verwässert!A$3:AK$103,18,FALSE)&lt;&gt;"",IF(VLOOKUP(A84,Ergebnis_je_Aktie_verwässert!A$3:AK$103,18,FALSE)&lt;=0,2,IF(VLOOKUP(A84,Fiktive_Dividende!A$3:AM$103,24,FALSE)/VLOOKUP(A84,Ergebnis_je_Aktie_verwässert!A$3:AK$103,18,FALSE)&gt;=2,2,VLOOKUP(A84,Fiktive_Dividende!A$3:AM$103,24,FALSE)/VLOOKUP(A84,Ergebnis_je_Aktie_verwässert!A$3:AK$103,18,FALSE))),""),"")</f>
        <v>#N/A</v>
      </c>
      <c r="S84" s="105" t="e">
        <f t="shared" si="14"/>
        <v>#N/A</v>
      </c>
      <c r="T84" s="71" t="e">
        <f>IF(VLOOKUP(A84,Dividende_je_Aktie!A$3:AM$103,6,FALSE)&lt;&gt;"",IF(VLOOKUP(A84,Ergebnis_je_Aktie_verwässert!A$3:AK$103,6,FALSE)&lt;&gt;"",IF(VLOOKUP(A84,Ergebnis_je_Aktie_verwässert!A$3:AK$103,6,FALSE)&lt;=0,2,IF(VLOOKUP(A84,Dividende_je_Aktie!A$3:AM$103,6,FALSE)/VLOOKUP(A84,Ergebnis_je_Aktie_verwässert!A$3:AK$103,6,FALSE)&gt;=2,2,VLOOKUP(A84,Dividende_je_Aktie!A$3:AM$103,6,FALSE)/VLOOKUP(A84,Ergebnis_je_Aktie_verwässert!A$3:AK$103,6,FALSE))),""),"")</f>
        <v>#N/A</v>
      </c>
      <c r="U84" s="71" t="e">
        <f>IF(VLOOKUP(A84,Dividende_je_Aktie!A$3:AM$103,7,FALSE)&lt;&gt;"",IF(VLOOKUP(A84,Ergebnis_je_Aktie_verwässert!A$3:AK$103,7,FALSE)&lt;&gt;"",IF(VLOOKUP(A84,Ergebnis_je_Aktie_verwässert!A$3:AK$103,7,FALSE)&lt;=0,2,IF(VLOOKUP(A84,Dividende_je_Aktie!A$3:AM$103,7,FALSE)/VLOOKUP(A84,Ergebnis_je_Aktie_verwässert!A$3:AK$103,7,FALSE)&gt;=2,2,VLOOKUP(A84,Dividende_je_Aktie!A$3:AM$103,7,FALSE)/VLOOKUP(A84,Ergebnis_je_Aktie_verwässert!A$3:AK$103,7,FALSE))),""),"")</f>
        <v>#N/A</v>
      </c>
      <c r="V84" s="71" t="e">
        <f>IF(VLOOKUP(A84,Dividende_je_Aktie!A$3:AM$103,8,FALSE)&lt;&gt;"",IF(VLOOKUP(A84,Ergebnis_je_Aktie_verwässert!A$3:AK$103,8,FALSE)&lt;&gt;"",IF(VLOOKUP(A84,Ergebnis_je_Aktie_verwässert!A$3:AK$103,8,FALSE)&lt;=0,2,IF(VLOOKUP(A84,Dividende_je_Aktie!A$3:AM$103,8,FALSE)/VLOOKUP(A84,Ergebnis_je_Aktie_verwässert!A$3:AK$103,8,FALSE)&gt;=2,2,VLOOKUP(A84,Dividende_je_Aktie!A$3:AM$103,8,FALSE)/VLOOKUP(A84,Ergebnis_je_Aktie_verwässert!A$3:AK$103,8,FALSE))),""),"")</f>
        <v>#N/A</v>
      </c>
      <c r="W84" s="71" t="e">
        <f>IF(VLOOKUP(A84,Dividende_je_Aktie!A$3:AM$103,9,FALSE)&lt;&gt;"",IF(VLOOKUP(A84,Ergebnis_je_Aktie_verwässert!A$3:AK$103,9,FALSE)&lt;&gt;"",IF(VLOOKUP(A84,Ergebnis_je_Aktie_verwässert!A$3:AK$103,9,FALSE)&lt;=0,2,IF(VLOOKUP(A84,Dividende_je_Aktie!A$3:AM$103,9,FALSE)/VLOOKUP(A84,Ergebnis_je_Aktie_verwässert!A$3:AK$103,9,FALSE)&gt;=2,2,VLOOKUP(A84,Dividende_je_Aktie!A$3:AM$103,9,FALSE)/VLOOKUP(A84,Ergebnis_je_Aktie_verwässert!A$3:AK$103,9,FALSE))),""),"")</f>
        <v>#N/A</v>
      </c>
      <c r="X84" s="71" t="e">
        <f>IF(VLOOKUP(A84,Dividende_je_Aktie!A$3:AM$103,10,FALSE)&lt;&gt;"",IF(VLOOKUP(A84,Ergebnis_je_Aktie_verwässert!A$3:AK$103,10,FALSE)&lt;&gt;"",IF(VLOOKUP(A84,Ergebnis_je_Aktie_verwässert!A$3:AK$103,10,FALSE)&lt;=0,2,IF(VLOOKUP(A84,Dividende_je_Aktie!A$3:AM$103,10,FALSE)/VLOOKUP(A84,Ergebnis_je_Aktie_verwässert!A$3:AK$103,10,FALSE)&gt;=2,2,VLOOKUP(A84,Dividende_je_Aktie!A$3:AM$103,10,FALSE)/VLOOKUP(A84,Ergebnis_je_Aktie_verwässert!A$3:AK$103,10,FALSE))),""),"")</f>
        <v>#N/A</v>
      </c>
      <c r="Y84" s="71" t="e">
        <f>IF(VLOOKUP(A84,Dividende_je_Aktie!A$3:AM$103,11,FALSE)&lt;&gt;"",IF(VLOOKUP(A84,Ergebnis_je_Aktie_verwässert!A$3:AK$103,11,FALSE)&lt;&gt;"",IF(VLOOKUP(A84,Ergebnis_je_Aktie_verwässert!A$3:AK$103,11,FALSE)&lt;=0,2,IF(VLOOKUP(A84,Dividende_je_Aktie!A$3:AM$103,11,FALSE)/VLOOKUP(A84,Ergebnis_je_Aktie_verwässert!A$3:AK$103,11,FALSE)&gt;=2,2,VLOOKUP(A84,Dividende_je_Aktie!A$3:AM$103,11,FALSE)/VLOOKUP(A84,Ergebnis_je_Aktie_verwässert!A$3:AK$103,11,FALSE))),""),"")</f>
        <v>#N/A</v>
      </c>
      <c r="Z84" s="71" t="e">
        <f>IF(VLOOKUP(A84,Dividende_je_Aktie!A$3:AM$103,12,FALSE)&lt;&gt;"",IF(VLOOKUP(A84,Ergebnis_je_Aktie_verwässert!A$3:AK$103,12,FALSE)&lt;&gt;"",IF(VLOOKUP(A84,Ergebnis_je_Aktie_verwässert!A$3:AK$103,12,FALSE)&lt;=0,2,IF(VLOOKUP(A84,Dividende_je_Aktie!A$3:AM$103,12,FALSE)/VLOOKUP(A84,Ergebnis_je_Aktie_verwässert!A$3:AK$103,12,FALSE)&gt;=2,2,VLOOKUP(A84,Dividende_je_Aktie!A$3:AM$103,12,FALSE)/VLOOKUP(A84,Ergebnis_je_Aktie_verwässert!A$3:AK$103,12,FALSE))),""),"")</f>
        <v>#N/A</v>
      </c>
      <c r="AA84" s="71" t="e">
        <f>IF(VLOOKUP(A84,Dividende_je_Aktie!A$3:AM$103,13,FALSE)&lt;&gt;"",IF(VLOOKUP(A84,Ergebnis_je_Aktie_verwässert!A$3:AK$103,13,FALSE)&lt;&gt;"",IF(VLOOKUP(A84,Ergebnis_je_Aktie_verwässert!A$3:AK$103,13,FALSE)&lt;=0,2,IF(VLOOKUP(A84,Dividende_je_Aktie!A$3:AM$103,13,FALSE)/VLOOKUP(A84,Ergebnis_je_Aktie_verwässert!A$3:AK$103,13,FALSE)&gt;=2,2,VLOOKUP(A84,Dividende_je_Aktie!A$3:AM$103,13,FALSE)/VLOOKUP(A84,Ergebnis_je_Aktie_verwässert!A$3:AK$103,13,FALSE))),""),"")</f>
        <v>#N/A</v>
      </c>
      <c r="AB84" s="71" t="e">
        <f>IF(VLOOKUP(A84,Dividende_je_Aktie!A$3:AM$103,14,FALSE)&lt;&gt;"",IF(VLOOKUP(A84,Ergebnis_je_Aktie_verwässert!A$3:AK$103,14,FALSE)&lt;&gt;"",IF(VLOOKUP(A84,Ergebnis_je_Aktie_verwässert!A$3:AK$103,14,FALSE)&lt;=0,2,IF(VLOOKUP(A84,Dividende_je_Aktie!A$3:AM$103,14,FALSE)/VLOOKUP(A84,Ergebnis_je_Aktie_verwässert!A$3:AK$103,14,FALSE)&gt;=2,2,VLOOKUP(A84,Dividende_je_Aktie!A$3:AM$103,14,FALSE)/VLOOKUP(A84,Ergebnis_je_Aktie_verwässert!A$3:AK$103,14,FALSE))),""),"")</f>
        <v>#N/A</v>
      </c>
      <c r="AC84" s="71" t="e">
        <f>IF(VLOOKUP(A84,Dividende_je_Aktie!A$3:AM$103,15,FALSE)&lt;&gt;"",IF(VLOOKUP(A84,Ergebnis_je_Aktie_verwässert!A$3:AK$103,15,FALSE)&lt;&gt;"",IF(VLOOKUP(A84,Ergebnis_je_Aktie_verwässert!A$3:AK$103,15,FALSE)&lt;=0,2,IF(VLOOKUP(A84,Dividende_je_Aktie!A$3:AM$103,15,FALSE)/VLOOKUP(A84,Ergebnis_je_Aktie_verwässert!A$3:AK$103,15,FALSE)&gt;=2,2,VLOOKUP(A84,Dividende_je_Aktie!A$3:AM$103,15,FALSE)/VLOOKUP(A84,Ergebnis_je_Aktie_verwässert!A$3:AK$103,15,FALSE))),""),"")</f>
        <v>#N/A</v>
      </c>
      <c r="AD84" s="71" t="e">
        <f>IF(VLOOKUP(A84,Dividende_je_Aktie!A$3:AM$103,16,FALSE)&lt;&gt;"",IF(VLOOKUP(A84,Ergebnis_je_Aktie_verwässert!A$3:AK$103,16,FALSE)&lt;&gt;"",IF(VLOOKUP(A84,Ergebnis_je_Aktie_verwässert!A$3:AK$103,16,FALSE)&lt;=0,2,IF(VLOOKUP(A84,Dividende_je_Aktie!A$3:AM$103,16,FALSE)/VLOOKUP(A84,Ergebnis_je_Aktie_verwässert!A$3:AK$103,16,FALSE)&gt;=2,2,VLOOKUP(A84,Dividende_je_Aktie!A$3:AM$103,16,FALSE)/VLOOKUP(A84,Ergebnis_je_Aktie_verwässert!A$3:AK$103,16,FALSE))),""),"")</f>
        <v>#N/A</v>
      </c>
      <c r="AE84" s="71" t="e">
        <f>IF(VLOOKUP(A84,Dividende_je_Aktie!A$3:AM$103,17,FALSE)&lt;&gt;"",IF(VLOOKUP(A84,Ergebnis_je_Aktie_verwässert!A$3:AK$103,17,FALSE)&lt;&gt;"",IF(VLOOKUP(A84,Ergebnis_je_Aktie_verwässert!A$3:AK$103,17,FALSE)&lt;=0,2,IF(VLOOKUP(A84,Dividende_je_Aktie!A$3:AM$103,17,FALSE)/VLOOKUP(A84,Ergebnis_je_Aktie_verwässert!A$3:AK$103,17,FALSE)&gt;=2,2,VLOOKUP(A84,Dividende_je_Aktie!A$3:AM$103,17,FALSE)/VLOOKUP(A84,Ergebnis_je_Aktie_verwässert!A$3:AK$103,17,FALSE))),""),"")</f>
        <v>#N/A</v>
      </c>
      <c r="AF84" s="71" t="e">
        <f>IF(VLOOKUP(A84,Dividende_je_Aktie!A$3:AM$103,18,FALSE)&lt;&gt;"",IF(VLOOKUP(A84,Ergebnis_je_Aktie_verwässert!A$3:AK$103,18,FALSE)&lt;&gt;"",IF(VLOOKUP(A84,Ergebnis_je_Aktie_verwässert!A$3:AK$103,18,FALSE)&lt;=0,2,IF(VLOOKUP(A84,Dividende_je_Aktie!A$3:AM$103,18,FALSE)/VLOOKUP(A84,Ergebnis_je_Aktie_verwässert!A$3:AK$103,18,FALSE)&gt;=2,2,VLOOKUP(A84,Dividende_je_Aktie!A$3:AM$103,18,FALSE)/VLOOKUP(A84,Ergebnis_je_Aktie_verwässert!A$3:AK$103,18,FALSE))),""),"")</f>
        <v>#N/A</v>
      </c>
      <c r="AG84" s="105" t="e">
        <f t="shared" si="15"/>
        <v>#N/A</v>
      </c>
      <c r="AH84" s="4">
        <f t="shared" ca="1" si="16"/>
        <v>41899</v>
      </c>
      <c r="AI84" s="4">
        <f t="shared" ca="1" si="17"/>
        <v>-41539</v>
      </c>
      <c r="AJ84" s="4" t="e">
        <f t="shared" ca="1" si="18"/>
        <v>#NUM!</v>
      </c>
      <c r="AK84" s="10" t="e">
        <f t="shared" ca="1" si="19"/>
        <v>#N/A</v>
      </c>
      <c r="AL84" s="5" t="e">
        <f t="shared" si="20"/>
        <v>#N/A</v>
      </c>
    </row>
    <row r="85" spans="3:38">
      <c r="C85" s="60"/>
      <c r="D85" s="60"/>
      <c r="E85" s="60"/>
      <c r="F85" s="71" t="e">
        <f>IF(VLOOKUP(A85,Dividende_je_Aktie!A$3:AM$103,6,FALSE)&lt;&gt;"",IF(VLOOKUP(A85,Ergebnis_je_Aktie_verwässert!A$3:AK$103,6,FALSE)&lt;&gt;"",IF(VLOOKUP(A85,Ergebnis_je_Aktie_verwässert!A$3:AK$103,6,FALSE)&lt;=0,2,IF(VLOOKUP(A85,Dividende_je_Aktie!A$3:AM$103,6,FALSE)/VLOOKUP(A85,Ergebnis_je_Aktie_verwässert!A$3:AK$103,6,FALSE)&gt;=2,2,VLOOKUP(A85,Dividende_je_Aktie!A$3:AM$103,6,FALSE)/VLOOKUP(A85,Ergebnis_je_Aktie_verwässert!A$3:AK$103,6,FALSE))),""),"")</f>
        <v>#N/A</v>
      </c>
      <c r="G85" s="71" t="e">
        <f>IF(VLOOKUP(A85,Dividende_je_Aktie!A$3:AM$103,7,FALSE)&lt;&gt;"",IF(VLOOKUP(A85,Ergebnis_je_Aktie_verwässert!A$3:AK$103,7,FALSE)&lt;&gt;"",IF(VLOOKUP(A85,Ergebnis_je_Aktie_verwässert!A$3:AK$103,7,FALSE)&lt;=0,2,IF(VLOOKUP(A85,Dividende_je_Aktie!A$3:AM$103,7,FALSE)/VLOOKUP(A85,Ergebnis_je_Aktie_verwässert!A$3:AK$103,7,FALSE)&gt;=2,2,VLOOKUP(A85,Dividende_je_Aktie!A$3:AM$103,7,FALSE)/VLOOKUP(A85,Ergebnis_je_Aktie_verwässert!A$3:AK$103,7,FALSE))),""),"")</f>
        <v>#N/A</v>
      </c>
      <c r="H85" s="71" t="e">
        <f>IF(VLOOKUP(A85,Fiktive_Dividende!A$3:AM$103,14,FALSE)&lt;&gt;"",IF(VLOOKUP(A85,Ergebnis_je_Aktie_verwässert!A$3:AK$103,8,FALSE)&lt;&gt;"",IF(VLOOKUP(A85,Ergebnis_je_Aktie_verwässert!A$3:AK$103,8,FALSE)&lt;=0,2,IF(VLOOKUP(A85,Fiktive_Dividende!A$3:AM$103,14,FALSE)/VLOOKUP(A85,Ergebnis_je_Aktie_verwässert!A$3:AK$103,8,FALSE)&gt;=2,2,VLOOKUP(A85,Fiktive_Dividende!A$3:AM$103,14,FALSE)/VLOOKUP(A85,Ergebnis_je_Aktie_verwässert!A$3:AK$103,8,FALSE))),""),"")</f>
        <v>#N/A</v>
      </c>
      <c r="I85" s="71" t="e">
        <f>IF(VLOOKUP(A85,Fiktive_Dividende!A$3:AM$103,15,FALSE)&lt;&gt;"",IF(VLOOKUP(A85,Ergebnis_je_Aktie_verwässert!A$3:AK$103,9,FALSE)&lt;&gt;"",IF(VLOOKUP(A85,Ergebnis_je_Aktie_verwässert!A$3:AK$103,9,FALSE)&lt;=0,2,IF(VLOOKUP(A85,Fiktive_Dividende!A$3:AM$103,15,FALSE)/VLOOKUP(A85,Ergebnis_je_Aktie_verwässert!A$3:AK$103,9,FALSE)&gt;=2,2,VLOOKUP(A85,Fiktive_Dividende!A$3:AM$103,15,FALSE)/VLOOKUP(A85,Ergebnis_je_Aktie_verwässert!A$3:AK$103,9,FALSE))),""),"")</f>
        <v>#N/A</v>
      </c>
      <c r="J85" s="71" t="e">
        <f>IF(VLOOKUP(A85,Fiktive_Dividende!A$3:AM$103,16,FALSE)&lt;&gt;"",IF(VLOOKUP(A85,Ergebnis_je_Aktie_verwässert!A$3:AK$103,10,FALSE)&lt;&gt;"",IF(VLOOKUP(A85,Ergebnis_je_Aktie_verwässert!A$3:AK$103,10,FALSE)&lt;=0,2,IF(VLOOKUP(A85,Fiktive_Dividende!A$3:AM$103,16,FALSE)/VLOOKUP(A85,Ergebnis_je_Aktie_verwässert!A$3:AK$103,10,FALSE)&gt;=2,2,VLOOKUP(A85,Fiktive_Dividende!A$3:AM$103,16,FALSE)/VLOOKUP(A85,Ergebnis_je_Aktie_verwässert!A$3:AK$103,10,FALSE))),""),"")</f>
        <v>#N/A</v>
      </c>
      <c r="K85" s="71" t="e">
        <f>IF(VLOOKUP(A85,Fiktive_Dividende!A$3:AM$103,17,FALSE)&lt;&gt;"",IF(VLOOKUP(A85,Ergebnis_je_Aktie_verwässert!A$3:AK$103,11,FALSE)&lt;&gt;"",IF(VLOOKUP(A85,Ergebnis_je_Aktie_verwässert!A$3:AK$103,11,FALSE)&lt;=0,2,IF(VLOOKUP(A85,Fiktive_Dividende!A$3:AM$103,17,FALSE)/VLOOKUP(A85,Ergebnis_je_Aktie_verwässert!A$3:AK$103,11,FALSE)&gt;=2,2,VLOOKUP(A85,Fiktive_Dividende!A$3:AM$103,17,FALSE)/VLOOKUP(A85,Ergebnis_je_Aktie_verwässert!A$3:AK$103,11,FALSE))),""),"")</f>
        <v>#N/A</v>
      </c>
      <c r="L85" s="71" t="e">
        <f>IF(VLOOKUP(A85,Fiktive_Dividende!A$3:AM$103,18,FALSE)&lt;&gt;"",IF(VLOOKUP(A85,Ergebnis_je_Aktie_verwässert!A$3:AK$103,12,FALSE)&lt;&gt;"",IF(VLOOKUP(A85,Ergebnis_je_Aktie_verwässert!A$3:AK$103,12,FALSE)&lt;=0,2,IF(VLOOKUP(A85,Fiktive_Dividende!A$3:AM$103,18,FALSE)/VLOOKUP(A85,Ergebnis_je_Aktie_verwässert!A$3:AK$103,12,FALSE)&gt;=2,2,VLOOKUP(A85,Fiktive_Dividende!A$3:AM$103,18,FALSE)/VLOOKUP(A85,Ergebnis_je_Aktie_verwässert!A$3:AK$103,12,FALSE))),""),"")</f>
        <v>#N/A</v>
      </c>
      <c r="M85" s="71" t="e">
        <f>IF(VLOOKUP(A85,Fiktive_Dividende!A$3:AM$103,19,FALSE)&lt;&gt;"",IF(VLOOKUP(A85,Ergebnis_je_Aktie_verwässert!A$3:AK$103,13,FALSE)&lt;&gt;"",IF(VLOOKUP(A85,Ergebnis_je_Aktie_verwässert!A$3:AK$103,13,FALSE)&lt;=0,2,IF(VLOOKUP(A85,Fiktive_Dividende!A$3:AM$103,19,FALSE)/VLOOKUP(A85,Ergebnis_je_Aktie_verwässert!A$3:AK$103,13,FALSE)&gt;=2,2,VLOOKUP(A85,Fiktive_Dividende!A$3:AM$103,19,FALSE)/VLOOKUP(A85,Ergebnis_je_Aktie_verwässert!A$3:AK$103,13,FALSE))),""),"")</f>
        <v>#N/A</v>
      </c>
      <c r="N85" s="71" t="e">
        <f>IF(VLOOKUP(A85,Fiktive_Dividende!A$3:AM$103,20,FALSE)&lt;&gt;"",IF(VLOOKUP(A85,Ergebnis_je_Aktie_verwässert!A$3:AK$103,14,FALSE)&lt;&gt;"",IF(VLOOKUP(A85,Ergebnis_je_Aktie_verwässert!A$3:AK$103,14,FALSE)&lt;=0,2,IF(VLOOKUP(A85,Fiktive_Dividende!A$3:AM$103,20,FALSE)/VLOOKUP(A85,Ergebnis_je_Aktie_verwässert!A$3:AK$103,14,FALSE)&gt;=2,2,VLOOKUP(A85,Fiktive_Dividende!A$3:AM$103,20,FALSE)/VLOOKUP(A85,Ergebnis_je_Aktie_verwässert!A$3:AK$103,14,FALSE))),""),"")</f>
        <v>#N/A</v>
      </c>
      <c r="O85" s="71" t="e">
        <f>IF(VLOOKUP(A85,Fiktive_Dividende!A$3:AM$103,21,FALSE)&lt;&gt;"",IF(VLOOKUP(A85,Ergebnis_je_Aktie_verwässert!A$3:AK$103,15,FALSE)&lt;&gt;"",IF(VLOOKUP(A85,Ergebnis_je_Aktie_verwässert!A$3:AK$103,15,FALSE)&lt;=0,2,IF(VLOOKUP(A85,Fiktive_Dividende!A$3:AM$103,21,FALSE)/VLOOKUP(A85,Ergebnis_je_Aktie_verwässert!A$3:AK$103,15,FALSE)&gt;=2,2,VLOOKUP(A85,Fiktive_Dividende!A$3:AM$103,21,FALSE)/VLOOKUP(A85,Ergebnis_je_Aktie_verwässert!A$3:AK$103,15,FALSE))),""),"")</f>
        <v>#N/A</v>
      </c>
      <c r="P85" s="71" t="e">
        <f>IF(VLOOKUP(A85,Fiktive_Dividende!A$3:AM$103,22,FALSE)&lt;&gt;"",IF(VLOOKUP(A85,Ergebnis_je_Aktie_verwässert!A$3:AK$103,16,FALSE)&lt;&gt;"",IF(VLOOKUP(A85,Ergebnis_je_Aktie_verwässert!A$3:AK$103,16,FALSE)&lt;=0,2,IF(VLOOKUP(A85,Fiktive_Dividende!A$3:AM$103,22,FALSE)/VLOOKUP(A85,Ergebnis_je_Aktie_verwässert!A$3:AK$103,16,FALSE)&gt;=2,2,VLOOKUP(A85,Fiktive_Dividende!A$3:AM$103,22,FALSE)/VLOOKUP(A85,Ergebnis_je_Aktie_verwässert!A$3:AK$103,16,FALSE))),""),"")</f>
        <v>#N/A</v>
      </c>
      <c r="Q85" s="71" t="e">
        <f>IF(VLOOKUP(A85,Fiktive_Dividende!A$3:AM$103,23,FALSE)&lt;&gt;"",IF(VLOOKUP(A85,Ergebnis_je_Aktie_verwässert!A$3:AK$103,17,FALSE)&lt;&gt;"",IF(VLOOKUP(A85,Ergebnis_je_Aktie_verwässert!A$3:AK$103,17,FALSE)&lt;=0,2,IF(VLOOKUP(A85,Fiktive_Dividende!A$3:AM$103,23,FALSE)/VLOOKUP(A85,Ergebnis_je_Aktie_verwässert!A$3:AK$103,17,FALSE)&gt;=2,2,VLOOKUP(A85,Fiktive_Dividende!A$3:AM$103,23,FALSE)/VLOOKUP(A85,Ergebnis_je_Aktie_verwässert!A$3:AK$103,17,FALSE))),""),"")</f>
        <v>#N/A</v>
      </c>
      <c r="R85" s="71" t="e">
        <f>IF(VLOOKUP(A85,Fiktive_Dividende!A$3:AM$103,24,FALSE)&lt;&gt;"",IF(VLOOKUP(A85,Ergebnis_je_Aktie_verwässert!A$3:AK$103,18,FALSE)&lt;&gt;"",IF(VLOOKUP(A85,Ergebnis_je_Aktie_verwässert!A$3:AK$103,18,FALSE)&lt;=0,2,IF(VLOOKUP(A85,Fiktive_Dividende!A$3:AM$103,24,FALSE)/VLOOKUP(A85,Ergebnis_je_Aktie_verwässert!A$3:AK$103,18,FALSE)&gt;=2,2,VLOOKUP(A85,Fiktive_Dividende!A$3:AM$103,24,FALSE)/VLOOKUP(A85,Ergebnis_je_Aktie_verwässert!A$3:AK$103,18,FALSE))),""),"")</f>
        <v>#N/A</v>
      </c>
      <c r="S85" s="105" t="e">
        <f t="shared" si="14"/>
        <v>#N/A</v>
      </c>
      <c r="T85" s="71" t="e">
        <f>IF(VLOOKUP(A85,Dividende_je_Aktie!A$3:AM$103,6,FALSE)&lt;&gt;"",IF(VLOOKUP(A85,Ergebnis_je_Aktie_verwässert!A$3:AK$103,6,FALSE)&lt;&gt;"",IF(VLOOKUP(A85,Ergebnis_je_Aktie_verwässert!A$3:AK$103,6,FALSE)&lt;=0,2,IF(VLOOKUP(A85,Dividende_je_Aktie!A$3:AM$103,6,FALSE)/VLOOKUP(A85,Ergebnis_je_Aktie_verwässert!A$3:AK$103,6,FALSE)&gt;=2,2,VLOOKUP(A85,Dividende_je_Aktie!A$3:AM$103,6,FALSE)/VLOOKUP(A85,Ergebnis_je_Aktie_verwässert!A$3:AK$103,6,FALSE))),""),"")</f>
        <v>#N/A</v>
      </c>
      <c r="U85" s="71" t="e">
        <f>IF(VLOOKUP(A85,Dividende_je_Aktie!A$3:AM$103,7,FALSE)&lt;&gt;"",IF(VLOOKUP(A85,Ergebnis_je_Aktie_verwässert!A$3:AK$103,7,FALSE)&lt;&gt;"",IF(VLOOKUP(A85,Ergebnis_je_Aktie_verwässert!A$3:AK$103,7,FALSE)&lt;=0,2,IF(VLOOKUP(A85,Dividende_je_Aktie!A$3:AM$103,7,FALSE)/VLOOKUP(A85,Ergebnis_je_Aktie_verwässert!A$3:AK$103,7,FALSE)&gt;=2,2,VLOOKUP(A85,Dividende_je_Aktie!A$3:AM$103,7,FALSE)/VLOOKUP(A85,Ergebnis_je_Aktie_verwässert!A$3:AK$103,7,FALSE))),""),"")</f>
        <v>#N/A</v>
      </c>
      <c r="V85" s="71" t="e">
        <f>IF(VLOOKUP(A85,Dividende_je_Aktie!A$3:AM$103,8,FALSE)&lt;&gt;"",IF(VLOOKUP(A85,Ergebnis_je_Aktie_verwässert!A$3:AK$103,8,FALSE)&lt;&gt;"",IF(VLOOKUP(A85,Ergebnis_je_Aktie_verwässert!A$3:AK$103,8,FALSE)&lt;=0,2,IF(VLOOKUP(A85,Dividende_je_Aktie!A$3:AM$103,8,FALSE)/VLOOKUP(A85,Ergebnis_je_Aktie_verwässert!A$3:AK$103,8,FALSE)&gt;=2,2,VLOOKUP(A85,Dividende_je_Aktie!A$3:AM$103,8,FALSE)/VLOOKUP(A85,Ergebnis_je_Aktie_verwässert!A$3:AK$103,8,FALSE))),""),"")</f>
        <v>#N/A</v>
      </c>
      <c r="W85" s="71" t="e">
        <f>IF(VLOOKUP(A85,Dividende_je_Aktie!A$3:AM$103,9,FALSE)&lt;&gt;"",IF(VLOOKUP(A85,Ergebnis_je_Aktie_verwässert!A$3:AK$103,9,FALSE)&lt;&gt;"",IF(VLOOKUP(A85,Ergebnis_je_Aktie_verwässert!A$3:AK$103,9,FALSE)&lt;=0,2,IF(VLOOKUP(A85,Dividende_je_Aktie!A$3:AM$103,9,FALSE)/VLOOKUP(A85,Ergebnis_je_Aktie_verwässert!A$3:AK$103,9,FALSE)&gt;=2,2,VLOOKUP(A85,Dividende_je_Aktie!A$3:AM$103,9,FALSE)/VLOOKUP(A85,Ergebnis_je_Aktie_verwässert!A$3:AK$103,9,FALSE))),""),"")</f>
        <v>#N/A</v>
      </c>
      <c r="X85" s="71" t="e">
        <f>IF(VLOOKUP(A85,Dividende_je_Aktie!A$3:AM$103,10,FALSE)&lt;&gt;"",IF(VLOOKUP(A85,Ergebnis_je_Aktie_verwässert!A$3:AK$103,10,FALSE)&lt;&gt;"",IF(VLOOKUP(A85,Ergebnis_je_Aktie_verwässert!A$3:AK$103,10,FALSE)&lt;=0,2,IF(VLOOKUP(A85,Dividende_je_Aktie!A$3:AM$103,10,FALSE)/VLOOKUP(A85,Ergebnis_je_Aktie_verwässert!A$3:AK$103,10,FALSE)&gt;=2,2,VLOOKUP(A85,Dividende_je_Aktie!A$3:AM$103,10,FALSE)/VLOOKUP(A85,Ergebnis_je_Aktie_verwässert!A$3:AK$103,10,FALSE))),""),"")</f>
        <v>#N/A</v>
      </c>
      <c r="Y85" s="71" t="e">
        <f>IF(VLOOKUP(A85,Dividende_je_Aktie!A$3:AM$103,11,FALSE)&lt;&gt;"",IF(VLOOKUP(A85,Ergebnis_je_Aktie_verwässert!A$3:AK$103,11,FALSE)&lt;&gt;"",IF(VLOOKUP(A85,Ergebnis_je_Aktie_verwässert!A$3:AK$103,11,FALSE)&lt;=0,2,IF(VLOOKUP(A85,Dividende_je_Aktie!A$3:AM$103,11,FALSE)/VLOOKUP(A85,Ergebnis_je_Aktie_verwässert!A$3:AK$103,11,FALSE)&gt;=2,2,VLOOKUP(A85,Dividende_je_Aktie!A$3:AM$103,11,FALSE)/VLOOKUP(A85,Ergebnis_je_Aktie_verwässert!A$3:AK$103,11,FALSE))),""),"")</f>
        <v>#N/A</v>
      </c>
      <c r="Z85" s="71" t="e">
        <f>IF(VLOOKUP(A85,Dividende_je_Aktie!A$3:AM$103,12,FALSE)&lt;&gt;"",IF(VLOOKUP(A85,Ergebnis_je_Aktie_verwässert!A$3:AK$103,12,FALSE)&lt;&gt;"",IF(VLOOKUP(A85,Ergebnis_je_Aktie_verwässert!A$3:AK$103,12,FALSE)&lt;=0,2,IF(VLOOKUP(A85,Dividende_je_Aktie!A$3:AM$103,12,FALSE)/VLOOKUP(A85,Ergebnis_je_Aktie_verwässert!A$3:AK$103,12,FALSE)&gt;=2,2,VLOOKUP(A85,Dividende_je_Aktie!A$3:AM$103,12,FALSE)/VLOOKUP(A85,Ergebnis_je_Aktie_verwässert!A$3:AK$103,12,FALSE))),""),"")</f>
        <v>#N/A</v>
      </c>
      <c r="AA85" s="71" t="e">
        <f>IF(VLOOKUP(A85,Dividende_je_Aktie!A$3:AM$103,13,FALSE)&lt;&gt;"",IF(VLOOKUP(A85,Ergebnis_je_Aktie_verwässert!A$3:AK$103,13,FALSE)&lt;&gt;"",IF(VLOOKUP(A85,Ergebnis_je_Aktie_verwässert!A$3:AK$103,13,FALSE)&lt;=0,2,IF(VLOOKUP(A85,Dividende_je_Aktie!A$3:AM$103,13,FALSE)/VLOOKUP(A85,Ergebnis_je_Aktie_verwässert!A$3:AK$103,13,FALSE)&gt;=2,2,VLOOKUP(A85,Dividende_je_Aktie!A$3:AM$103,13,FALSE)/VLOOKUP(A85,Ergebnis_je_Aktie_verwässert!A$3:AK$103,13,FALSE))),""),"")</f>
        <v>#N/A</v>
      </c>
      <c r="AB85" s="71" t="e">
        <f>IF(VLOOKUP(A85,Dividende_je_Aktie!A$3:AM$103,14,FALSE)&lt;&gt;"",IF(VLOOKUP(A85,Ergebnis_je_Aktie_verwässert!A$3:AK$103,14,FALSE)&lt;&gt;"",IF(VLOOKUP(A85,Ergebnis_je_Aktie_verwässert!A$3:AK$103,14,FALSE)&lt;=0,2,IF(VLOOKUP(A85,Dividende_je_Aktie!A$3:AM$103,14,FALSE)/VLOOKUP(A85,Ergebnis_je_Aktie_verwässert!A$3:AK$103,14,FALSE)&gt;=2,2,VLOOKUP(A85,Dividende_je_Aktie!A$3:AM$103,14,FALSE)/VLOOKUP(A85,Ergebnis_je_Aktie_verwässert!A$3:AK$103,14,FALSE))),""),"")</f>
        <v>#N/A</v>
      </c>
      <c r="AC85" s="71" t="e">
        <f>IF(VLOOKUP(A85,Dividende_je_Aktie!A$3:AM$103,15,FALSE)&lt;&gt;"",IF(VLOOKUP(A85,Ergebnis_je_Aktie_verwässert!A$3:AK$103,15,FALSE)&lt;&gt;"",IF(VLOOKUP(A85,Ergebnis_je_Aktie_verwässert!A$3:AK$103,15,FALSE)&lt;=0,2,IF(VLOOKUP(A85,Dividende_je_Aktie!A$3:AM$103,15,FALSE)/VLOOKUP(A85,Ergebnis_je_Aktie_verwässert!A$3:AK$103,15,FALSE)&gt;=2,2,VLOOKUP(A85,Dividende_je_Aktie!A$3:AM$103,15,FALSE)/VLOOKUP(A85,Ergebnis_je_Aktie_verwässert!A$3:AK$103,15,FALSE))),""),"")</f>
        <v>#N/A</v>
      </c>
      <c r="AD85" s="71" t="e">
        <f>IF(VLOOKUP(A85,Dividende_je_Aktie!A$3:AM$103,16,FALSE)&lt;&gt;"",IF(VLOOKUP(A85,Ergebnis_je_Aktie_verwässert!A$3:AK$103,16,FALSE)&lt;&gt;"",IF(VLOOKUP(A85,Ergebnis_je_Aktie_verwässert!A$3:AK$103,16,FALSE)&lt;=0,2,IF(VLOOKUP(A85,Dividende_je_Aktie!A$3:AM$103,16,FALSE)/VLOOKUP(A85,Ergebnis_je_Aktie_verwässert!A$3:AK$103,16,FALSE)&gt;=2,2,VLOOKUP(A85,Dividende_je_Aktie!A$3:AM$103,16,FALSE)/VLOOKUP(A85,Ergebnis_je_Aktie_verwässert!A$3:AK$103,16,FALSE))),""),"")</f>
        <v>#N/A</v>
      </c>
      <c r="AE85" s="71" t="e">
        <f>IF(VLOOKUP(A85,Dividende_je_Aktie!A$3:AM$103,17,FALSE)&lt;&gt;"",IF(VLOOKUP(A85,Ergebnis_je_Aktie_verwässert!A$3:AK$103,17,FALSE)&lt;&gt;"",IF(VLOOKUP(A85,Ergebnis_je_Aktie_verwässert!A$3:AK$103,17,FALSE)&lt;=0,2,IF(VLOOKUP(A85,Dividende_je_Aktie!A$3:AM$103,17,FALSE)/VLOOKUP(A85,Ergebnis_je_Aktie_verwässert!A$3:AK$103,17,FALSE)&gt;=2,2,VLOOKUP(A85,Dividende_je_Aktie!A$3:AM$103,17,FALSE)/VLOOKUP(A85,Ergebnis_je_Aktie_verwässert!A$3:AK$103,17,FALSE))),""),"")</f>
        <v>#N/A</v>
      </c>
      <c r="AF85" s="71" t="e">
        <f>IF(VLOOKUP(A85,Dividende_je_Aktie!A$3:AM$103,18,FALSE)&lt;&gt;"",IF(VLOOKUP(A85,Ergebnis_je_Aktie_verwässert!A$3:AK$103,18,FALSE)&lt;&gt;"",IF(VLOOKUP(A85,Ergebnis_je_Aktie_verwässert!A$3:AK$103,18,FALSE)&lt;=0,2,IF(VLOOKUP(A85,Dividende_je_Aktie!A$3:AM$103,18,FALSE)/VLOOKUP(A85,Ergebnis_je_Aktie_verwässert!A$3:AK$103,18,FALSE)&gt;=2,2,VLOOKUP(A85,Dividende_je_Aktie!A$3:AM$103,18,FALSE)/VLOOKUP(A85,Ergebnis_je_Aktie_verwässert!A$3:AK$103,18,FALSE))),""),"")</f>
        <v>#N/A</v>
      </c>
      <c r="AG85" s="105" t="e">
        <f t="shared" si="15"/>
        <v>#N/A</v>
      </c>
      <c r="AH85" s="4">
        <f t="shared" ca="1" si="16"/>
        <v>41899</v>
      </c>
      <c r="AI85" s="4">
        <f t="shared" ca="1" si="17"/>
        <v>-41539</v>
      </c>
      <c r="AJ85" s="4" t="e">
        <f t="shared" ca="1" si="18"/>
        <v>#NUM!</v>
      </c>
      <c r="AK85" s="10" t="e">
        <f t="shared" ca="1" si="19"/>
        <v>#N/A</v>
      </c>
      <c r="AL85" s="5" t="e">
        <f t="shared" si="20"/>
        <v>#N/A</v>
      </c>
    </row>
    <row r="86" spans="3:38">
      <c r="C86" s="60"/>
      <c r="D86" s="60"/>
      <c r="E86" s="60"/>
      <c r="F86" s="71" t="e">
        <f>IF(VLOOKUP(A86,Dividende_je_Aktie!A$3:AM$103,6,FALSE)&lt;&gt;"",IF(VLOOKUP(A86,Ergebnis_je_Aktie_verwässert!A$3:AK$103,6,FALSE)&lt;&gt;"",IF(VLOOKUP(A86,Ergebnis_je_Aktie_verwässert!A$3:AK$103,6,FALSE)&lt;=0,2,IF(VLOOKUP(A86,Dividende_je_Aktie!A$3:AM$103,6,FALSE)/VLOOKUP(A86,Ergebnis_je_Aktie_verwässert!A$3:AK$103,6,FALSE)&gt;=2,2,VLOOKUP(A86,Dividende_je_Aktie!A$3:AM$103,6,FALSE)/VLOOKUP(A86,Ergebnis_je_Aktie_verwässert!A$3:AK$103,6,FALSE))),""),"")</f>
        <v>#N/A</v>
      </c>
      <c r="G86" s="71" t="e">
        <f>IF(VLOOKUP(A86,Dividende_je_Aktie!A$3:AM$103,7,FALSE)&lt;&gt;"",IF(VLOOKUP(A86,Ergebnis_je_Aktie_verwässert!A$3:AK$103,7,FALSE)&lt;&gt;"",IF(VLOOKUP(A86,Ergebnis_je_Aktie_verwässert!A$3:AK$103,7,FALSE)&lt;=0,2,IF(VLOOKUP(A86,Dividende_je_Aktie!A$3:AM$103,7,FALSE)/VLOOKUP(A86,Ergebnis_je_Aktie_verwässert!A$3:AK$103,7,FALSE)&gt;=2,2,VLOOKUP(A86,Dividende_je_Aktie!A$3:AM$103,7,FALSE)/VLOOKUP(A86,Ergebnis_je_Aktie_verwässert!A$3:AK$103,7,FALSE))),""),"")</f>
        <v>#N/A</v>
      </c>
      <c r="H86" s="71" t="e">
        <f>IF(VLOOKUP(A86,Fiktive_Dividende!A$3:AM$103,14,FALSE)&lt;&gt;"",IF(VLOOKUP(A86,Ergebnis_je_Aktie_verwässert!A$3:AK$103,8,FALSE)&lt;&gt;"",IF(VLOOKUP(A86,Ergebnis_je_Aktie_verwässert!A$3:AK$103,8,FALSE)&lt;=0,2,IF(VLOOKUP(A86,Fiktive_Dividende!A$3:AM$103,14,FALSE)/VLOOKUP(A86,Ergebnis_je_Aktie_verwässert!A$3:AK$103,8,FALSE)&gt;=2,2,VLOOKUP(A86,Fiktive_Dividende!A$3:AM$103,14,FALSE)/VLOOKUP(A86,Ergebnis_je_Aktie_verwässert!A$3:AK$103,8,FALSE))),""),"")</f>
        <v>#N/A</v>
      </c>
      <c r="I86" s="71" t="e">
        <f>IF(VLOOKUP(A86,Fiktive_Dividende!A$3:AM$103,15,FALSE)&lt;&gt;"",IF(VLOOKUP(A86,Ergebnis_je_Aktie_verwässert!A$3:AK$103,9,FALSE)&lt;&gt;"",IF(VLOOKUP(A86,Ergebnis_je_Aktie_verwässert!A$3:AK$103,9,FALSE)&lt;=0,2,IF(VLOOKUP(A86,Fiktive_Dividende!A$3:AM$103,15,FALSE)/VLOOKUP(A86,Ergebnis_je_Aktie_verwässert!A$3:AK$103,9,FALSE)&gt;=2,2,VLOOKUP(A86,Fiktive_Dividende!A$3:AM$103,15,FALSE)/VLOOKUP(A86,Ergebnis_je_Aktie_verwässert!A$3:AK$103,9,FALSE))),""),"")</f>
        <v>#N/A</v>
      </c>
      <c r="J86" s="71" t="e">
        <f>IF(VLOOKUP(A86,Fiktive_Dividende!A$3:AM$103,16,FALSE)&lt;&gt;"",IF(VLOOKUP(A86,Ergebnis_je_Aktie_verwässert!A$3:AK$103,10,FALSE)&lt;&gt;"",IF(VLOOKUP(A86,Ergebnis_je_Aktie_verwässert!A$3:AK$103,10,FALSE)&lt;=0,2,IF(VLOOKUP(A86,Fiktive_Dividende!A$3:AM$103,16,FALSE)/VLOOKUP(A86,Ergebnis_je_Aktie_verwässert!A$3:AK$103,10,FALSE)&gt;=2,2,VLOOKUP(A86,Fiktive_Dividende!A$3:AM$103,16,FALSE)/VLOOKUP(A86,Ergebnis_je_Aktie_verwässert!A$3:AK$103,10,FALSE))),""),"")</f>
        <v>#N/A</v>
      </c>
      <c r="K86" s="71" t="e">
        <f>IF(VLOOKUP(A86,Fiktive_Dividende!A$3:AM$103,17,FALSE)&lt;&gt;"",IF(VLOOKUP(A86,Ergebnis_je_Aktie_verwässert!A$3:AK$103,11,FALSE)&lt;&gt;"",IF(VLOOKUP(A86,Ergebnis_je_Aktie_verwässert!A$3:AK$103,11,FALSE)&lt;=0,2,IF(VLOOKUP(A86,Fiktive_Dividende!A$3:AM$103,17,FALSE)/VLOOKUP(A86,Ergebnis_je_Aktie_verwässert!A$3:AK$103,11,FALSE)&gt;=2,2,VLOOKUP(A86,Fiktive_Dividende!A$3:AM$103,17,FALSE)/VLOOKUP(A86,Ergebnis_je_Aktie_verwässert!A$3:AK$103,11,FALSE))),""),"")</f>
        <v>#N/A</v>
      </c>
      <c r="L86" s="71" t="e">
        <f>IF(VLOOKUP(A86,Fiktive_Dividende!A$3:AM$103,18,FALSE)&lt;&gt;"",IF(VLOOKUP(A86,Ergebnis_je_Aktie_verwässert!A$3:AK$103,12,FALSE)&lt;&gt;"",IF(VLOOKUP(A86,Ergebnis_je_Aktie_verwässert!A$3:AK$103,12,FALSE)&lt;=0,2,IF(VLOOKUP(A86,Fiktive_Dividende!A$3:AM$103,18,FALSE)/VLOOKUP(A86,Ergebnis_je_Aktie_verwässert!A$3:AK$103,12,FALSE)&gt;=2,2,VLOOKUP(A86,Fiktive_Dividende!A$3:AM$103,18,FALSE)/VLOOKUP(A86,Ergebnis_je_Aktie_verwässert!A$3:AK$103,12,FALSE))),""),"")</f>
        <v>#N/A</v>
      </c>
      <c r="M86" s="71" t="e">
        <f>IF(VLOOKUP(A86,Fiktive_Dividende!A$3:AM$103,19,FALSE)&lt;&gt;"",IF(VLOOKUP(A86,Ergebnis_je_Aktie_verwässert!A$3:AK$103,13,FALSE)&lt;&gt;"",IF(VLOOKUP(A86,Ergebnis_je_Aktie_verwässert!A$3:AK$103,13,FALSE)&lt;=0,2,IF(VLOOKUP(A86,Fiktive_Dividende!A$3:AM$103,19,FALSE)/VLOOKUP(A86,Ergebnis_je_Aktie_verwässert!A$3:AK$103,13,FALSE)&gt;=2,2,VLOOKUP(A86,Fiktive_Dividende!A$3:AM$103,19,FALSE)/VLOOKUP(A86,Ergebnis_je_Aktie_verwässert!A$3:AK$103,13,FALSE))),""),"")</f>
        <v>#N/A</v>
      </c>
      <c r="N86" s="71" t="e">
        <f>IF(VLOOKUP(A86,Fiktive_Dividende!A$3:AM$103,20,FALSE)&lt;&gt;"",IF(VLOOKUP(A86,Ergebnis_je_Aktie_verwässert!A$3:AK$103,14,FALSE)&lt;&gt;"",IF(VLOOKUP(A86,Ergebnis_je_Aktie_verwässert!A$3:AK$103,14,FALSE)&lt;=0,2,IF(VLOOKUP(A86,Fiktive_Dividende!A$3:AM$103,20,FALSE)/VLOOKUP(A86,Ergebnis_je_Aktie_verwässert!A$3:AK$103,14,FALSE)&gt;=2,2,VLOOKUP(A86,Fiktive_Dividende!A$3:AM$103,20,FALSE)/VLOOKUP(A86,Ergebnis_je_Aktie_verwässert!A$3:AK$103,14,FALSE))),""),"")</f>
        <v>#N/A</v>
      </c>
      <c r="O86" s="71" t="e">
        <f>IF(VLOOKUP(A86,Fiktive_Dividende!A$3:AM$103,21,FALSE)&lt;&gt;"",IF(VLOOKUP(A86,Ergebnis_je_Aktie_verwässert!A$3:AK$103,15,FALSE)&lt;&gt;"",IF(VLOOKUP(A86,Ergebnis_je_Aktie_verwässert!A$3:AK$103,15,FALSE)&lt;=0,2,IF(VLOOKUP(A86,Fiktive_Dividende!A$3:AM$103,21,FALSE)/VLOOKUP(A86,Ergebnis_je_Aktie_verwässert!A$3:AK$103,15,FALSE)&gt;=2,2,VLOOKUP(A86,Fiktive_Dividende!A$3:AM$103,21,FALSE)/VLOOKUP(A86,Ergebnis_je_Aktie_verwässert!A$3:AK$103,15,FALSE))),""),"")</f>
        <v>#N/A</v>
      </c>
      <c r="P86" s="71" t="e">
        <f>IF(VLOOKUP(A86,Fiktive_Dividende!A$3:AM$103,22,FALSE)&lt;&gt;"",IF(VLOOKUP(A86,Ergebnis_je_Aktie_verwässert!A$3:AK$103,16,FALSE)&lt;&gt;"",IF(VLOOKUP(A86,Ergebnis_je_Aktie_verwässert!A$3:AK$103,16,FALSE)&lt;=0,2,IF(VLOOKUP(A86,Fiktive_Dividende!A$3:AM$103,22,FALSE)/VLOOKUP(A86,Ergebnis_je_Aktie_verwässert!A$3:AK$103,16,FALSE)&gt;=2,2,VLOOKUP(A86,Fiktive_Dividende!A$3:AM$103,22,FALSE)/VLOOKUP(A86,Ergebnis_je_Aktie_verwässert!A$3:AK$103,16,FALSE))),""),"")</f>
        <v>#N/A</v>
      </c>
      <c r="Q86" s="71" t="e">
        <f>IF(VLOOKUP(A86,Fiktive_Dividende!A$3:AM$103,23,FALSE)&lt;&gt;"",IF(VLOOKUP(A86,Ergebnis_je_Aktie_verwässert!A$3:AK$103,17,FALSE)&lt;&gt;"",IF(VLOOKUP(A86,Ergebnis_je_Aktie_verwässert!A$3:AK$103,17,FALSE)&lt;=0,2,IF(VLOOKUP(A86,Fiktive_Dividende!A$3:AM$103,23,FALSE)/VLOOKUP(A86,Ergebnis_je_Aktie_verwässert!A$3:AK$103,17,FALSE)&gt;=2,2,VLOOKUP(A86,Fiktive_Dividende!A$3:AM$103,23,FALSE)/VLOOKUP(A86,Ergebnis_je_Aktie_verwässert!A$3:AK$103,17,FALSE))),""),"")</f>
        <v>#N/A</v>
      </c>
      <c r="R86" s="71" t="e">
        <f>IF(VLOOKUP(A86,Fiktive_Dividende!A$3:AM$103,24,FALSE)&lt;&gt;"",IF(VLOOKUP(A86,Ergebnis_je_Aktie_verwässert!A$3:AK$103,18,FALSE)&lt;&gt;"",IF(VLOOKUP(A86,Ergebnis_je_Aktie_verwässert!A$3:AK$103,18,FALSE)&lt;=0,2,IF(VLOOKUP(A86,Fiktive_Dividende!A$3:AM$103,24,FALSE)/VLOOKUP(A86,Ergebnis_je_Aktie_verwässert!A$3:AK$103,18,FALSE)&gt;=2,2,VLOOKUP(A86,Fiktive_Dividende!A$3:AM$103,24,FALSE)/VLOOKUP(A86,Ergebnis_je_Aktie_verwässert!A$3:AK$103,18,FALSE))),""),"")</f>
        <v>#N/A</v>
      </c>
      <c r="S86" s="105" t="e">
        <f t="shared" si="14"/>
        <v>#N/A</v>
      </c>
      <c r="T86" s="71" t="e">
        <f>IF(VLOOKUP(A86,Dividende_je_Aktie!A$3:AM$103,6,FALSE)&lt;&gt;"",IF(VLOOKUP(A86,Ergebnis_je_Aktie_verwässert!A$3:AK$103,6,FALSE)&lt;&gt;"",IF(VLOOKUP(A86,Ergebnis_je_Aktie_verwässert!A$3:AK$103,6,FALSE)&lt;=0,2,IF(VLOOKUP(A86,Dividende_je_Aktie!A$3:AM$103,6,FALSE)/VLOOKUP(A86,Ergebnis_je_Aktie_verwässert!A$3:AK$103,6,FALSE)&gt;=2,2,VLOOKUP(A86,Dividende_je_Aktie!A$3:AM$103,6,FALSE)/VLOOKUP(A86,Ergebnis_je_Aktie_verwässert!A$3:AK$103,6,FALSE))),""),"")</f>
        <v>#N/A</v>
      </c>
      <c r="U86" s="71" t="e">
        <f>IF(VLOOKUP(A86,Dividende_je_Aktie!A$3:AM$103,7,FALSE)&lt;&gt;"",IF(VLOOKUP(A86,Ergebnis_je_Aktie_verwässert!A$3:AK$103,7,FALSE)&lt;&gt;"",IF(VLOOKUP(A86,Ergebnis_je_Aktie_verwässert!A$3:AK$103,7,FALSE)&lt;=0,2,IF(VLOOKUP(A86,Dividende_je_Aktie!A$3:AM$103,7,FALSE)/VLOOKUP(A86,Ergebnis_je_Aktie_verwässert!A$3:AK$103,7,FALSE)&gt;=2,2,VLOOKUP(A86,Dividende_je_Aktie!A$3:AM$103,7,FALSE)/VLOOKUP(A86,Ergebnis_je_Aktie_verwässert!A$3:AK$103,7,FALSE))),""),"")</f>
        <v>#N/A</v>
      </c>
      <c r="V86" s="71" t="e">
        <f>IF(VLOOKUP(A86,Dividende_je_Aktie!A$3:AM$103,8,FALSE)&lt;&gt;"",IF(VLOOKUP(A86,Ergebnis_je_Aktie_verwässert!A$3:AK$103,8,FALSE)&lt;&gt;"",IF(VLOOKUP(A86,Ergebnis_je_Aktie_verwässert!A$3:AK$103,8,FALSE)&lt;=0,2,IF(VLOOKUP(A86,Dividende_je_Aktie!A$3:AM$103,8,FALSE)/VLOOKUP(A86,Ergebnis_je_Aktie_verwässert!A$3:AK$103,8,FALSE)&gt;=2,2,VLOOKUP(A86,Dividende_je_Aktie!A$3:AM$103,8,FALSE)/VLOOKUP(A86,Ergebnis_je_Aktie_verwässert!A$3:AK$103,8,FALSE))),""),"")</f>
        <v>#N/A</v>
      </c>
      <c r="W86" s="71" t="e">
        <f>IF(VLOOKUP(A86,Dividende_je_Aktie!A$3:AM$103,9,FALSE)&lt;&gt;"",IF(VLOOKUP(A86,Ergebnis_je_Aktie_verwässert!A$3:AK$103,9,FALSE)&lt;&gt;"",IF(VLOOKUP(A86,Ergebnis_je_Aktie_verwässert!A$3:AK$103,9,FALSE)&lt;=0,2,IF(VLOOKUP(A86,Dividende_je_Aktie!A$3:AM$103,9,FALSE)/VLOOKUP(A86,Ergebnis_je_Aktie_verwässert!A$3:AK$103,9,FALSE)&gt;=2,2,VLOOKUP(A86,Dividende_je_Aktie!A$3:AM$103,9,FALSE)/VLOOKUP(A86,Ergebnis_je_Aktie_verwässert!A$3:AK$103,9,FALSE))),""),"")</f>
        <v>#N/A</v>
      </c>
      <c r="X86" s="71" t="e">
        <f>IF(VLOOKUP(A86,Dividende_je_Aktie!A$3:AM$103,10,FALSE)&lt;&gt;"",IF(VLOOKUP(A86,Ergebnis_je_Aktie_verwässert!A$3:AK$103,10,FALSE)&lt;&gt;"",IF(VLOOKUP(A86,Ergebnis_je_Aktie_verwässert!A$3:AK$103,10,FALSE)&lt;=0,2,IF(VLOOKUP(A86,Dividende_je_Aktie!A$3:AM$103,10,FALSE)/VLOOKUP(A86,Ergebnis_je_Aktie_verwässert!A$3:AK$103,10,FALSE)&gt;=2,2,VLOOKUP(A86,Dividende_je_Aktie!A$3:AM$103,10,FALSE)/VLOOKUP(A86,Ergebnis_je_Aktie_verwässert!A$3:AK$103,10,FALSE))),""),"")</f>
        <v>#N/A</v>
      </c>
      <c r="Y86" s="71" t="e">
        <f>IF(VLOOKUP(A86,Dividende_je_Aktie!A$3:AM$103,11,FALSE)&lt;&gt;"",IF(VLOOKUP(A86,Ergebnis_je_Aktie_verwässert!A$3:AK$103,11,FALSE)&lt;&gt;"",IF(VLOOKUP(A86,Ergebnis_je_Aktie_verwässert!A$3:AK$103,11,FALSE)&lt;=0,2,IF(VLOOKUP(A86,Dividende_je_Aktie!A$3:AM$103,11,FALSE)/VLOOKUP(A86,Ergebnis_je_Aktie_verwässert!A$3:AK$103,11,FALSE)&gt;=2,2,VLOOKUP(A86,Dividende_je_Aktie!A$3:AM$103,11,FALSE)/VLOOKUP(A86,Ergebnis_je_Aktie_verwässert!A$3:AK$103,11,FALSE))),""),"")</f>
        <v>#N/A</v>
      </c>
      <c r="Z86" s="71" t="e">
        <f>IF(VLOOKUP(A86,Dividende_je_Aktie!A$3:AM$103,12,FALSE)&lt;&gt;"",IF(VLOOKUP(A86,Ergebnis_je_Aktie_verwässert!A$3:AK$103,12,FALSE)&lt;&gt;"",IF(VLOOKUP(A86,Ergebnis_je_Aktie_verwässert!A$3:AK$103,12,FALSE)&lt;=0,2,IF(VLOOKUP(A86,Dividende_je_Aktie!A$3:AM$103,12,FALSE)/VLOOKUP(A86,Ergebnis_je_Aktie_verwässert!A$3:AK$103,12,FALSE)&gt;=2,2,VLOOKUP(A86,Dividende_je_Aktie!A$3:AM$103,12,FALSE)/VLOOKUP(A86,Ergebnis_je_Aktie_verwässert!A$3:AK$103,12,FALSE))),""),"")</f>
        <v>#N/A</v>
      </c>
      <c r="AA86" s="71" t="e">
        <f>IF(VLOOKUP(A86,Dividende_je_Aktie!A$3:AM$103,13,FALSE)&lt;&gt;"",IF(VLOOKUP(A86,Ergebnis_je_Aktie_verwässert!A$3:AK$103,13,FALSE)&lt;&gt;"",IF(VLOOKUP(A86,Ergebnis_je_Aktie_verwässert!A$3:AK$103,13,FALSE)&lt;=0,2,IF(VLOOKUP(A86,Dividende_je_Aktie!A$3:AM$103,13,FALSE)/VLOOKUP(A86,Ergebnis_je_Aktie_verwässert!A$3:AK$103,13,FALSE)&gt;=2,2,VLOOKUP(A86,Dividende_je_Aktie!A$3:AM$103,13,FALSE)/VLOOKUP(A86,Ergebnis_je_Aktie_verwässert!A$3:AK$103,13,FALSE))),""),"")</f>
        <v>#N/A</v>
      </c>
      <c r="AB86" s="71" t="e">
        <f>IF(VLOOKUP(A86,Dividende_je_Aktie!A$3:AM$103,14,FALSE)&lt;&gt;"",IF(VLOOKUP(A86,Ergebnis_je_Aktie_verwässert!A$3:AK$103,14,FALSE)&lt;&gt;"",IF(VLOOKUP(A86,Ergebnis_je_Aktie_verwässert!A$3:AK$103,14,FALSE)&lt;=0,2,IF(VLOOKUP(A86,Dividende_je_Aktie!A$3:AM$103,14,FALSE)/VLOOKUP(A86,Ergebnis_je_Aktie_verwässert!A$3:AK$103,14,FALSE)&gt;=2,2,VLOOKUP(A86,Dividende_je_Aktie!A$3:AM$103,14,FALSE)/VLOOKUP(A86,Ergebnis_je_Aktie_verwässert!A$3:AK$103,14,FALSE))),""),"")</f>
        <v>#N/A</v>
      </c>
      <c r="AC86" s="71" t="e">
        <f>IF(VLOOKUP(A86,Dividende_je_Aktie!A$3:AM$103,15,FALSE)&lt;&gt;"",IF(VLOOKUP(A86,Ergebnis_je_Aktie_verwässert!A$3:AK$103,15,FALSE)&lt;&gt;"",IF(VLOOKUP(A86,Ergebnis_je_Aktie_verwässert!A$3:AK$103,15,FALSE)&lt;=0,2,IF(VLOOKUP(A86,Dividende_je_Aktie!A$3:AM$103,15,FALSE)/VLOOKUP(A86,Ergebnis_je_Aktie_verwässert!A$3:AK$103,15,FALSE)&gt;=2,2,VLOOKUP(A86,Dividende_je_Aktie!A$3:AM$103,15,FALSE)/VLOOKUP(A86,Ergebnis_je_Aktie_verwässert!A$3:AK$103,15,FALSE))),""),"")</f>
        <v>#N/A</v>
      </c>
      <c r="AD86" s="71" t="e">
        <f>IF(VLOOKUP(A86,Dividende_je_Aktie!A$3:AM$103,16,FALSE)&lt;&gt;"",IF(VLOOKUP(A86,Ergebnis_je_Aktie_verwässert!A$3:AK$103,16,FALSE)&lt;&gt;"",IF(VLOOKUP(A86,Ergebnis_je_Aktie_verwässert!A$3:AK$103,16,FALSE)&lt;=0,2,IF(VLOOKUP(A86,Dividende_je_Aktie!A$3:AM$103,16,FALSE)/VLOOKUP(A86,Ergebnis_je_Aktie_verwässert!A$3:AK$103,16,FALSE)&gt;=2,2,VLOOKUP(A86,Dividende_je_Aktie!A$3:AM$103,16,FALSE)/VLOOKUP(A86,Ergebnis_je_Aktie_verwässert!A$3:AK$103,16,FALSE))),""),"")</f>
        <v>#N/A</v>
      </c>
      <c r="AE86" s="71" t="e">
        <f>IF(VLOOKUP(A86,Dividende_je_Aktie!A$3:AM$103,17,FALSE)&lt;&gt;"",IF(VLOOKUP(A86,Ergebnis_je_Aktie_verwässert!A$3:AK$103,17,FALSE)&lt;&gt;"",IF(VLOOKUP(A86,Ergebnis_je_Aktie_verwässert!A$3:AK$103,17,FALSE)&lt;=0,2,IF(VLOOKUP(A86,Dividende_je_Aktie!A$3:AM$103,17,FALSE)/VLOOKUP(A86,Ergebnis_je_Aktie_verwässert!A$3:AK$103,17,FALSE)&gt;=2,2,VLOOKUP(A86,Dividende_je_Aktie!A$3:AM$103,17,FALSE)/VLOOKUP(A86,Ergebnis_je_Aktie_verwässert!A$3:AK$103,17,FALSE))),""),"")</f>
        <v>#N/A</v>
      </c>
      <c r="AF86" s="71" t="e">
        <f>IF(VLOOKUP(A86,Dividende_je_Aktie!A$3:AM$103,18,FALSE)&lt;&gt;"",IF(VLOOKUP(A86,Ergebnis_je_Aktie_verwässert!A$3:AK$103,18,FALSE)&lt;&gt;"",IF(VLOOKUP(A86,Ergebnis_je_Aktie_verwässert!A$3:AK$103,18,FALSE)&lt;=0,2,IF(VLOOKUP(A86,Dividende_je_Aktie!A$3:AM$103,18,FALSE)/VLOOKUP(A86,Ergebnis_je_Aktie_verwässert!A$3:AK$103,18,FALSE)&gt;=2,2,VLOOKUP(A86,Dividende_je_Aktie!A$3:AM$103,18,FALSE)/VLOOKUP(A86,Ergebnis_je_Aktie_verwässert!A$3:AK$103,18,FALSE))),""),"")</f>
        <v>#N/A</v>
      </c>
      <c r="AG86" s="105" t="e">
        <f t="shared" si="15"/>
        <v>#N/A</v>
      </c>
      <c r="AH86" s="4">
        <f t="shared" ca="1" si="16"/>
        <v>41899</v>
      </c>
      <c r="AI86" s="4">
        <f t="shared" ca="1" si="17"/>
        <v>-41539</v>
      </c>
      <c r="AJ86" s="4" t="e">
        <f t="shared" ca="1" si="18"/>
        <v>#NUM!</v>
      </c>
      <c r="AK86" s="10" t="e">
        <f t="shared" ca="1" si="19"/>
        <v>#N/A</v>
      </c>
      <c r="AL86" s="5" t="e">
        <f t="shared" si="20"/>
        <v>#N/A</v>
      </c>
    </row>
    <row r="87" spans="3:38">
      <c r="C87" s="60"/>
      <c r="D87" s="60"/>
      <c r="E87" s="60"/>
      <c r="F87" s="71" t="e">
        <f>IF(VLOOKUP(A87,Dividende_je_Aktie!A$3:AM$103,6,FALSE)&lt;&gt;"",IF(VLOOKUP(A87,Ergebnis_je_Aktie_verwässert!A$3:AK$103,6,FALSE)&lt;&gt;"",IF(VLOOKUP(A87,Ergebnis_je_Aktie_verwässert!A$3:AK$103,6,FALSE)&lt;=0,2,IF(VLOOKUP(A87,Dividende_je_Aktie!A$3:AM$103,6,FALSE)/VLOOKUP(A87,Ergebnis_je_Aktie_verwässert!A$3:AK$103,6,FALSE)&gt;=2,2,VLOOKUP(A87,Dividende_je_Aktie!A$3:AM$103,6,FALSE)/VLOOKUP(A87,Ergebnis_je_Aktie_verwässert!A$3:AK$103,6,FALSE))),""),"")</f>
        <v>#N/A</v>
      </c>
      <c r="G87" s="71" t="e">
        <f>IF(VLOOKUP(A87,Dividende_je_Aktie!A$3:AM$103,7,FALSE)&lt;&gt;"",IF(VLOOKUP(A87,Ergebnis_je_Aktie_verwässert!A$3:AK$103,7,FALSE)&lt;&gt;"",IF(VLOOKUP(A87,Ergebnis_je_Aktie_verwässert!A$3:AK$103,7,FALSE)&lt;=0,2,IF(VLOOKUP(A87,Dividende_je_Aktie!A$3:AM$103,7,FALSE)/VLOOKUP(A87,Ergebnis_je_Aktie_verwässert!A$3:AK$103,7,FALSE)&gt;=2,2,VLOOKUP(A87,Dividende_je_Aktie!A$3:AM$103,7,FALSE)/VLOOKUP(A87,Ergebnis_je_Aktie_verwässert!A$3:AK$103,7,FALSE))),""),"")</f>
        <v>#N/A</v>
      </c>
      <c r="H87" s="71" t="e">
        <f>IF(VLOOKUP(A87,Fiktive_Dividende!A$3:AM$103,14,FALSE)&lt;&gt;"",IF(VLOOKUP(A87,Ergebnis_je_Aktie_verwässert!A$3:AK$103,8,FALSE)&lt;&gt;"",IF(VLOOKUP(A87,Ergebnis_je_Aktie_verwässert!A$3:AK$103,8,FALSE)&lt;=0,2,IF(VLOOKUP(A87,Fiktive_Dividende!A$3:AM$103,14,FALSE)/VLOOKUP(A87,Ergebnis_je_Aktie_verwässert!A$3:AK$103,8,FALSE)&gt;=2,2,VLOOKUP(A87,Fiktive_Dividende!A$3:AM$103,14,FALSE)/VLOOKUP(A87,Ergebnis_je_Aktie_verwässert!A$3:AK$103,8,FALSE))),""),"")</f>
        <v>#N/A</v>
      </c>
      <c r="I87" s="71" t="e">
        <f>IF(VLOOKUP(A87,Fiktive_Dividende!A$3:AM$103,15,FALSE)&lt;&gt;"",IF(VLOOKUP(A87,Ergebnis_je_Aktie_verwässert!A$3:AK$103,9,FALSE)&lt;&gt;"",IF(VLOOKUP(A87,Ergebnis_je_Aktie_verwässert!A$3:AK$103,9,FALSE)&lt;=0,2,IF(VLOOKUP(A87,Fiktive_Dividende!A$3:AM$103,15,FALSE)/VLOOKUP(A87,Ergebnis_je_Aktie_verwässert!A$3:AK$103,9,FALSE)&gt;=2,2,VLOOKUP(A87,Fiktive_Dividende!A$3:AM$103,15,FALSE)/VLOOKUP(A87,Ergebnis_je_Aktie_verwässert!A$3:AK$103,9,FALSE))),""),"")</f>
        <v>#N/A</v>
      </c>
      <c r="J87" s="71" t="e">
        <f>IF(VLOOKUP(A87,Fiktive_Dividende!A$3:AM$103,16,FALSE)&lt;&gt;"",IF(VLOOKUP(A87,Ergebnis_je_Aktie_verwässert!A$3:AK$103,10,FALSE)&lt;&gt;"",IF(VLOOKUP(A87,Ergebnis_je_Aktie_verwässert!A$3:AK$103,10,FALSE)&lt;=0,2,IF(VLOOKUP(A87,Fiktive_Dividende!A$3:AM$103,16,FALSE)/VLOOKUP(A87,Ergebnis_je_Aktie_verwässert!A$3:AK$103,10,FALSE)&gt;=2,2,VLOOKUP(A87,Fiktive_Dividende!A$3:AM$103,16,FALSE)/VLOOKUP(A87,Ergebnis_je_Aktie_verwässert!A$3:AK$103,10,FALSE))),""),"")</f>
        <v>#N/A</v>
      </c>
      <c r="K87" s="71" t="e">
        <f>IF(VLOOKUP(A87,Fiktive_Dividende!A$3:AM$103,17,FALSE)&lt;&gt;"",IF(VLOOKUP(A87,Ergebnis_je_Aktie_verwässert!A$3:AK$103,11,FALSE)&lt;&gt;"",IF(VLOOKUP(A87,Ergebnis_je_Aktie_verwässert!A$3:AK$103,11,FALSE)&lt;=0,2,IF(VLOOKUP(A87,Fiktive_Dividende!A$3:AM$103,17,FALSE)/VLOOKUP(A87,Ergebnis_je_Aktie_verwässert!A$3:AK$103,11,FALSE)&gt;=2,2,VLOOKUP(A87,Fiktive_Dividende!A$3:AM$103,17,FALSE)/VLOOKUP(A87,Ergebnis_je_Aktie_verwässert!A$3:AK$103,11,FALSE))),""),"")</f>
        <v>#N/A</v>
      </c>
      <c r="L87" s="71" t="e">
        <f>IF(VLOOKUP(A87,Fiktive_Dividende!A$3:AM$103,18,FALSE)&lt;&gt;"",IF(VLOOKUP(A87,Ergebnis_je_Aktie_verwässert!A$3:AK$103,12,FALSE)&lt;&gt;"",IF(VLOOKUP(A87,Ergebnis_je_Aktie_verwässert!A$3:AK$103,12,FALSE)&lt;=0,2,IF(VLOOKUP(A87,Fiktive_Dividende!A$3:AM$103,18,FALSE)/VLOOKUP(A87,Ergebnis_je_Aktie_verwässert!A$3:AK$103,12,FALSE)&gt;=2,2,VLOOKUP(A87,Fiktive_Dividende!A$3:AM$103,18,FALSE)/VLOOKUP(A87,Ergebnis_je_Aktie_verwässert!A$3:AK$103,12,FALSE))),""),"")</f>
        <v>#N/A</v>
      </c>
      <c r="M87" s="71" t="e">
        <f>IF(VLOOKUP(A87,Fiktive_Dividende!A$3:AM$103,19,FALSE)&lt;&gt;"",IF(VLOOKUP(A87,Ergebnis_je_Aktie_verwässert!A$3:AK$103,13,FALSE)&lt;&gt;"",IF(VLOOKUP(A87,Ergebnis_je_Aktie_verwässert!A$3:AK$103,13,FALSE)&lt;=0,2,IF(VLOOKUP(A87,Fiktive_Dividende!A$3:AM$103,19,FALSE)/VLOOKUP(A87,Ergebnis_je_Aktie_verwässert!A$3:AK$103,13,FALSE)&gt;=2,2,VLOOKUP(A87,Fiktive_Dividende!A$3:AM$103,19,FALSE)/VLOOKUP(A87,Ergebnis_je_Aktie_verwässert!A$3:AK$103,13,FALSE))),""),"")</f>
        <v>#N/A</v>
      </c>
      <c r="N87" s="71" t="e">
        <f>IF(VLOOKUP(A87,Fiktive_Dividende!A$3:AM$103,20,FALSE)&lt;&gt;"",IF(VLOOKUP(A87,Ergebnis_je_Aktie_verwässert!A$3:AK$103,14,FALSE)&lt;&gt;"",IF(VLOOKUP(A87,Ergebnis_je_Aktie_verwässert!A$3:AK$103,14,FALSE)&lt;=0,2,IF(VLOOKUP(A87,Fiktive_Dividende!A$3:AM$103,20,FALSE)/VLOOKUP(A87,Ergebnis_je_Aktie_verwässert!A$3:AK$103,14,FALSE)&gt;=2,2,VLOOKUP(A87,Fiktive_Dividende!A$3:AM$103,20,FALSE)/VLOOKUP(A87,Ergebnis_je_Aktie_verwässert!A$3:AK$103,14,FALSE))),""),"")</f>
        <v>#N/A</v>
      </c>
      <c r="O87" s="71" t="e">
        <f>IF(VLOOKUP(A87,Fiktive_Dividende!A$3:AM$103,21,FALSE)&lt;&gt;"",IF(VLOOKUP(A87,Ergebnis_je_Aktie_verwässert!A$3:AK$103,15,FALSE)&lt;&gt;"",IF(VLOOKUP(A87,Ergebnis_je_Aktie_verwässert!A$3:AK$103,15,FALSE)&lt;=0,2,IF(VLOOKUP(A87,Fiktive_Dividende!A$3:AM$103,21,FALSE)/VLOOKUP(A87,Ergebnis_je_Aktie_verwässert!A$3:AK$103,15,FALSE)&gt;=2,2,VLOOKUP(A87,Fiktive_Dividende!A$3:AM$103,21,FALSE)/VLOOKUP(A87,Ergebnis_je_Aktie_verwässert!A$3:AK$103,15,FALSE))),""),"")</f>
        <v>#N/A</v>
      </c>
      <c r="P87" s="71" t="e">
        <f>IF(VLOOKUP(A87,Fiktive_Dividende!A$3:AM$103,22,FALSE)&lt;&gt;"",IF(VLOOKUP(A87,Ergebnis_je_Aktie_verwässert!A$3:AK$103,16,FALSE)&lt;&gt;"",IF(VLOOKUP(A87,Ergebnis_je_Aktie_verwässert!A$3:AK$103,16,FALSE)&lt;=0,2,IF(VLOOKUP(A87,Fiktive_Dividende!A$3:AM$103,22,FALSE)/VLOOKUP(A87,Ergebnis_je_Aktie_verwässert!A$3:AK$103,16,FALSE)&gt;=2,2,VLOOKUP(A87,Fiktive_Dividende!A$3:AM$103,22,FALSE)/VLOOKUP(A87,Ergebnis_je_Aktie_verwässert!A$3:AK$103,16,FALSE))),""),"")</f>
        <v>#N/A</v>
      </c>
      <c r="Q87" s="71" t="e">
        <f>IF(VLOOKUP(A87,Fiktive_Dividende!A$3:AM$103,23,FALSE)&lt;&gt;"",IF(VLOOKUP(A87,Ergebnis_je_Aktie_verwässert!A$3:AK$103,17,FALSE)&lt;&gt;"",IF(VLOOKUP(A87,Ergebnis_je_Aktie_verwässert!A$3:AK$103,17,FALSE)&lt;=0,2,IF(VLOOKUP(A87,Fiktive_Dividende!A$3:AM$103,23,FALSE)/VLOOKUP(A87,Ergebnis_je_Aktie_verwässert!A$3:AK$103,17,FALSE)&gt;=2,2,VLOOKUP(A87,Fiktive_Dividende!A$3:AM$103,23,FALSE)/VLOOKUP(A87,Ergebnis_je_Aktie_verwässert!A$3:AK$103,17,FALSE))),""),"")</f>
        <v>#N/A</v>
      </c>
      <c r="R87" s="71" t="e">
        <f>IF(VLOOKUP(A87,Fiktive_Dividende!A$3:AM$103,24,FALSE)&lt;&gt;"",IF(VLOOKUP(A87,Ergebnis_je_Aktie_verwässert!A$3:AK$103,18,FALSE)&lt;&gt;"",IF(VLOOKUP(A87,Ergebnis_je_Aktie_verwässert!A$3:AK$103,18,FALSE)&lt;=0,2,IF(VLOOKUP(A87,Fiktive_Dividende!A$3:AM$103,24,FALSE)/VLOOKUP(A87,Ergebnis_je_Aktie_verwässert!A$3:AK$103,18,FALSE)&gt;=2,2,VLOOKUP(A87,Fiktive_Dividende!A$3:AM$103,24,FALSE)/VLOOKUP(A87,Ergebnis_je_Aktie_verwässert!A$3:AK$103,18,FALSE))),""),"")</f>
        <v>#N/A</v>
      </c>
      <c r="S87" s="105" t="e">
        <f t="shared" si="14"/>
        <v>#N/A</v>
      </c>
      <c r="T87" s="71" t="e">
        <f>IF(VLOOKUP(A87,Dividende_je_Aktie!A$3:AM$103,6,FALSE)&lt;&gt;"",IF(VLOOKUP(A87,Ergebnis_je_Aktie_verwässert!A$3:AK$103,6,FALSE)&lt;&gt;"",IF(VLOOKUP(A87,Ergebnis_je_Aktie_verwässert!A$3:AK$103,6,FALSE)&lt;=0,2,IF(VLOOKUP(A87,Dividende_je_Aktie!A$3:AM$103,6,FALSE)/VLOOKUP(A87,Ergebnis_je_Aktie_verwässert!A$3:AK$103,6,FALSE)&gt;=2,2,VLOOKUP(A87,Dividende_je_Aktie!A$3:AM$103,6,FALSE)/VLOOKUP(A87,Ergebnis_je_Aktie_verwässert!A$3:AK$103,6,FALSE))),""),"")</f>
        <v>#N/A</v>
      </c>
      <c r="U87" s="71" t="e">
        <f>IF(VLOOKUP(A87,Dividende_je_Aktie!A$3:AM$103,7,FALSE)&lt;&gt;"",IF(VLOOKUP(A87,Ergebnis_je_Aktie_verwässert!A$3:AK$103,7,FALSE)&lt;&gt;"",IF(VLOOKUP(A87,Ergebnis_je_Aktie_verwässert!A$3:AK$103,7,FALSE)&lt;=0,2,IF(VLOOKUP(A87,Dividende_je_Aktie!A$3:AM$103,7,FALSE)/VLOOKUP(A87,Ergebnis_je_Aktie_verwässert!A$3:AK$103,7,FALSE)&gt;=2,2,VLOOKUP(A87,Dividende_je_Aktie!A$3:AM$103,7,FALSE)/VLOOKUP(A87,Ergebnis_je_Aktie_verwässert!A$3:AK$103,7,FALSE))),""),"")</f>
        <v>#N/A</v>
      </c>
      <c r="V87" s="71" t="e">
        <f>IF(VLOOKUP(A87,Dividende_je_Aktie!A$3:AM$103,8,FALSE)&lt;&gt;"",IF(VLOOKUP(A87,Ergebnis_je_Aktie_verwässert!A$3:AK$103,8,FALSE)&lt;&gt;"",IF(VLOOKUP(A87,Ergebnis_je_Aktie_verwässert!A$3:AK$103,8,FALSE)&lt;=0,2,IF(VLOOKUP(A87,Dividende_je_Aktie!A$3:AM$103,8,FALSE)/VLOOKUP(A87,Ergebnis_je_Aktie_verwässert!A$3:AK$103,8,FALSE)&gt;=2,2,VLOOKUP(A87,Dividende_je_Aktie!A$3:AM$103,8,FALSE)/VLOOKUP(A87,Ergebnis_je_Aktie_verwässert!A$3:AK$103,8,FALSE))),""),"")</f>
        <v>#N/A</v>
      </c>
      <c r="W87" s="71" t="e">
        <f>IF(VLOOKUP(A87,Dividende_je_Aktie!A$3:AM$103,9,FALSE)&lt;&gt;"",IF(VLOOKUP(A87,Ergebnis_je_Aktie_verwässert!A$3:AK$103,9,FALSE)&lt;&gt;"",IF(VLOOKUP(A87,Ergebnis_je_Aktie_verwässert!A$3:AK$103,9,FALSE)&lt;=0,2,IF(VLOOKUP(A87,Dividende_je_Aktie!A$3:AM$103,9,FALSE)/VLOOKUP(A87,Ergebnis_je_Aktie_verwässert!A$3:AK$103,9,FALSE)&gt;=2,2,VLOOKUP(A87,Dividende_je_Aktie!A$3:AM$103,9,FALSE)/VLOOKUP(A87,Ergebnis_je_Aktie_verwässert!A$3:AK$103,9,FALSE))),""),"")</f>
        <v>#N/A</v>
      </c>
      <c r="X87" s="71" t="e">
        <f>IF(VLOOKUP(A87,Dividende_je_Aktie!A$3:AM$103,10,FALSE)&lt;&gt;"",IF(VLOOKUP(A87,Ergebnis_je_Aktie_verwässert!A$3:AK$103,10,FALSE)&lt;&gt;"",IF(VLOOKUP(A87,Ergebnis_je_Aktie_verwässert!A$3:AK$103,10,FALSE)&lt;=0,2,IF(VLOOKUP(A87,Dividende_je_Aktie!A$3:AM$103,10,FALSE)/VLOOKUP(A87,Ergebnis_je_Aktie_verwässert!A$3:AK$103,10,FALSE)&gt;=2,2,VLOOKUP(A87,Dividende_je_Aktie!A$3:AM$103,10,FALSE)/VLOOKUP(A87,Ergebnis_je_Aktie_verwässert!A$3:AK$103,10,FALSE))),""),"")</f>
        <v>#N/A</v>
      </c>
      <c r="Y87" s="71" t="e">
        <f>IF(VLOOKUP(A87,Dividende_je_Aktie!A$3:AM$103,11,FALSE)&lt;&gt;"",IF(VLOOKUP(A87,Ergebnis_je_Aktie_verwässert!A$3:AK$103,11,FALSE)&lt;&gt;"",IF(VLOOKUP(A87,Ergebnis_je_Aktie_verwässert!A$3:AK$103,11,FALSE)&lt;=0,2,IF(VLOOKUP(A87,Dividende_je_Aktie!A$3:AM$103,11,FALSE)/VLOOKUP(A87,Ergebnis_je_Aktie_verwässert!A$3:AK$103,11,FALSE)&gt;=2,2,VLOOKUP(A87,Dividende_je_Aktie!A$3:AM$103,11,FALSE)/VLOOKUP(A87,Ergebnis_je_Aktie_verwässert!A$3:AK$103,11,FALSE))),""),"")</f>
        <v>#N/A</v>
      </c>
      <c r="Z87" s="71" t="e">
        <f>IF(VLOOKUP(A87,Dividende_je_Aktie!A$3:AM$103,12,FALSE)&lt;&gt;"",IF(VLOOKUP(A87,Ergebnis_je_Aktie_verwässert!A$3:AK$103,12,FALSE)&lt;&gt;"",IF(VLOOKUP(A87,Ergebnis_je_Aktie_verwässert!A$3:AK$103,12,FALSE)&lt;=0,2,IF(VLOOKUP(A87,Dividende_je_Aktie!A$3:AM$103,12,FALSE)/VLOOKUP(A87,Ergebnis_je_Aktie_verwässert!A$3:AK$103,12,FALSE)&gt;=2,2,VLOOKUP(A87,Dividende_je_Aktie!A$3:AM$103,12,FALSE)/VLOOKUP(A87,Ergebnis_je_Aktie_verwässert!A$3:AK$103,12,FALSE))),""),"")</f>
        <v>#N/A</v>
      </c>
      <c r="AA87" s="71" t="e">
        <f>IF(VLOOKUP(A87,Dividende_je_Aktie!A$3:AM$103,13,FALSE)&lt;&gt;"",IF(VLOOKUP(A87,Ergebnis_je_Aktie_verwässert!A$3:AK$103,13,FALSE)&lt;&gt;"",IF(VLOOKUP(A87,Ergebnis_je_Aktie_verwässert!A$3:AK$103,13,FALSE)&lt;=0,2,IF(VLOOKUP(A87,Dividende_je_Aktie!A$3:AM$103,13,FALSE)/VLOOKUP(A87,Ergebnis_je_Aktie_verwässert!A$3:AK$103,13,FALSE)&gt;=2,2,VLOOKUP(A87,Dividende_je_Aktie!A$3:AM$103,13,FALSE)/VLOOKUP(A87,Ergebnis_je_Aktie_verwässert!A$3:AK$103,13,FALSE))),""),"")</f>
        <v>#N/A</v>
      </c>
      <c r="AB87" s="71" t="e">
        <f>IF(VLOOKUP(A87,Dividende_je_Aktie!A$3:AM$103,14,FALSE)&lt;&gt;"",IF(VLOOKUP(A87,Ergebnis_je_Aktie_verwässert!A$3:AK$103,14,FALSE)&lt;&gt;"",IF(VLOOKUP(A87,Ergebnis_je_Aktie_verwässert!A$3:AK$103,14,FALSE)&lt;=0,2,IF(VLOOKUP(A87,Dividende_je_Aktie!A$3:AM$103,14,FALSE)/VLOOKUP(A87,Ergebnis_je_Aktie_verwässert!A$3:AK$103,14,FALSE)&gt;=2,2,VLOOKUP(A87,Dividende_je_Aktie!A$3:AM$103,14,FALSE)/VLOOKUP(A87,Ergebnis_je_Aktie_verwässert!A$3:AK$103,14,FALSE))),""),"")</f>
        <v>#N/A</v>
      </c>
      <c r="AC87" s="71" t="e">
        <f>IF(VLOOKUP(A87,Dividende_je_Aktie!A$3:AM$103,15,FALSE)&lt;&gt;"",IF(VLOOKUP(A87,Ergebnis_je_Aktie_verwässert!A$3:AK$103,15,FALSE)&lt;&gt;"",IF(VLOOKUP(A87,Ergebnis_je_Aktie_verwässert!A$3:AK$103,15,FALSE)&lt;=0,2,IF(VLOOKUP(A87,Dividende_je_Aktie!A$3:AM$103,15,FALSE)/VLOOKUP(A87,Ergebnis_je_Aktie_verwässert!A$3:AK$103,15,FALSE)&gt;=2,2,VLOOKUP(A87,Dividende_je_Aktie!A$3:AM$103,15,FALSE)/VLOOKUP(A87,Ergebnis_je_Aktie_verwässert!A$3:AK$103,15,FALSE))),""),"")</f>
        <v>#N/A</v>
      </c>
      <c r="AD87" s="71" t="e">
        <f>IF(VLOOKUP(A87,Dividende_je_Aktie!A$3:AM$103,16,FALSE)&lt;&gt;"",IF(VLOOKUP(A87,Ergebnis_je_Aktie_verwässert!A$3:AK$103,16,FALSE)&lt;&gt;"",IF(VLOOKUP(A87,Ergebnis_je_Aktie_verwässert!A$3:AK$103,16,FALSE)&lt;=0,2,IF(VLOOKUP(A87,Dividende_je_Aktie!A$3:AM$103,16,FALSE)/VLOOKUP(A87,Ergebnis_je_Aktie_verwässert!A$3:AK$103,16,FALSE)&gt;=2,2,VLOOKUP(A87,Dividende_je_Aktie!A$3:AM$103,16,FALSE)/VLOOKUP(A87,Ergebnis_je_Aktie_verwässert!A$3:AK$103,16,FALSE))),""),"")</f>
        <v>#N/A</v>
      </c>
      <c r="AE87" s="71" t="e">
        <f>IF(VLOOKUP(A87,Dividende_je_Aktie!A$3:AM$103,17,FALSE)&lt;&gt;"",IF(VLOOKUP(A87,Ergebnis_je_Aktie_verwässert!A$3:AK$103,17,FALSE)&lt;&gt;"",IF(VLOOKUP(A87,Ergebnis_je_Aktie_verwässert!A$3:AK$103,17,FALSE)&lt;=0,2,IF(VLOOKUP(A87,Dividende_je_Aktie!A$3:AM$103,17,FALSE)/VLOOKUP(A87,Ergebnis_je_Aktie_verwässert!A$3:AK$103,17,FALSE)&gt;=2,2,VLOOKUP(A87,Dividende_je_Aktie!A$3:AM$103,17,FALSE)/VLOOKUP(A87,Ergebnis_je_Aktie_verwässert!A$3:AK$103,17,FALSE))),""),"")</f>
        <v>#N/A</v>
      </c>
      <c r="AF87" s="71" t="e">
        <f>IF(VLOOKUP(A87,Dividende_je_Aktie!A$3:AM$103,18,FALSE)&lt;&gt;"",IF(VLOOKUP(A87,Ergebnis_je_Aktie_verwässert!A$3:AK$103,18,FALSE)&lt;&gt;"",IF(VLOOKUP(A87,Ergebnis_je_Aktie_verwässert!A$3:AK$103,18,FALSE)&lt;=0,2,IF(VLOOKUP(A87,Dividende_je_Aktie!A$3:AM$103,18,FALSE)/VLOOKUP(A87,Ergebnis_je_Aktie_verwässert!A$3:AK$103,18,FALSE)&gt;=2,2,VLOOKUP(A87,Dividende_je_Aktie!A$3:AM$103,18,FALSE)/VLOOKUP(A87,Ergebnis_je_Aktie_verwässert!A$3:AK$103,18,FALSE))),""),"")</f>
        <v>#N/A</v>
      </c>
      <c r="AG87" s="105" t="e">
        <f t="shared" si="15"/>
        <v>#N/A</v>
      </c>
      <c r="AH87" s="4">
        <f t="shared" ca="1" si="16"/>
        <v>41899</v>
      </c>
      <c r="AI87" s="4">
        <f t="shared" ca="1" si="17"/>
        <v>-41539</v>
      </c>
      <c r="AJ87" s="4" t="e">
        <f t="shared" ca="1" si="18"/>
        <v>#NUM!</v>
      </c>
      <c r="AK87" s="10" t="e">
        <f t="shared" ca="1" si="19"/>
        <v>#N/A</v>
      </c>
      <c r="AL87" s="5" t="e">
        <f t="shared" si="20"/>
        <v>#N/A</v>
      </c>
    </row>
    <row r="88" spans="3:38">
      <c r="C88" s="60"/>
      <c r="D88" s="60"/>
      <c r="E88" s="60"/>
      <c r="F88" s="71" t="e">
        <f>IF(VLOOKUP(A88,Dividende_je_Aktie!A$3:AM$103,6,FALSE)&lt;&gt;"",IF(VLOOKUP(A88,Ergebnis_je_Aktie_verwässert!A$3:AK$103,6,FALSE)&lt;&gt;"",IF(VLOOKUP(A88,Ergebnis_je_Aktie_verwässert!A$3:AK$103,6,FALSE)&lt;=0,2,IF(VLOOKUP(A88,Dividende_je_Aktie!A$3:AM$103,6,FALSE)/VLOOKUP(A88,Ergebnis_je_Aktie_verwässert!A$3:AK$103,6,FALSE)&gt;=2,2,VLOOKUP(A88,Dividende_je_Aktie!A$3:AM$103,6,FALSE)/VLOOKUP(A88,Ergebnis_je_Aktie_verwässert!A$3:AK$103,6,FALSE))),""),"")</f>
        <v>#N/A</v>
      </c>
      <c r="G88" s="71" t="e">
        <f>IF(VLOOKUP(A88,Dividende_je_Aktie!A$3:AM$103,7,FALSE)&lt;&gt;"",IF(VLOOKUP(A88,Ergebnis_je_Aktie_verwässert!A$3:AK$103,7,FALSE)&lt;&gt;"",IF(VLOOKUP(A88,Ergebnis_je_Aktie_verwässert!A$3:AK$103,7,FALSE)&lt;=0,2,IF(VLOOKUP(A88,Dividende_je_Aktie!A$3:AM$103,7,FALSE)/VLOOKUP(A88,Ergebnis_je_Aktie_verwässert!A$3:AK$103,7,FALSE)&gt;=2,2,VLOOKUP(A88,Dividende_je_Aktie!A$3:AM$103,7,FALSE)/VLOOKUP(A88,Ergebnis_je_Aktie_verwässert!A$3:AK$103,7,FALSE))),""),"")</f>
        <v>#N/A</v>
      </c>
      <c r="H88" s="71" t="e">
        <f>IF(VLOOKUP(A88,Fiktive_Dividende!A$3:AM$103,14,FALSE)&lt;&gt;"",IF(VLOOKUP(A88,Ergebnis_je_Aktie_verwässert!A$3:AK$103,8,FALSE)&lt;&gt;"",IF(VLOOKUP(A88,Ergebnis_je_Aktie_verwässert!A$3:AK$103,8,FALSE)&lt;=0,2,IF(VLOOKUP(A88,Fiktive_Dividende!A$3:AM$103,14,FALSE)/VLOOKUP(A88,Ergebnis_je_Aktie_verwässert!A$3:AK$103,8,FALSE)&gt;=2,2,VLOOKUP(A88,Fiktive_Dividende!A$3:AM$103,14,FALSE)/VLOOKUP(A88,Ergebnis_je_Aktie_verwässert!A$3:AK$103,8,FALSE))),""),"")</f>
        <v>#N/A</v>
      </c>
      <c r="I88" s="71" t="e">
        <f>IF(VLOOKUP(A88,Fiktive_Dividende!A$3:AM$103,15,FALSE)&lt;&gt;"",IF(VLOOKUP(A88,Ergebnis_je_Aktie_verwässert!A$3:AK$103,9,FALSE)&lt;&gt;"",IF(VLOOKUP(A88,Ergebnis_je_Aktie_verwässert!A$3:AK$103,9,FALSE)&lt;=0,2,IF(VLOOKUP(A88,Fiktive_Dividende!A$3:AM$103,15,FALSE)/VLOOKUP(A88,Ergebnis_je_Aktie_verwässert!A$3:AK$103,9,FALSE)&gt;=2,2,VLOOKUP(A88,Fiktive_Dividende!A$3:AM$103,15,FALSE)/VLOOKUP(A88,Ergebnis_je_Aktie_verwässert!A$3:AK$103,9,FALSE))),""),"")</f>
        <v>#N/A</v>
      </c>
      <c r="J88" s="71" t="e">
        <f>IF(VLOOKUP(A88,Fiktive_Dividende!A$3:AM$103,16,FALSE)&lt;&gt;"",IF(VLOOKUP(A88,Ergebnis_je_Aktie_verwässert!A$3:AK$103,10,FALSE)&lt;&gt;"",IF(VLOOKUP(A88,Ergebnis_je_Aktie_verwässert!A$3:AK$103,10,FALSE)&lt;=0,2,IF(VLOOKUP(A88,Fiktive_Dividende!A$3:AM$103,16,FALSE)/VLOOKUP(A88,Ergebnis_je_Aktie_verwässert!A$3:AK$103,10,FALSE)&gt;=2,2,VLOOKUP(A88,Fiktive_Dividende!A$3:AM$103,16,FALSE)/VLOOKUP(A88,Ergebnis_je_Aktie_verwässert!A$3:AK$103,10,FALSE))),""),"")</f>
        <v>#N/A</v>
      </c>
      <c r="K88" s="71" t="e">
        <f>IF(VLOOKUP(A88,Fiktive_Dividende!A$3:AM$103,17,FALSE)&lt;&gt;"",IF(VLOOKUP(A88,Ergebnis_je_Aktie_verwässert!A$3:AK$103,11,FALSE)&lt;&gt;"",IF(VLOOKUP(A88,Ergebnis_je_Aktie_verwässert!A$3:AK$103,11,FALSE)&lt;=0,2,IF(VLOOKUP(A88,Fiktive_Dividende!A$3:AM$103,17,FALSE)/VLOOKUP(A88,Ergebnis_je_Aktie_verwässert!A$3:AK$103,11,FALSE)&gt;=2,2,VLOOKUP(A88,Fiktive_Dividende!A$3:AM$103,17,FALSE)/VLOOKUP(A88,Ergebnis_je_Aktie_verwässert!A$3:AK$103,11,FALSE))),""),"")</f>
        <v>#N/A</v>
      </c>
      <c r="L88" s="71" t="e">
        <f>IF(VLOOKUP(A88,Fiktive_Dividende!A$3:AM$103,18,FALSE)&lt;&gt;"",IF(VLOOKUP(A88,Ergebnis_je_Aktie_verwässert!A$3:AK$103,12,FALSE)&lt;&gt;"",IF(VLOOKUP(A88,Ergebnis_je_Aktie_verwässert!A$3:AK$103,12,FALSE)&lt;=0,2,IF(VLOOKUP(A88,Fiktive_Dividende!A$3:AM$103,18,FALSE)/VLOOKUP(A88,Ergebnis_je_Aktie_verwässert!A$3:AK$103,12,FALSE)&gt;=2,2,VLOOKUP(A88,Fiktive_Dividende!A$3:AM$103,18,FALSE)/VLOOKUP(A88,Ergebnis_je_Aktie_verwässert!A$3:AK$103,12,FALSE))),""),"")</f>
        <v>#N/A</v>
      </c>
      <c r="M88" s="71" t="e">
        <f>IF(VLOOKUP(A88,Fiktive_Dividende!A$3:AM$103,19,FALSE)&lt;&gt;"",IF(VLOOKUP(A88,Ergebnis_je_Aktie_verwässert!A$3:AK$103,13,FALSE)&lt;&gt;"",IF(VLOOKUP(A88,Ergebnis_je_Aktie_verwässert!A$3:AK$103,13,FALSE)&lt;=0,2,IF(VLOOKUP(A88,Fiktive_Dividende!A$3:AM$103,19,FALSE)/VLOOKUP(A88,Ergebnis_je_Aktie_verwässert!A$3:AK$103,13,FALSE)&gt;=2,2,VLOOKUP(A88,Fiktive_Dividende!A$3:AM$103,19,FALSE)/VLOOKUP(A88,Ergebnis_je_Aktie_verwässert!A$3:AK$103,13,FALSE))),""),"")</f>
        <v>#N/A</v>
      </c>
      <c r="N88" s="71" t="e">
        <f>IF(VLOOKUP(A88,Fiktive_Dividende!A$3:AM$103,20,FALSE)&lt;&gt;"",IF(VLOOKUP(A88,Ergebnis_je_Aktie_verwässert!A$3:AK$103,14,FALSE)&lt;&gt;"",IF(VLOOKUP(A88,Ergebnis_je_Aktie_verwässert!A$3:AK$103,14,FALSE)&lt;=0,2,IF(VLOOKUP(A88,Fiktive_Dividende!A$3:AM$103,20,FALSE)/VLOOKUP(A88,Ergebnis_je_Aktie_verwässert!A$3:AK$103,14,FALSE)&gt;=2,2,VLOOKUP(A88,Fiktive_Dividende!A$3:AM$103,20,FALSE)/VLOOKUP(A88,Ergebnis_je_Aktie_verwässert!A$3:AK$103,14,FALSE))),""),"")</f>
        <v>#N/A</v>
      </c>
      <c r="O88" s="71" t="e">
        <f>IF(VLOOKUP(A88,Fiktive_Dividende!A$3:AM$103,21,FALSE)&lt;&gt;"",IF(VLOOKUP(A88,Ergebnis_je_Aktie_verwässert!A$3:AK$103,15,FALSE)&lt;&gt;"",IF(VLOOKUP(A88,Ergebnis_je_Aktie_verwässert!A$3:AK$103,15,FALSE)&lt;=0,2,IF(VLOOKUP(A88,Fiktive_Dividende!A$3:AM$103,21,FALSE)/VLOOKUP(A88,Ergebnis_je_Aktie_verwässert!A$3:AK$103,15,FALSE)&gt;=2,2,VLOOKUP(A88,Fiktive_Dividende!A$3:AM$103,21,FALSE)/VLOOKUP(A88,Ergebnis_je_Aktie_verwässert!A$3:AK$103,15,FALSE))),""),"")</f>
        <v>#N/A</v>
      </c>
      <c r="P88" s="71" t="e">
        <f>IF(VLOOKUP(A88,Fiktive_Dividende!A$3:AM$103,22,FALSE)&lt;&gt;"",IF(VLOOKUP(A88,Ergebnis_je_Aktie_verwässert!A$3:AK$103,16,FALSE)&lt;&gt;"",IF(VLOOKUP(A88,Ergebnis_je_Aktie_verwässert!A$3:AK$103,16,FALSE)&lt;=0,2,IF(VLOOKUP(A88,Fiktive_Dividende!A$3:AM$103,22,FALSE)/VLOOKUP(A88,Ergebnis_je_Aktie_verwässert!A$3:AK$103,16,FALSE)&gt;=2,2,VLOOKUP(A88,Fiktive_Dividende!A$3:AM$103,22,FALSE)/VLOOKUP(A88,Ergebnis_je_Aktie_verwässert!A$3:AK$103,16,FALSE))),""),"")</f>
        <v>#N/A</v>
      </c>
      <c r="Q88" s="71" t="e">
        <f>IF(VLOOKUP(A88,Fiktive_Dividende!A$3:AM$103,23,FALSE)&lt;&gt;"",IF(VLOOKUP(A88,Ergebnis_je_Aktie_verwässert!A$3:AK$103,17,FALSE)&lt;&gt;"",IF(VLOOKUP(A88,Ergebnis_je_Aktie_verwässert!A$3:AK$103,17,FALSE)&lt;=0,2,IF(VLOOKUP(A88,Fiktive_Dividende!A$3:AM$103,23,FALSE)/VLOOKUP(A88,Ergebnis_je_Aktie_verwässert!A$3:AK$103,17,FALSE)&gt;=2,2,VLOOKUP(A88,Fiktive_Dividende!A$3:AM$103,23,FALSE)/VLOOKUP(A88,Ergebnis_je_Aktie_verwässert!A$3:AK$103,17,FALSE))),""),"")</f>
        <v>#N/A</v>
      </c>
      <c r="R88" s="71" t="e">
        <f>IF(VLOOKUP(A88,Fiktive_Dividende!A$3:AM$103,24,FALSE)&lt;&gt;"",IF(VLOOKUP(A88,Ergebnis_je_Aktie_verwässert!A$3:AK$103,18,FALSE)&lt;&gt;"",IF(VLOOKUP(A88,Ergebnis_je_Aktie_verwässert!A$3:AK$103,18,FALSE)&lt;=0,2,IF(VLOOKUP(A88,Fiktive_Dividende!A$3:AM$103,24,FALSE)/VLOOKUP(A88,Ergebnis_je_Aktie_verwässert!A$3:AK$103,18,FALSE)&gt;=2,2,VLOOKUP(A88,Fiktive_Dividende!A$3:AM$103,24,FALSE)/VLOOKUP(A88,Ergebnis_je_Aktie_verwässert!A$3:AK$103,18,FALSE))),""),"")</f>
        <v>#N/A</v>
      </c>
      <c r="S88" s="105" t="e">
        <f t="shared" si="14"/>
        <v>#N/A</v>
      </c>
      <c r="T88" s="71" t="e">
        <f>IF(VLOOKUP(A88,Dividende_je_Aktie!A$3:AM$103,6,FALSE)&lt;&gt;"",IF(VLOOKUP(A88,Ergebnis_je_Aktie_verwässert!A$3:AK$103,6,FALSE)&lt;&gt;"",IF(VLOOKUP(A88,Ergebnis_je_Aktie_verwässert!A$3:AK$103,6,FALSE)&lt;=0,2,IF(VLOOKUP(A88,Dividende_je_Aktie!A$3:AM$103,6,FALSE)/VLOOKUP(A88,Ergebnis_je_Aktie_verwässert!A$3:AK$103,6,FALSE)&gt;=2,2,VLOOKUP(A88,Dividende_je_Aktie!A$3:AM$103,6,FALSE)/VLOOKUP(A88,Ergebnis_je_Aktie_verwässert!A$3:AK$103,6,FALSE))),""),"")</f>
        <v>#N/A</v>
      </c>
      <c r="U88" s="71" t="e">
        <f>IF(VLOOKUP(A88,Dividende_je_Aktie!A$3:AM$103,7,FALSE)&lt;&gt;"",IF(VLOOKUP(A88,Ergebnis_je_Aktie_verwässert!A$3:AK$103,7,FALSE)&lt;&gt;"",IF(VLOOKUP(A88,Ergebnis_je_Aktie_verwässert!A$3:AK$103,7,FALSE)&lt;=0,2,IF(VLOOKUP(A88,Dividende_je_Aktie!A$3:AM$103,7,FALSE)/VLOOKUP(A88,Ergebnis_je_Aktie_verwässert!A$3:AK$103,7,FALSE)&gt;=2,2,VLOOKUP(A88,Dividende_je_Aktie!A$3:AM$103,7,FALSE)/VLOOKUP(A88,Ergebnis_je_Aktie_verwässert!A$3:AK$103,7,FALSE))),""),"")</f>
        <v>#N/A</v>
      </c>
      <c r="V88" s="71" t="e">
        <f>IF(VLOOKUP(A88,Dividende_je_Aktie!A$3:AM$103,8,FALSE)&lt;&gt;"",IF(VLOOKUP(A88,Ergebnis_je_Aktie_verwässert!A$3:AK$103,8,FALSE)&lt;&gt;"",IF(VLOOKUP(A88,Ergebnis_je_Aktie_verwässert!A$3:AK$103,8,FALSE)&lt;=0,2,IF(VLOOKUP(A88,Dividende_je_Aktie!A$3:AM$103,8,FALSE)/VLOOKUP(A88,Ergebnis_je_Aktie_verwässert!A$3:AK$103,8,FALSE)&gt;=2,2,VLOOKUP(A88,Dividende_je_Aktie!A$3:AM$103,8,FALSE)/VLOOKUP(A88,Ergebnis_je_Aktie_verwässert!A$3:AK$103,8,FALSE))),""),"")</f>
        <v>#N/A</v>
      </c>
      <c r="W88" s="71" t="e">
        <f>IF(VLOOKUP(A88,Dividende_je_Aktie!A$3:AM$103,9,FALSE)&lt;&gt;"",IF(VLOOKUP(A88,Ergebnis_je_Aktie_verwässert!A$3:AK$103,9,FALSE)&lt;&gt;"",IF(VLOOKUP(A88,Ergebnis_je_Aktie_verwässert!A$3:AK$103,9,FALSE)&lt;=0,2,IF(VLOOKUP(A88,Dividende_je_Aktie!A$3:AM$103,9,FALSE)/VLOOKUP(A88,Ergebnis_je_Aktie_verwässert!A$3:AK$103,9,FALSE)&gt;=2,2,VLOOKUP(A88,Dividende_je_Aktie!A$3:AM$103,9,FALSE)/VLOOKUP(A88,Ergebnis_je_Aktie_verwässert!A$3:AK$103,9,FALSE))),""),"")</f>
        <v>#N/A</v>
      </c>
      <c r="X88" s="71" t="e">
        <f>IF(VLOOKUP(A88,Dividende_je_Aktie!A$3:AM$103,10,FALSE)&lt;&gt;"",IF(VLOOKUP(A88,Ergebnis_je_Aktie_verwässert!A$3:AK$103,10,FALSE)&lt;&gt;"",IF(VLOOKUP(A88,Ergebnis_je_Aktie_verwässert!A$3:AK$103,10,FALSE)&lt;=0,2,IF(VLOOKUP(A88,Dividende_je_Aktie!A$3:AM$103,10,FALSE)/VLOOKUP(A88,Ergebnis_je_Aktie_verwässert!A$3:AK$103,10,FALSE)&gt;=2,2,VLOOKUP(A88,Dividende_je_Aktie!A$3:AM$103,10,FALSE)/VLOOKUP(A88,Ergebnis_je_Aktie_verwässert!A$3:AK$103,10,FALSE))),""),"")</f>
        <v>#N/A</v>
      </c>
      <c r="Y88" s="71" t="e">
        <f>IF(VLOOKUP(A88,Dividende_je_Aktie!A$3:AM$103,11,FALSE)&lt;&gt;"",IF(VLOOKUP(A88,Ergebnis_je_Aktie_verwässert!A$3:AK$103,11,FALSE)&lt;&gt;"",IF(VLOOKUP(A88,Ergebnis_je_Aktie_verwässert!A$3:AK$103,11,FALSE)&lt;=0,2,IF(VLOOKUP(A88,Dividende_je_Aktie!A$3:AM$103,11,FALSE)/VLOOKUP(A88,Ergebnis_je_Aktie_verwässert!A$3:AK$103,11,FALSE)&gt;=2,2,VLOOKUP(A88,Dividende_je_Aktie!A$3:AM$103,11,FALSE)/VLOOKUP(A88,Ergebnis_je_Aktie_verwässert!A$3:AK$103,11,FALSE))),""),"")</f>
        <v>#N/A</v>
      </c>
      <c r="Z88" s="71" t="e">
        <f>IF(VLOOKUP(A88,Dividende_je_Aktie!A$3:AM$103,12,FALSE)&lt;&gt;"",IF(VLOOKUP(A88,Ergebnis_je_Aktie_verwässert!A$3:AK$103,12,FALSE)&lt;&gt;"",IF(VLOOKUP(A88,Ergebnis_je_Aktie_verwässert!A$3:AK$103,12,FALSE)&lt;=0,2,IF(VLOOKUP(A88,Dividende_je_Aktie!A$3:AM$103,12,FALSE)/VLOOKUP(A88,Ergebnis_je_Aktie_verwässert!A$3:AK$103,12,FALSE)&gt;=2,2,VLOOKUP(A88,Dividende_je_Aktie!A$3:AM$103,12,FALSE)/VLOOKUP(A88,Ergebnis_je_Aktie_verwässert!A$3:AK$103,12,FALSE))),""),"")</f>
        <v>#N/A</v>
      </c>
      <c r="AA88" s="71" t="e">
        <f>IF(VLOOKUP(A88,Dividende_je_Aktie!A$3:AM$103,13,FALSE)&lt;&gt;"",IF(VLOOKUP(A88,Ergebnis_je_Aktie_verwässert!A$3:AK$103,13,FALSE)&lt;&gt;"",IF(VLOOKUP(A88,Ergebnis_je_Aktie_verwässert!A$3:AK$103,13,FALSE)&lt;=0,2,IF(VLOOKUP(A88,Dividende_je_Aktie!A$3:AM$103,13,FALSE)/VLOOKUP(A88,Ergebnis_je_Aktie_verwässert!A$3:AK$103,13,FALSE)&gt;=2,2,VLOOKUP(A88,Dividende_je_Aktie!A$3:AM$103,13,FALSE)/VLOOKUP(A88,Ergebnis_je_Aktie_verwässert!A$3:AK$103,13,FALSE))),""),"")</f>
        <v>#N/A</v>
      </c>
      <c r="AB88" s="71" t="e">
        <f>IF(VLOOKUP(A88,Dividende_je_Aktie!A$3:AM$103,14,FALSE)&lt;&gt;"",IF(VLOOKUP(A88,Ergebnis_je_Aktie_verwässert!A$3:AK$103,14,FALSE)&lt;&gt;"",IF(VLOOKUP(A88,Ergebnis_je_Aktie_verwässert!A$3:AK$103,14,FALSE)&lt;=0,2,IF(VLOOKUP(A88,Dividende_je_Aktie!A$3:AM$103,14,FALSE)/VLOOKUP(A88,Ergebnis_je_Aktie_verwässert!A$3:AK$103,14,FALSE)&gt;=2,2,VLOOKUP(A88,Dividende_je_Aktie!A$3:AM$103,14,FALSE)/VLOOKUP(A88,Ergebnis_je_Aktie_verwässert!A$3:AK$103,14,FALSE))),""),"")</f>
        <v>#N/A</v>
      </c>
      <c r="AC88" s="71" t="e">
        <f>IF(VLOOKUP(A88,Dividende_je_Aktie!A$3:AM$103,15,FALSE)&lt;&gt;"",IF(VLOOKUP(A88,Ergebnis_je_Aktie_verwässert!A$3:AK$103,15,FALSE)&lt;&gt;"",IF(VLOOKUP(A88,Ergebnis_je_Aktie_verwässert!A$3:AK$103,15,FALSE)&lt;=0,2,IF(VLOOKUP(A88,Dividende_je_Aktie!A$3:AM$103,15,FALSE)/VLOOKUP(A88,Ergebnis_je_Aktie_verwässert!A$3:AK$103,15,FALSE)&gt;=2,2,VLOOKUP(A88,Dividende_je_Aktie!A$3:AM$103,15,FALSE)/VLOOKUP(A88,Ergebnis_je_Aktie_verwässert!A$3:AK$103,15,FALSE))),""),"")</f>
        <v>#N/A</v>
      </c>
      <c r="AD88" s="71" t="e">
        <f>IF(VLOOKUP(A88,Dividende_je_Aktie!A$3:AM$103,16,FALSE)&lt;&gt;"",IF(VLOOKUP(A88,Ergebnis_je_Aktie_verwässert!A$3:AK$103,16,FALSE)&lt;&gt;"",IF(VLOOKUP(A88,Ergebnis_je_Aktie_verwässert!A$3:AK$103,16,FALSE)&lt;=0,2,IF(VLOOKUP(A88,Dividende_je_Aktie!A$3:AM$103,16,FALSE)/VLOOKUP(A88,Ergebnis_je_Aktie_verwässert!A$3:AK$103,16,FALSE)&gt;=2,2,VLOOKUP(A88,Dividende_je_Aktie!A$3:AM$103,16,FALSE)/VLOOKUP(A88,Ergebnis_je_Aktie_verwässert!A$3:AK$103,16,FALSE))),""),"")</f>
        <v>#N/A</v>
      </c>
      <c r="AE88" s="71" t="e">
        <f>IF(VLOOKUP(A88,Dividende_je_Aktie!A$3:AM$103,17,FALSE)&lt;&gt;"",IF(VLOOKUP(A88,Ergebnis_je_Aktie_verwässert!A$3:AK$103,17,FALSE)&lt;&gt;"",IF(VLOOKUP(A88,Ergebnis_je_Aktie_verwässert!A$3:AK$103,17,FALSE)&lt;=0,2,IF(VLOOKUP(A88,Dividende_je_Aktie!A$3:AM$103,17,FALSE)/VLOOKUP(A88,Ergebnis_je_Aktie_verwässert!A$3:AK$103,17,FALSE)&gt;=2,2,VLOOKUP(A88,Dividende_je_Aktie!A$3:AM$103,17,FALSE)/VLOOKUP(A88,Ergebnis_je_Aktie_verwässert!A$3:AK$103,17,FALSE))),""),"")</f>
        <v>#N/A</v>
      </c>
      <c r="AF88" s="71" t="e">
        <f>IF(VLOOKUP(A88,Dividende_je_Aktie!A$3:AM$103,18,FALSE)&lt;&gt;"",IF(VLOOKUP(A88,Ergebnis_je_Aktie_verwässert!A$3:AK$103,18,FALSE)&lt;&gt;"",IF(VLOOKUP(A88,Ergebnis_je_Aktie_verwässert!A$3:AK$103,18,FALSE)&lt;=0,2,IF(VLOOKUP(A88,Dividende_je_Aktie!A$3:AM$103,18,FALSE)/VLOOKUP(A88,Ergebnis_je_Aktie_verwässert!A$3:AK$103,18,FALSE)&gt;=2,2,VLOOKUP(A88,Dividende_je_Aktie!A$3:AM$103,18,FALSE)/VLOOKUP(A88,Ergebnis_je_Aktie_verwässert!A$3:AK$103,18,FALSE))),""),"")</f>
        <v>#N/A</v>
      </c>
      <c r="AG88" s="105" t="e">
        <f t="shared" si="15"/>
        <v>#N/A</v>
      </c>
      <c r="AH88" s="4">
        <f t="shared" ca="1" si="16"/>
        <v>41899</v>
      </c>
      <c r="AI88" s="4">
        <f t="shared" ca="1" si="17"/>
        <v>-41539</v>
      </c>
      <c r="AJ88" s="4" t="e">
        <f t="shared" ca="1" si="18"/>
        <v>#NUM!</v>
      </c>
      <c r="AK88" s="10" t="e">
        <f t="shared" ca="1" si="19"/>
        <v>#N/A</v>
      </c>
      <c r="AL88" s="5" t="e">
        <f t="shared" si="20"/>
        <v>#N/A</v>
      </c>
    </row>
    <row r="89" spans="3:38">
      <c r="C89" s="60"/>
      <c r="D89" s="60"/>
      <c r="E89" s="60"/>
      <c r="F89" s="71" t="e">
        <f>IF(VLOOKUP(A89,Dividende_je_Aktie!A$3:AM$103,6,FALSE)&lt;&gt;"",IF(VLOOKUP(A89,Ergebnis_je_Aktie_verwässert!A$3:AK$103,6,FALSE)&lt;&gt;"",IF(VLOOKUP(A89,Ergebnis_je_Aktie_verwässert!A$3:AK$103,6,FALSE)&lt;=0,2,IF(VLOOKUP(A89,Dividende_je_Aktie!A$3:AM$103,6,FALSE)/VLOOKUP(A89,Ergebnis_je_Aktie_verwässert!A$3:AK$103,6,FALSE)&gt;=2,2,VLOOKUP(A89,Dividende_je_Aktie!A$3:AM$103,6,FALSE)/VLOOKUP(A89,Ergebnis_je_Aktie_verwässert!A$3:AK$103,6,FALSE))),""),"")</f>
        <v>#N/A</v>
      </c>
      <c r="G89" s="71" t="e">
        <f>IF(VLOOKUP(A89,Dividende_je_Aktie!A$3:AM$103,7,FALSE)&lt;&gt;"",IF(VLOOKUP(A89,Ergebnis_je_Aktie_verwässert!A$3:AK$103,7,FALSE)&lt;&gt;"",IF(VLOOKUP(A89,Ergebnis_je_Aktie_verwässert!A$3:AK$103,7,FALSE)&lt;=0,2,IF(VLOOKUP(A89,Dividende_je_Aktie!A$3:AM$103,7,FALSE)/VLOOKUP(A89,Ergebnis_je_Aktie_verwässert!A$3:AK$103,7,FALSE)&gt;=2,2,VLOOKUP(A89,Dividende_je_Aktie!A$3:AM$103,7,FALSE)/VLOOKUP(A89,Ergebnis_je_Aktie_verwässert!A$3:AK$103,7,FALSE))),""),"")</f>
        <v>#N/A</v>
      </c>
      <c r="H89" s="71" t="e">
        <f>IF(VLOOKUP(A89,Fiktive_Dividende!A$3:AM$103,14,FALSE)&lt;&gt;"",IF(VLOOKUP(A89,Ergebnis_je_Aktie_verwässert!A$3:AK$103,8,FALSE)&lt;&gt;"",IF(VLOOKUP(A89,Ergebnis_je_Aktie_verwässert!A$3:AK$103,8,FALSE)&lt;=0,2,IF(VLOOKUP(A89,Fiktive_Dividende!A$3:AM$103,14,FALSE)/VLOOKUP(A89,Ergebnis_je_Aktie_verwässert!A$3:AK$103,8,FALSE)&gt;=2,2,VLOOKUP(A89,Fiktive_Dividende!A$3:AM$103,14,FALSE)/VLOOKUP(A89,Ergebnis_je_Aktie_verwässert!A$3:AK$103,8,FALSE))),""),"")</f>
        <v>#N/A</v>
      </c>
      <c r="I89" s="71" t="e">
        <f>IF(VLOOKUP(A89,Fiktive_Dividende!A$3:AM$103,15,FALSE)&lt;&gt;"",IF(VLOOKUP(A89,Ergebnis_je_Aktie_verwässert!A$3:AK$103,9,FALSE)&lt;&gt;"",IF(VLOOKUP(A89,Ergebnis_je_Aktie_verwässert!A$3:AK$103,9,FALSE)&lt;=0,2,IF(VLOOKUP(A89,Fiktive_Dividende!A$3:AM$103,15,FALSE)/VLOOKUP(A89,Ergebnis_je_Aktie_verwässert!A$3:AK$103,9,FALSE)&gt;=2,2,VLOOKUP(A89,Fiktive_Dividende!A$3:AM$103,15,FALSE)/VLOOKUP(A89,Ergebnis_je_Aktie_verwässert!A$3:AK$103,9,FALSE))),""),"")</f>
        <v>#N/A</v>
      </c>
      <c r="J89" s="71" t="e">
        <f>IF(VLOOKUP(A89,Fiktive_Dividende!A$3:AM$103,16,FALSE)&lt;&gt;"",IF(VLOOKUP(A89,Ergebnis_je_Aktie_verwässert!A$3:AK$103,10,FALSE)&lt;&gt;"",IF(VLOOKUP(A89,Ergebnis_je_Aktie_verwässert!A$3:AK$103,10,FALSE)&lt;=0,2,IF(VLOOKUP(A89,Fiktive_Dividende!A$3:AM$103,16,FALSE)/VLOOKUP(A89,Ergebnis_je_Aktie_verwässert!A$3:AK$103,10,FALSE)&gt;=2,2,VLOOKUP(A89,Fiktive_Dividende!A$3:AM$103,16,FALSE)/VLOOKUP(A89,Ergebnis_je_Aktie_verwässert!A$3:AK$103,10,FALSE))),""),"")</f>
        <v>#N/A</v>
      </c>
      <c r="K89" s="71" t="e">
        <f>IF(VLOOKUP(A89,Fiktive_Dividende!A$3:AM$103,17,FALSE)&lt;&gt;"",IF(VLOOKUP(A89,Ergebnis_je_Aktie_verwässert!A$3:AK$103,11,FALSE)&lt;&gt;"",IF(VLOOKUP(A89,Ergebnis_je_Aktie_verwässert!A$3:AK$103,11,FALSE)&lt;=0,2,IF(VLOOKUP(A89,Fiktive_Dividende!A$3:AM$103,17,FALSE)/VLOOKUP(A89,Ergebnis_je_Aktie_verwässert!A$3:AK$103,11,FALSE)&gt;=2,2,VLOOKUP(A89,Fiktive_Dividende!A$3:AM$103,17,FALSE)/VLOOKUP(A89,Ergebnis_je_Aktie_verwässert!A$3:AK$103,11,FALSE))),""),"")</f>
        <v>#N/A</v>
      </c>
      <c r="L89" s="71" t="e">
        <f>IF(VLOOKUP(A89,Fiktive_Dividende!A$3:AM$103,18,FALSE)&lt;&gt;"",IF(VLOOKUP(A89,Ergebnis_je_Aktie_verwässert!A$3:AK$103,12,FALSE)&lt;&gt;"",IF(VLOOKUP(A89,Ergebnis_je_Aktie_verwässert!A$3:AK$103,12,FALSE)&lt;=0,2,IF(VLOOKUP(A89,Fiktive_Dividende!A$3:AM$103,18,FALSE)/VLOOKUP(A89,Ergebnis_je_Aktie_verwässert!A$3:AK$103,12,FALSE)&gt;=2,2,VLOOKUP(A89,Fiktive_Dividende!A$3:AM$103,18,FALSE)/VLOOKUP(A89,Ergebnis_je_Aktie_verwässert!A$3:AK$103,12,FALSE))),""),"")</f>
        <v>#N/A</v>
      </c>
      <c r="M89" s="71" t="e">
        <f>IF(VLOOKUP(A89,Fiktive_Dividende!A$3:AM$103,19,FALSE)&lt;&gt;"",IF(VLOOKUP(A89,Ergebnis_je_Aktie_verwässert!A$3:AK$103,13,FALSE)&lt;&gt;"",IF(VLOOKUP(A89,Ergebnis_je_Aktie_verwässert!A$3:AK$103,13,FALSE)&lt;=0,2,IF(VLOOKUP(A89,Fiktive_Dividende!A$3:AM$103,19,FALSE)/VLOOKUP(A89,Ergebnis_je_Aktie_verwässert!A$3:AK$103,13,FALSE)&gt;=2,2,VLOOKUP(A89,Fiktive_Dividende!A$3:AM$103,19,FALSE)/VLOOKUP(A89,Ergebnis_je_Aktie_verwässert!A$3:AK$103,13,FALSE))),""),"")</f>
        <v>#N/A</v>
      </c>
      <c r="N89" s="71" t="e">
        <f>IF(VLOOKUP(A89,Fiktive_Dividende!A$3:AM$103,20,FALSE)&lt;&gt;"",IF(VLOOKUP(A89,Ergebnis_je_Aktie_verwässert!A$3:AK$103,14,FALSE)&lt;&gt;"",IF(VLOOKUP(A89,Ergebnis_je_Aktie_verwässert!A$3:AK$103,14,FALSE)&lt;=0,2,IF(VLOOKUP(A89,Fiktive_Dividende!A$3:AM$103,20,FALSE)/VLOOKUP(A89,Ergebnis_je_Aktie_verwässert!A$3:AK$103,14,FALSE)&gt;=2,2,VLOOKUP(A89,Fiktive_Dividende!A$3:AM$103,20,FALSE)/VLOOKUP(A89,Ergebnis_je_Aktie_verwässert!A$3:AK$103,14,FALSE))),""),"")</f>
        <v>#N/A</v>
      </c>
      <c r="O89" s="71" t="e">
        <f>IF(VLOOKUP(A89,Fiktive_Dividende!A$3:AM$103,21,FALSE)&lt;&gt;"",IF(VLOOKUP(A89,Ergebnis_je_Aktie_verwässert!A$3:AK$103,15,FALSE)&lt;&gt;"",IF(VLOOKUP(A89,Ergebnis_je_Aktie_verwässert!A$3:AK$103,15,FALSE)&lt;=0,2,IF(VLOOKUP(A89,Fiktive_Dividende!A$3:AM$103,21,FALSE)/VLOOKUP(A89,Ergebnis_je_Aktie_verwässert!A$3:AK$103,15,FALSE)&gt;=2,2,VLOOKUP(A89,Fiktive_Dividende!A$3:AM$103,21,FALSE)/VLOOKUP(A89,Ergebnis_je_Aktie_verwässert!A$3:AK$103,15,FALSE))),""),"")</f>
        <v>#N/A</v>
      </c>
      <c r="P89" s="71" t="e">
        <f>IF(VLOOKUP(A89,Fiktive_Dividende!A$3:AM$103,22,FALSE)&lt;&gt;"",IF(VLOOKUP(A89,Ergebnis_je_Aktie_verwässert!A$3:AK$103,16,FALSE)&lt;&gt;"",IF(VLOOKUP(A89,Ergebnis_je_Aktie_verwässert!A$3:AK$103,16,FALSE)&lt;=0,2,IF(VLOOKUP(A89,Fiktive_Dividende!A$3:AM$103,22,FALSE)/VLOOKUP(A89,Ergebnis_je_Aktie_verwässert!A$3:AK$103,16,FALSE)&gt;=2,2,VLOOKUP(A89,Fiktive_Dividende!A$3:AM$103,22,FALSE)/VLOOKUP(A89,Ergebnis_je_Aktie_verwässert!A$3:AK$103,16,FALSE))),""),"")</f>
        <v>#N/A</v>
      </c>
      <c r="Q89" s="71" t="e">
        <f>IF(VLOOKUP(A89,Fiktive_Dividende!A$3:AM$103,23,FALSE)&lt;&gt;"",IF(VLOOKUP(A89,Ergebnis_je_Aktie_verwässert!A$3:AK$103,17,FALSE)&lt;&gt;"",IF(VLOOKUP(A89,Ergebnis_je_Aktie_verwässert!A$3:AK$103,17,FALSE)&lt;=0,2,IF(VLOOKUP(A89,Fiktive_Dividende!A$3:AM$103,23,FALSE)/VLOOKUP(A89,Ergebnis_je_Aktie_verwässert!A$3:AK$103,17,FALSE)&gt;=2,2,VLOOKUP(A89,Fiktive_Dividende!A$3:AM$103,23,FALSE)/VLOOKUP(A89,Ergebnis_je_Aktie_verwässert!A$3:AK$103,17,FALSE))),""),"")</f>
        <v>#N/A</v>
      </c>
      <c r="R89" s="71" t="e">
        <f>IF(VLOOKUP(A89,Fiktive_Dividende!A$3:AM$103,24,FALSE)&lt;&gt;"",IF(VLOOKUP(A89,Ergebnis_je_Aktie_verwässert!A$3:AK$103,18,FALSE)&lt;&gt;"",IF(VLOOKUP(A89,Ergebnis_je_Aktie_verwässert!A$3:AK$103,18,FALSE)&lt;=0,2,IF(VLOOKUP(A89,Fiktive_Dividende!A$3:AM$103,24,FALSE)/VLOOKUP(A89,Ergebnis_je_Aktie_verwässert!A$3:AK$103,18,FALSE)&gt;=2,2,VLOOKUP(A89,Fiktive_Dividende!A$3:AM$103,24,FALSE)/VLOOKUP(A89,Ergebnis_je_Aktie_verwässert!A$3:AK$103,18,FALSE))),""),"")</f>
        <v>#N/A</v>
      </c>
      <c r="S89" s="105" t="e">
        <f t="shared" si="14"/>
        <v>#N/A</v>
      </c>
      <c r="T89" s="71" t="e">
        <f>IF(VLOOKUP(A89,Dividende_je_Aktie!A$3:AM$103,6,FALSE)&lt;&gt;"",IF(VLOOKUP(A89,Ergebnis_je_Aktie_verwässert!A$3:AK$103,6,FALSE)&lt;&gt;"",IF(VLOOKUP(A89,Ergebnis_je_Aktie_verwässert!A$3:AK$103,6,FALSE)&lt;=0,2,IF(VLOOKUP(A89,Dividende_je_Aktie!A$3:AM$103,6,FALSE)/VLOOKUP(A89,Ergebnis_je_Aktie_verwässert!A$3:AK$103,6,FALSE)&gt;=2,2,VLOOKUP(A89,Dividende_je_Aktie!A$3:AM$103,6,FALSE)/VLOOKUP(A89,Ergebnis_je_Aktie_verwässert!A$3:AK$103,6,FALSE))),""),"")</f>
        <v>#N/A</v>
      </c>
      <c r="U89" s="71" t="e">
        <f>IF(VLOOKUP(A89,Dividende_je_Aktie!A$3:AM$103,7,FALSE)&lt;&gt;"",IF(VLOOKUP(A89,Ergebnis_je_Aktie_verwässert!A$3:AK$103,7,FALSE)&lt;&gt;"",IF(VLOOKUP(A89,Ergebnis_je_Aktie_verwässert!A$3:AK$103,7,FALSE)&lt;=0,2,IF(VLOOKUP(A89,Dividende_je_Aktie!A$3:AM$103,7,FALSE)/VLOOKUP(A89,Ergebnis_je_Aktie_verwässert!A$3:AK$103,7,FALSE)&gt;=2,2,VLOOKUP(A89,Dividende_je_Aktie!A$3:AM$103,7,FALSE)/VLOOKUP(A89,Ergebnis_je_Aktie_verwässert!A$3:AK$103,7,FALSE))),""),"")</f>
        <v>#N/A</v>
      </c>
      <c r="V89" s="71" t="e">
        <f>IF(VLOOKUP(A89,Dividende_je_Aktie!A$3:AM$103,8,FALSE)&lt;&gt;"",IF(VLOOKUP(A89,Ergebnis_je_Aktie_verwässert!A$3:AK$103,8,FALSE)&lt;&gt;"",IF(VLOOKUP(A89,Ergebnis_je_Aktie_verwässert!A$3:AK$103,8,FALSE)&lt;=0,2,IF(VLOOKUP(A89,Dividende_je_Aktie!A$3:AM$103,8,FALSE)/VLOOKUP(A89,Ergebnis_je_Aktie_verwässert!A$3:AK$103,8,FALSE)&gt;=2,2,VLOOKUP(A89,Dividende_je_Aktie!A$3:AM$103,8,FALSE)/VLOOKUP(A89,Ergebnis_je_Aktie_verwässert!A$3:AK$103,8,FALSE))),""),"")</f>
        <v>#N/A</v>
      </c>
      <c r="W89" s="71" t="e">
        <f>IF(VLOOKUP(A89,Dividende_je_Aktie!A$3:AM$103,9,FALSE)&lt;&gt;"",IF(VLOOKUP(A89,Ergebnis_je_Aktie_verwässert!A$3:AK$103,9,FALSE)&lt;&gt;"",IF(VLOOKUP(A89,Ergebnis_je_Aktie_verwässert!A$3:AK$103,9,FALSE)&lt;=0,2,IF(VLOOKUP(A89,Dividende_je_Aktie!A$3:AM$103,9,FALSE)/VLOOKUP(A89,Ergebnis_je_Aktie_verwässert!A$3:AK$103,9,FALSE)&gt;=2,2,VLOOKUP(A89,Dividende_je_Aktie!A$3:AM$103,9,FALSE)/VLOOKUP(A89,Ergebnis_je_Aktie_verwässert!A$3:AK$103,9,FALSE))),""),"")</f>
        <v>#N/A</v>
      </c>
      <c r="X89" s="71" t="e">
        <f>IF(VLOOKUP(A89,Dividende_je_Aktie!A$3:AM$103,10,FALSE)&lt;&gt;"",IF(VLOOKUP(A89,Ergebnis_je_Aktie_verwässert!A$3:AK$103,10,FALSE)&lt;&gt;"",IF(VLOOKUP(A89,Ergebnis_je_Aktie_verwässert!A$3:AK$103,10,FALSE)&lt;=0,2,IF(VLOOKUP(A89,Dividende_je_Aktie!A$3:AM$103,10,FALSE)/VLOOKUP(A89,Ergebnis_je_Aktie_verwässert!A$3:AK$103,10,FALSE)&gt;=2,2,VLOOKUP(A89,Dividende_je_Aktie!A$3:AM$103,10,FALSE)/VLOOKUP(A89,Ergebnis_je_Aktie_verwässert!A$3:AK$103,10,FALSE))),""),"")</f>
        <v>#N/A</v>
      </c>
      <c r="Y89" s="71" t="e">
        <f>IF(VLOOKUP(A89,Dividende_je_Aktie!A$3:AM$103,11,FALSE)&lt;&gt;"",IF(VLOOKUP(A89,Ergebnis_je_Aktie_verwässert!A$3:AK$103,11,FALSE)&lt;&gt;"",IF(VLOOKUP(A89,Ergebnis_je_Aktie_verwässert!A$3:AK$103,11,FALSE)&lt;=0,2,IF(VLOOKUP(A89,Dividende_je_Aktie!A$3:AM$103,11,FALSE)/VLOOKUP(A89,Ergebnis_je_Aktie_verwässert!A$3:AK$103,11,FALSE)&gt;=2,2,VLOOKUP(A89,Dividende_je_Aktie!A$3:AM$103,11,FALSE)/VLOOKUP(A89,Ergebnis_je_Aktie_verwässert!A$3:AK$103,11,FALSE))),""),"")</f>
        <v>#N/A</v>
      </c>
      <c r="Z89" s="71" t="e">
        <f>IF(VLOOKUP(A89,Dividende_je_Aktie!A$3:AM$103,12,FALSE)&lt;&gt;"",IF(VLOOKUP(A89,Ergebnis_je_Aktie_verwässert!A$3:AK$103,12,FALSE)&lt;&gt;"",IF(VLOOKUP(A89,Ergebnis_je_Aktie_verwässert!A$3:AK$103,12,FALSE)&lt;=0,2,IF(VLOOKUP(A89,Dividende_je_Aktie!A$3:AM$103,12,FALSE)/VLOOKUP(A89,Ergebnis_je_Aktie_verwässert!A$3:AK$103,12,FALSE)&gt;=2,2,VLOOKUP(A89,Dividende_je_Aktie!A$3:AM$103,12,FALSE)/VLOOKUP(A89,Ergebnis_je_Aktie_verwässert!A$3:AK$103,12,FALSE))),""),"")</f>
        <v>#N/A</v>
      </c>
      <c r="AA89" s="71" t="e">
        <f>IF(VLOOKUP(A89,Dividende_je_Aktie!A$3:AM$103,13,FALSE)&lt;&gt;"",IF(VLOOKUP(A89,Ergebnis_je_Aktie_verwässert!A$3:AK$103,13,FALSE)&lt;&gt;"",IF(VLOOKUP(A89,Ergebnis_je_Aktie_verwässert!A$3:AK$103,13,FALSE)&lt;=0,2,IF(VLOOKUP(A89,Dividende_je_Aktie!A$3:AM$103,13,FALSE)/VLOOKUP(A89,Ergebnis_je_Aktie_verwässert!A$3:AK$103,13,FALSE)&gt;=2,2,VLOOKUP(A89,Dividende_je_Aktie!A$3:AM$103,13,FALSE)/VLOOKUP(A89,Ergebnis_je_Aktie_verwässert!A$3:AK$103,13,FALSE))),""),"")</f>
        <v>#N/A</v>
      </c>
      <c r="AB89" s="71" t="e">
        <f>IF(VLOOKUP(A89,Dividende_je_Aktie!A$3:AM$103,14,FALSE)&lt;&gt;"",IF(VLOOKUP(A89,Ergebnis_je_Aktie_verwässert!A$3:AK$103,14,FALSE)&lt;&gt;"",IF(VLOOKUP(A89,Ergebnis_je_Aktie_verwässert!A$3:AK$103,14,FALSE)&lt;=0,2,IF(VLOOKUP(A89,Dividende_je_Aktie!A$3:AM$103,14,FALSE)/VLOOKUP(A89,Ergebnis_je_Aktie_verwässert!A$3:AK$103,14,FALSE)&gt;=2,2,VLOOKUP(A89,Dividende_je_Aktie!A$3:AM$103,14,FALSE)/VLOOKUP(A89,Ergebnis_je_Aktie_verwässert!A$3:AK$103,14,FALSE))),""),"")</f>
        <v>#N/A</v>
      </c>
      <c r="AC89" s="71" t="e">
        <f>IF(VLOOKUP(A89,Dividende_je_Aktie!A$3:AM$103,15,FALSE)&lt;&gt;"",IF(VLOOKUP(A89,Ergebnis_je_Aktie_verwässert!A$3:AK$103,15,FALSE)&lt;&gt;"",IF(VLOOKUP(A89,Ergebnis_je_Aktie_verwässert!A$3:AK$103,15,FALSE)&lt;=0,2,IF(VLOOKUP(A89,Dividende_je_Aktie!A$3:AM$103,15,FALSE)/VLOOKUP(A89,Ergebnis_je_Aktie_verwässert!A$3:AK$103,15,FALSE)&gt;=2,2,VLOOKUP(A89,Dividende_je_Aktie!A$3:AM$103,15,FALSE)/VLOOKUP(A89,Ergebnis_je_Aktie_verwässert!A$3:AK$103,15,FALSE))),""),"")</f>
        <v>#N/A</v>
      </c>
      <c r="AD89" s="71" t="e">
        <f>IF(VLOOKUP(A89,Dividende_je_Aktie!A$3:AM$103,16,FALSE)&lt;&gt;"",IF(VLOOKUP(A89,Ergebnis_je_Aktie_verwässert!A$3:AK$103,16,FALSE)&lt;&gt;"",IF(VLOOKUP(A89,Ergebnis_je_Aktie_verwässert!A$3:AK$103,16,FALSE)&lt;=0,2,IF(VLOOKUP(A89,Dividende_je_Aktie!A$3:AM$103,16,FALSE)/VLOOKUP(A89,Ergebnis_je_Aktie_verwässert!A$3:AK$103,16,FALSE)&gt;=2,2,VLOOKUP(A89,Dividende_je_Aktie!A$3:AM$103,16,FALSE)/VLOOKUP(A89,Ergebnis_je_Aktie_verwässert!A$3:AK$103,16,FALSE))),""),"")</f>
        <v>#N/A</v>
      </c>
      <c r="AE89" s="71" t="e">
        <f>IF(VLOOKUP(A89,Dividende_je_Aktie!A$3:AM$103,17,FALSE)&lt;&gt;"",IF(VLOOKUP(A89,Ergebnis_je_Aktie_verwässert!A$3:AK$103,17,FALSE)&lt;&gt;"",IF(VLOOKUP(A89,Ergebnis_je_Aktie_verwässert!A$3:AK$103,17,FALSE)&lt;=0,2,IF(VLOOKUP(A89,Dividende_je_Aktie!A$3:AM$103,17,FALSE)/VLOOKUP(A89,Ergebnis_je_Aktie_verwässert!A$3:AK$103,17,FALSE)&gt;=2,2,VLOOKUP(A89,Dividende_je_Aktie!A$3:AM$103,17,FALSE)/VLOOKUP(A89,Ergebnis_je_Aktie_verwässert!A$3:AK$103,17,FALSE))),""),"")</f>
        <v>#N/A</v>
      </c>
      <c r="AF89" s="71" t="e">
        <f>IF(VLOOKUP(A89,Dividende_je_Aktie!A$3:AM$103,18,FALSE)&lt;&gt;"",IF(VLOOKUP(A89,Ergebnis_je_Aktie_verwässert!A$3:AK$103,18,FALSE)&lt;&gt;"",IF(VLOOKUP(A89,Ergebnis_je_Aktie_verwässert!A$3:AK$103,18,FALSE)&lt;=0,2,IF(VLOOKUP(A89,Dividende_je_Aktie!A$3:AM$103,18,FALSE)/VLOOKUP(A89,Ergebnis_je_Aktie_verwässert!A$3:AK$103,18,FALSE)&gt;=2,2,VLOOKUP(A89,Dividende_je_Aktie!A$3:AM$103,18,FALSE)/VLOOKUP(A89,Ergebnis_je_Aktie_verwässert!A$3:AK$103,18,FALSE))),""),"")</f>
        <v>#N/A</v>
      </c>
      <c r="AG89" s="105" t="e">
        <f t="shared" si="15"/>
        <v>#N/A</v>
      </c>
      <c r="AH89" s="4">
        <f t="shared" ca="1" si="16"/>
        <v>41899</v>
      </c>
      <c r="AI89" s="4">
        <f t="shared" ca="1" si="17"/>
        <v>-41539</v>
      </c>
      <c r="AJ89" s="4" t="e">
        <f t="shared" ca="1" si="18"/>
        <v>#NUM!</v>
      </c>
      <c r="AK89" s="10" t="e">
        <f t="shared" ca="1" si="19"/>
        <v>#N/A</v>
      </c>
      <c r="AL89" s="5" t="e">
        <f t="shared" si="20"/>
        <v>#N/A</v>
      </c>
    </row>
    <row r="90" spans="3:38">
      <c r="C90" s="60"/>
      <c r="D90" s="60"/>
      <c r="E90" s="60"/>
      <c r="F90" s="71" t="e">
        <f>IF(VLOOKUP(A90,Dividende_je_Aktie!A$3:AM$103,6,FALSE)&lt;&gt;"",IF(VLOOKUP(A90,Ergebnis_je_Aktie_verwässert!A$3:AK$103,6,FALSE)&lt;&gt;"",IF(VLOOKUP(A90,Ergebnis_je_Aktie_verwässert!A$3:AK$103,6,FALSE)&lt;=0,2,IF(VLOOKUP(A90,Dividende_je_Aktie!A$3:AM$103,6,FALSE)/VLOOKUP(A90,Ergebnis_je_Aktie_verwässert!A$3:AK$103,6,FALSE)&gt;=2,2,VLOOKUP(A90,Dividende_je_Aktie!A$3:AM$103,6,FALSE)/VLOOKUP(A90,Ergebnis_je_Aktie_verwässert!A$3:AK$103,6,FALSE))),""),"")</f>
        <v>#N/A</v>
      </c>
      <c r="G90" s="71" t="e">
        <f>IF(VLOOKUP(A90,Dividende_je_Aktie!A$3:AM$103,7,FALSE)&lt;&gt;"",IF(VLOOKUP(A90,Ergebnis_je_Aktie_verwässert!A$3:AK$103,7,FALSE)&lt;&gt;"",IF(VLOOKUP(A90,Ergebnis_je_Aktie_verwässert!A$3:AK$103,7,FALSE)&lt;=0,2,IF(VLOOKUP(A90,Dividende_je_Aktie!A$3:AM$103,7,FALSE)/VLOOKUP(A90,Ergebnis_je_Aktie_verwässert!A$3:AK$103,7,FALSE)&gt;=2,2,VLOOKUP(A90,Dividende_je_Aktie!A$3:AM$103,7,FALSE)/VLOOKUP(A90,Ergebnis_je_Aktie_verwässert!A$3:AK$103,7,FALSE))),""),"")</f>
        <v>#N/A</v>
      </c>
      <c r="H90" s="71" t="e">
        <f>IF(VLOOKUP(A90,Fiktive_Dividende!A$3:AM$103,14,FALSE)&lt;&gt;"",IF(VLOOKUP(A90,Ergebnis_je_Aktie_verwässert!A$3:AK$103,8,FALSE)&lt;&gt;"",IF(VLOOKUP(A90,Ergebnis_je_Aktie_verwässert!A$3:AK$103,8,FALSE)&lt;=0,2,IF(VLOOKUP(A90,Fiktive_Dividende!A$3:AM$103,14,FALSE)/VLOOKUP(A90,Ergebnis_je_Aktie_verwässert!A$3:AK$103,8,FALSE)&gt;=2,2,VLOOKUP(A90,Fiktive_Dividende!A$3:AM$103,14,FALSE)/VLOOKUP(A90,Ergebnis_je_Aktie_verwässert!A$3:AK$103,8,FALSE))),""),"")</f>
        <v>#N/A</v>
      </c>
      <c r="I90" s="71" t="e">
        <f>IF(VLOOKUP(A90,Fiktive_Dividende!A$3:AM$103,15,FALSE)&lt;&gt;"",IF(VLOOKUP(A90,Ergebnis_je_Aktie_verwässert!A$3:AK$103,9,FALSE)&lt;&gt;"",IF(VLOOKUP(A90,Ergebnis_je_Aktie_verwässert!A$3:AK$103,9,FALSE)&lt;=0,2,IF(VLOOKUP(A90,Fiktive_Dividende!A$3:AM$103,15,FALSE)/VLOOKUP(A90,Ergebnis_je_Aktie_verwässert!A$3:AK$103,9,FALSE)&gt;=2,2,VLOOKUP(A90,Fiktive_Dividende!A$3:AM$103,15,FALSE)/VLOOKUP(A90,Ergebnis_je_Aktie_verwässert!A$3:AK$103,9,FALSE))),""),"")</f>
        <v>#N/A</v>
      </c>
      <c r="J90" s="71" t="e">
        <f>IF(VLOOKUP(A90,Fiktive_Dividende!A$3:AM$103,16,FALSE)&lt;&gt;"",IF(VLOOKUP(A90,Ergebnis_je_Aktie_verwässert!A$3:AK$103,10,FALSE)&lt;&gt;"",IF(VLOOKUP(A90,Ergebnis_je_Aktie_verwässert!A$3:AK$103,10,FALSE)&lt;=0,2,IF(VLOOKUP(A90,Fiktive_Dividende!A$3:AM$103,16,FALSE)/VLOOKUP(A90,Ergebnis_je_Aktie_verwässert!A$3:AK$103,10,FALSE)&gt;=2,2,VLOOKUP(A90,Fiktive_Dividende!A$3:AM$103,16,FALSE)/VLOOKUP(A90,Ergebnis_je_Aktie_verwässert!A$3:AK$103,10,FALSE))),""),"")</f>
        <v>#N/A</v>
      </c>
      <c r="K90" s="71" t="e">
        <f>IF(VLOOKUP(A90,Fiktive_Dividende!A$3:AM$103,17,FALSE)&lt;&gt;"",IF(VLOOKUP(A90,Ergebnis_je_Aktie_verwässert!A$3:AK$103,11,FALSE)&lt;&gt;"",IF(VLOOKUP(A90,Ergebnis_je_Aktie_verwässert!A$3:AK$103,11,FALSE)&lt;=0,2,IF(VLOOKUP(A90,Fiktive_Dividende!A$3:AM$103,17,FALSE)/VLOOKUP(A90,Ergebnis_je_Aktie_verwässert!A$3:AK$103,11,FALSE)&gt;=2,2,VLOOKUP(A90,Fiktive_Dividende!A$3:AM$103,17,FALSE)/VLOOKUP(A90,Ergebnis_je_Aktie_verwässert!A$3:AK$103,11,FALSE))),""),"")</f>
        <v>#N/A</v>
      </c>
      <c r="L90" s="71" t="e">
        <f>IF(VLOOKUP(A90,Fiktive_Dividende!A$3:AM$103,18,FALSE)&lt;&gt;"",IF(VLOOKUP(A90,Ergebnis_je_Aktie_verwässert!A$3:AK$103,12,FALSE)&lt;&gt;"",IF(VLOOKUP(A90,Ergebnis_je_Aktie_verwässert!A$3:AK$103,12,FALSE)&lt;=0,2,IF(VLOOKUP(A90,Fiktive_Dividende!A$3:AM$103,18,FALSE)/VLOOKUP(A90,Ergebnis_je_Aktie_verwässert!A$3:AK$103,12,FALSE)&gt;=2,2,VLOOKUP(A90,Fiktive_Dividende!A$3:AM$103,18,FALSE)/VLOOKUP(A90,Ergebnis_je_Aktie_verwässert!A$3:AK$103,12,FALSE))),""),"")</f>
        <v>#N/A</v>
      </c>
      <c r="M90" s="71" t="e">
        <f>IF(VLOOKUP(A90,Fiktive_Dividende!A$3:AM$103,19,FALSE)&lt;&gt;"",IF(VLOOKUP(A90,Ergebnis_je_Aktie_verwässert!A$3:AK$103,13,FALSE)&lt;&gt;"",IF(VLOOKUP(A90,Ergebnis_je_Aktie_verwässert!A$3:AK$103,13,FALSE)&lt;=0,2,IF(VLOOKUP(A90,Fiktive_Dividende!A$3:AM$103,19,FALSE)/VLOOKUP(A90,Ergebnis_je_Aktie_verwässert!A$3:AK$103,13,FALSE)&gt;=2,2,VLOOKUP(A90,Fiktive_Dividende!A$3:AM$103,19,FALSE)/VLOOKUP(A90,Ergebnis_je_Aktie_verwässert!A$3:AK$103,13,FALSE))),""),"")</f>
        <v>#N/A</v>
      </c>
      <c r="N90" s="71" t="e">
        <f>IF(VLOOKUP(A90,Fiktive_Dividende!A$3:AM$103,20,FALSE)&lt;&gt;"",IF(VLOOKUP(A90,Ergebnis_je_Aktie_verwässert!A$3:AK$103,14,FALSE)&lt;&gt;"",IF(VLOOKUP(A90,Ergebnis_je_Aktie_verwässert!A$3:AK$103,14,FALSE)&lt;=0,2,IF(VLOOKUP(A90,Fiktive_Dividende!A$3:AM$103,20,FALSE)/VLOOKUP(A90,Ergebnis_je_Aktie_verwässert!A$3:AK$103,14,FALSE)&gt;=2,2,VLOOKUP(A90,Fiktive_Dividende!A$3:AM$103,20,FALSE)/VLOOKUP(A90,Ergebnis_je_Aktie_verwässert!A$3:AK$103,14,FALSE))),""),"")</f>
        <v>#N/A</v>
      </c>
      <c r="O90" s="71" t="e">
        <f>IF(VLOOKUP(A90,Fiktive_Dividende!A$3:AM$103,21,FALSE)&lt;&gt;"",IF(VLOOKUP(A90,Ergebnis_je_Aktie_verwässert!A$3:AK$103,15,FALSE)&lt;&gt;"",IF(VLOOKUP(A90,Ergebnis_je_Aktie_verwässert!A$3:AK$103,15,FALSE)&lt;=0,2,IF(VLOOKUP(A90,Fiktive_Dividende!A$3:AM$103,21,FALSE)/VLOOKUP(A90,Ergebnis_je_Aktie_verwässert!A$3:AK$103,15,FALSE)&gt;=2,2,VLOOKUP(A90,Fiktive_Dividende!A$3:AM$103,21,FALSE)/VLOOKUP(A90,Ergebnis_je_Aktie_verwässert!A$3:AK$103,15,FALSE))),""),"")</f>
        <v>#N/A</v>
      </c>
      <c r="P90" s="71" t="e">
        <f>IF(VLOOKUP(A90,Fiktive_Dividende!A$3:AM$103,22,FALSE)&lt;&gt;"",IF(VLOOKUP(A90,Ergebnis_je_Aktie_verwässert!A$3:AK$103,16,FALSE)&lt;&gt;"",IF(VLOOKUP(A90,Ergebnis_je_Aktie_verwässert!A$3:AK$103,16,FALSE)&lt;=0,2,IF(VLOOKUP(A90,Fiktive_Dividende!A$3:AM$103,22,FALSE)/VLOOKUP(A90,Ergebnis_je_Aktie_verwässert!A$3:AK$103,16,FALSE)&gt;=2,2,VLOOKUP(A90,Fiktive_Dividende!A$3:AM$103,22,FALSE)/VLOOKUP(A90,Ergebnis_je_Aktie_verwässert!A$3:AK$103,16,FALSE))),""),"")</f>
        <v>#N/A</v>
      </c>
      <c r="Q90" s="71" t="e">
        <f>IF(VLOOKUP(A90,Fiktive_Dividende!A$3:AM$103,23,FALSE)&lt;&gt;"",IF(VLOOKUP(A90,Ergebnis_je_Aktie_verwässert!A$3:AK$103,17,FALSE)&lt;&gt;"",IF(VLOOKUP(A90,Ergebnis_je_Aktie_verwässert!A$3:AK$103,17,FALSE)&lt;=0,2,IF(VLOOKUP(A90,Fiktive_Dividende!A$3:AM$103,23,FALSE)/VLOOKUP(A90,Ergebnis_je_Aktie_verwässert!A$3:AK$103,17,FALSE)&gt;=2,2,VLOOKUP(A90,Fiktive_Dividende!A$3:AM$103,23,FALSE)/VLOOKUP(A90,Ergebnis_je_Aktie_verwässert!A$3:AK$103,17,FALSE))),""),"")</f>
        <v>#N/A</v>
      </c>
      <c r="R90" s="71" t="e">
        <f>IF(VLOOKUP(A90,Fiktive_Dividende!A$3:AM$103,24,FALSE)&lt;&gt;"",IF(VLOOKUP(A90,Ergebnis_je_Aktie_verwässert!A$3:AK$103,18,FALSE)&lt;&gt;"",IF(VLOOKUP(A90,Ergebnis_je_Aktie_verwässert!A$3:AK$103,18,FALSE)&lt;=0,2,IF(VLOOKUP(A90,Fiktive_Dividende!A$3:AM$103,24,FALSE)/VLOOKUP(A90,Ergebnis_je_Aktie_verwässert!A$3:AK$103,18,FALSE)&gt;=2,2,VLOOKUP(A90,Fiktive_Dividende!A$3:AM$103,24,FALSE)/VLOOKUP(A90,Ergebnis_je_Aktie_verwässert!A$3:AK$103,18,FALSE))),""),"")</f>
        <v>#N/A</v>
      </c>
      <c r="S90" s="105" t="e">
        <f t="shared" si="14"/>
        <v>#N/A</v>
      </c>
      <c r="T90" s="71" t="e">
        <f>IF(VLOOKUP(A90,Dividende_je_Aktie!A$3:AM$103,6,FALSE)&lt;&gt;"",IF(VLOOKUP(A90,Ergebnis_je_Aktie_verwässert!A$3:AK$103,6,FALSE)&lt;&gt;"",IF(VLOOKUP(A90,Ergebnis_je_Aktie_verwässert!A$3:AK$103,6,FALSE)&lt;=0,2,IF(VLOOKUP(A90,Dividende_je_Aktie!A$3:AM$103,6,FALSE)/VLOOKUP(A90,Ergebnis_je_Aktie_verwässert!A$3:AK$103,6,FALSE)&gt;=2,2,VLOOKUP(A90,Dividende_je_Aktie!A$3:AM$103,6,FALSE)/VLOOKUP(A90,Ergebnis_je_Aktie_verwässert!A$3:AK$103,6,FALSE))),""),"")</f>
        <v>#N/A</v>
      </c>
      <c r="U90" s="71" t="e">
        <f>IF(VLOOKUP(A90,Dividende_je_Aktie!A$3:AM$103,7,FALSE)&lt;&gt;"",IF(VLOOKUP(A90,Ergebnis_je_Aktie_verwässert!A$3:AK$103,7,FALSE)&lt;&gt;"",IF(VLOOKUP(A90,Ergebnis_je_Aktie_verwässert!A$3:AK$103,7,FALSE)&lt;=0,2,IF(VLOOKUP(A90,Dividende_je_Aktie!A$3:AM$103,7,FALSE)/VLOOKUP(A90,Ergebnis_je_Aktie_verwässert!A$3:AK$103,7,FALSE)&gt;=2,2,VLOOKUP(A90,Dividende_je_Aktie!A$3:AM$103,7,FALSE)/VLOOKUP(A90,Ergebnis_je_Aktie_verwässert!A$3:AK$103,7,FALSE))),""),"")</f>
        <v>#N/A</v>
      </c>
      <c r="V90" s="71" t="e">
        <f>IF(VLOOKUP(A90,Dividende_je_Aktie!A$3:AM$103,8,FALSE)&lt;&gt;"",IF(VLOOKUP(A90,Ergebnis_je_Aktie_verwässert!A$3:AK$103,8,FALSE)&lt;&gt;"",IF(VLOOKUP(A90,Ergebnis_je_Aktie_verwässert!A$3:AK$103,8,FALSE)&lt;=0,2,IF(VLOOKUP(A90,Dividende_je_Aktie!A$3:AM$103,8,FALSE)/VLOOKUP(A90,Ergebnis_je_Aktie_verwässert!A$3:AK$103,8,FALSE)&gt;=2,2,VLOOKUP(A90,Dividende_je_Aktie!A$3:AM$103,8,FALSE)/VLOOKUP(A90,Ergebnis_je_Aktie_verwässert!A$3:AK$103,8,FALSE))),""),"")</f>
        <v>#N/A</v>
      </c>
      <c r="W90" s="71" t="e">
        <f>IF(VLOOKUP(A90,Dividende_je_Aktie!A$3:AM$103,9,FALSE)&lt;&gt;"",IF(VLOOKUP(A90,Ergebnis_je_Aktie_verwässert!A$3:AK$103,9,FALSE)&lt;&gt;"",IF(VLOOKUP(A90,Ergebnis_je_Aktie_verwässert!A$3:AK$103,9,FALSE)&lt;=0,2,IF(VLOOKUP(A90,Dividende_je_Aktie!A$3:AM$103,9,FALSE)/VLOOKUP(A90,Ergebnis_je_Aktie_verwässert!A$3:AK$103,9,FALSE)&gt;=2,2,VLOOKUP(A90,Dividende_je_Aktie!A$3:AM$103,9,FALSE)/VLOOKUP(A90,Ergebnis_je_Aktie_verwässert!A$3:AK$103,9,FALSE))),""),"")</f>
        <v>#N/A</v>
      </c>
      <c r="X90" s="71" t="e">
        <f>IF(VLOOKUP(A90,Dividende_je_Aktie!A$3:AM$103,10,FALSE)&lt;&gt;"",IF(VLOOKUP(A90,Ergebnis_je_Aktie_verwässert!A$3:AK$103,10,FALSE)&lt;&gt;"",IF(VLOOKUP(A90,Ergebnis_je_Aktie_verwässert!A$3:AK$103,10,FALSE)&lt;=0,2,IF(VLOOKUP(A90,Dividende_je_Aktie!A$3:AM$103,10,FALSE)/VLOOKUP(A90,Ergebnis_je_Aktie_verwässert!A$3:AK$103,10,FALSE)&gt;=2,2,VLOOKUP(A90,Dividende_je_Aktie!A$3:AM$103,10,FALSE)/VLOOKUP(A90,Ergebnis_je_Aktie_verwässert!A$3:AK$103,10,FALSE))),""),"")</f>
        <v>#N/A</v>
      </c>
      <c r="Y90" s="71" t="e">
        <f>IF(VLOOKUP(A90,Dividende_je_Aktie!A$3:AM$103,11,FALSE)&lt;&gt;"",IF(VLOOKUP(A90,Ergebnis_je_Aktie_verwässert!A$3:AK$103,11,FALSE)&lt;&gt;"",IF(VLOOKUP(A90,Ergebnis_je_Aktie_verwässert!A$3:AK$103,11,FALSE)&lt;=0,2,IF(VLOOKUP(A90,Dividende_je_Aktie!A$3:AM$103,11,FALSE)/VLOOKUP(A90,Ergebnis_je_Aktie_verwässert!A$3:AK$103,11,FALSE)&gt;=2,2,VLOOKUP(A90,Dividende_je_Aktie!A$3:AM$103,11,FALSE)/VLOOKUP(A90,Ergebnis_je_Aktie_verwässert!A$3:AK$103,11,FALSE))),""),"")</f>
        <v>#N/A</v>
      </c>
      <c r="Z90" s="71" t="e">
        <f>IF(VLOOKUP(A90,Dividende_je_Aktie!A$3:AM$103,12,FALSE)&lt;&gt;"",IF(VLOOKUP(A90,Ergebnis_je_Aktie_verwässert!A$3:AK$103,12,FALSE)&lt;&gt;"",IF(VLOOKUP(A90,Ergebnis_je_Aktie_verwässert!A$3:AK$103,12,FALSE)&lt;=0,2,IF(VLOOKUP(A90,Dividende_je_Aktie!A$3:AM$103,12,FALSE)/VLOOKUP(A90,Ergebnis_je_Aktie_verwässert!A$3:AK$103,12,FALSE)&gt;=2,2,VLOOKUP(A90,Dividende_je_Aktie!A$3:AM$103,12,FALSE)/VLOOKUP(A90,Ergebnis_je_Aktie_verwässert!A$3:AK$103,12,FALSE))),""),"")</f>
        <v>#N/A</v>
      </c>
      <c r="AA90" s="71" t="e">
        <f>IF(VLOOKUP(A90,Dividende_je_Aktie!A$3:AM$103,13,FALSE)&lt;&gt;"",IF(VLOOKUP(A90,Ergebnis_je_Aktie_verwässert!A$3:AK$103,13,FALSE)&lt;&gt;"",IF(VLOOKUP(A90,Ergebnis_je_Aktie_verwässert!A$3:AK$103,13,FALSE)&lt;=0,2,IF(VLOOKUP(A90,Dividende_je_Aktie!A$3:AM$103,13,FALSE)/VLOOKUP(A90,Ergebnis_je_Aktie_verwässert!A$3:AK$103,13,FALSE)&gt;=2,2,VLOOKUP(A90,Dividende_je_Aktie!A$3:AM$103,13,FALSE)/VLOOKUP(A90,Ergebnis_je_Aktie_verwässert!A$3:AK$103,13,FALSE))),""),"")</f>
        <v>#N/A</v>
      </c>
      <c r="AB90" s="71" t="e">
        <f>IF(VLOOKUP(A90,Dividende_je_Aktie!A$3:AM$103,14,FALSE)&lt;&gt;"",IF(VLOOKUP(A90,Ergebnis_je_Aktie_verwässert!A$3:AK$103,14,FALSE)&lt;&gt;"",IF(VLOOKUP(A90,Ergebnis_je_Aktie_verwässert!A$3:AK$103,14,FALSE)&lt;=0,2,IF(VLOOKUP(A90,Dividende_je_Aktie!A$3:AM$103,14,FALSE)/VLOOKUP(A90,Ergebnis_je_Aktie_verwässert!A$3:AK$103,14,FALSE)&gt;=2,2,VLOOKUP(A90,Dividende_je_Aktie!A$3:AM$103,14,FALSE)/VLOOKUP(A90,Ergebnis_je_Aktie_verwässert!A$3:AK$103,14,FALSE))),""),"")</f>
        <v>#N/A</v>
      </c>
      <c r="AC90" s="71" t="e">
        <f>IF(VLOOKUP(A90,Dividende_je_Aktie!A$3:AM$103,15,FALSE)&lt;&gt;"",IF(VLOOKUP(A90,Ergebnis_je_Aktie_verwässert!A$3:AK$103,15,FALSE)&lt;&gt;"",IF(VLOOKUP(A90,Ergebnis_je_Aktie_verwässert!A$3:AK$103,15,FALSE)&lt;=0,2,IF(VLOOKUP(A90,Dividende_je_Aktie!A$3:AM$103,15,FALSE)/VLOOKUP(A90,Ergebnis_je_Aktie_verwässert!A$3:AK$103,15,FALSE)&gt;=2,2,VLOOKUP(A90,Dividende_je_Aktie!A$3:AM$103,15,FALSE)/VLOOKUP(A90,Ergebnis_je_Aktie_verwässert!A$3:AK$103,15,FALSE))),""),"")</f>
        <v>#N/A</v>
      </c>
      <c r="AD90" s="71" t="e">
        <f>IF(VLOOKUP(A90,Dividende_je_Aktie!A$3:AM$103,16,FALSE)&lt;&gt;"",IF(VLOOKUP(A90,Ergebnis_je_Aktie_verwässert!A$3:AK$103,16,FALSE)&lt;&gt;"",IF(VLOOKUP(A90,Ergebnis_je_Aktie_verwässert!A$3:AK$103,16,FALSE)&lt;=0,2,IF(VLOOKUP(A90,Dividende_je_Aktie!A$3:AM$103,16,FALSE)/VLOOKUP(A90,Ergebnis_je_Aktie_verwässert!A$3:AK$103,16,FALSE)&gt;=2,2,VLOOKUP(A90,Dividende_je_Aktie!A$3:AM$103,16,FALSE)/VLOOKUP(A90,Ergebnis_je_Aktie_verwässert!A$3:AK$103,16,FALSE))),""),"")</f>
        <v>#N/A</v>
      </c>
      <c r="AE90" s="71" t="e">
        <f>IF(VLOOKUP(A90,Dividende_je_Aktie!A$3:AM$103,17,FALSE)&lt;&gt;"",IF(VLOOKUP(A90,Ergebnis_je_Aktie_verwässert!A$3:AK$103,17,FALSE)&lt;&gt;"",IF(VLOOKUP(A90,Ergebnis_je_Aktie_verwässert!A$3:AK$103,17,FALSE)&lt;=0,2,IF(VLOOKUP(A90,Dividende_je_Aktie!A$3:AM$103,17,FALSE)/VLOOKUP(A90,Ergebnis_je_Aktie_verwässert!A$3:AK$103,17,FALSE)&gt;=2,2,VLOOKUP(A90,Dividende_je_Aktie!A$3:AM$103,17,FALSE)/VLOOKUP(A90,Ergebnis_je_Aktie_verwässert!A$3:AK$103,17,FALSE))),""),"")</f>
        <v>#N/A</v>
      </c>
      <c r="AF90" s="71" t="e">
        <f>IF(VLOOKUP(A90,Dividende_je_Aktie!A$3:AM$103,18,FALSE)&lt;&gt;"",IF(VLOOKUP(A90,Ergebnis_je_Aktie_verwässert!A$3:AK$103,18,FALSE)&lt;&gt;"",IF(VLOOKUP(A90,Ergebnis_je_Aktie_verwässert!A$3:AK$103,18,FALSE)&lt;=0,2,IF(VLOOKUP(A90,Dividende_je_Aktie!A$3:AM$103,18,FALSE)/VLOOKUP(A90,Ergebnis_je_Aktie_verwässert!A$3:AK$103,18,FALSE)&gt;=2,2,VLOOKUP(A90,Dividende_je_Aktie!A$3:AM$103,18,FALSE)/VLOOKUP(A90,Ergebnis_je_Aktie_verwässert!A$3:AK$103,18,FALSE))),""),"")</f>
        <v>#N/A</v>
      </c>
      <c r="AG90" s="105" t="e">
        <f t="shared" si="15"/>
        <v>#N/A</v>
      </c>
      <c r="AH90" s="4">
        <f t="shared" ca="1" si="16"/>
        <v>41899</v>
      </c>
      <c r="AI90" s="4">
        <f t="shared" ca="1" si="17"/>
        <v>-41539</v>
      </c>
      <c r="AJ90" s="4" t="e">
        <f t="shared" ca="1" si="18"/>
        <v>#NUM!</v>
      </c>
      <c r="AK90" s="10" t="e">
        <f t="shared" ca="1" si="19"/>
        <v>#N/A</v>
      </c>
      <c r="AL90" s="5" t="e">
        <f t="shared" si="20"/>
        <v>#N/A</v>
      </c>
    </row>
    <row r="91" spans="3:38">
      <c r="C91" s="60"/>
      <c r="D91" s="60"/>
      <c r="E91" s="60"/>
      <c r="F91" s="71" t="e">
        <f>IF(VLOOKUP(A91,Dividende_je_Aktie!A$3:AM$103,6,FALSE)&lt;&gt;"",IF(VLOOKUP(A91,Ergebnis_je_Aktie_verwässert!A$3:AK$103,6,FALSE)&lt;&gt;"",IF(VLOOKUP(A91,Ergebnis_je_Aktie_verwässert!A$3:AK$103,6,FALSE)&lt;=0,2,IF(VLOOKUP(A91,Dividende_je_Aktie!A$3:AM$103,6,FALSE)/VLOOKUP(A91,Ergebnis_je_Aktie_verwässert!A$3:AK$103,6,FALSE)&gt;=2,2,VLOOKUP(A91,Dividende_je_Aktie!A$3:AM$103,6,FALSE)/VLOOKUP(A91,Ergebnis_je_Aktie_verwässert!A$3:AK$103,6,FALSE))),""),"")</f>
        <v>#N/A</v>
      </c>
      <c r="G91" s="71" t="e">
        <f>IF(VLOOKUP(A91,Dividende_je_Aktie!A$3:AM$103,7,FALSE)&lt;&gt;"",IF(VLOOKUP(A91,Ergebnis_je_Aktie_verwässert!A$3:AK$103,7,FALSE)&lt;&gt;"",IF(VLOOKUP(A91,Ergebnis_je_Aktie_verwässert!A$3:AK$103,7,FALSE)&lt;=0,2,IF(VLOOKUP(A91,Dividende_je_Aktie!A$3:AM$103,7,FALSE)/VLOOKUP(A91,Ergebnis_je_Aktie_verwässert!A$3:AK$103,7,FALSE)&gt;=2,2,VLOOKUP(A91,Dividende_je_Aktie!A$3:AM$103,7,FALSE)/VLOOKUP(A91,Ergebnis_je_Aktie_verwässert!A$3:AK$103,7,FALSE))),""),"")</f>
        <v>#N/A</v>
      </c>
      <c r="H91" s="71" t="e">
        <f>IF(VLOOKUP(A91,Fiktive_Dividende!A$3:AM$103,14,FALSE)&lt;&gt;"",IF(VLOOKUP(A91,Ergebnis_je_Aktie_verwässert!A$3:AK$103,8,FALSE)&lt;&gt;"",IF(VLOOKUP(A91,Ergebnis_je_Aktie_verwässert!A$3:AK$103,8,FALSE)&lt;=0,2,IF(VLOOKUP(A91,Fiktive_Dividende!A$3:AM$103,14,FALSE)/VLOOKUP(A91,Ergebnis_je_Aktie_verwässert!A$3:AK$103,8,FALSE)&gt;=2,2,VLOOKUP(A91,Fiktive_Dividende!A$3:AM$103,14,FALSE)/VLOOKUP(A91,Ergebnis_je_Aktie_verwässert!A$3:AK$103,8,FALSE))),""),"")</f>
        <v>#N/A</v>
      </c>
      <c r="I91" s="71" t="e">
        <f>IF(VLOOKUP(A91,Fiktive_Dividende!A$3:AM$103,15,FALSE)&lt;&gt;"",IF(VLOOKUP(A91,Ergebnis_je_Aktie_verwässert!A$3:AK$103,9,FALSE)&lt;&gt;"",IF(VLOOKUP(A91,Ergebnis_je_Aktie_verwässert!A$3:AK$103,9,FALSE)&lt;=0,2,IF(VLOOKUP(A91,Fiktive_Dividende!A$3:AM$103,15,FALSE)/VLOOKUP(A91,Ergebnis_je_Aktie_verwässert!A$3:AK$103,9,FALSE)&gt;=2,2,VLOOKUP(A91,Fiktive_Dividende!A$3:AM$103,15,FALSE)/VLOOKUP(A91,Ergebnis_je_Aktie_verwässert!A$3:AK$103,9,FALSE))),""),"")</f>
        <v>#N/A</v>
      </c>
      <c r="J91" s="71" t="e">
        <f>IF(VLOOKUP(A91,Fiktive_Dividende!A$3:AM$103,16,FALSE)&lt;&gt;"",IF(VLOOKUP(A91,Ergebnis_je_Aktie_verwässert!A$3:AK$103,10,FALSE)&lt;&gt;"",IF(VLOOKUP(A91,Ergebnis_je_Aktie_verwässert!A$3:AK$103,10,FALSE)&lt;=0,2,IF(VLOOKUP(A91,Fiktive_Dividende!A$3:AM$103,16,FALSE)/VLOOKUP(A91,Ergebnis_je_Aktie_verwässert!A$3:AK$103,10,FALSE)&gt;=2,2,VLOOKUP(A91,Fiktive_Dividende!A$3:AM$103,16,FALSE)/VLOOKUP(A91,Ergebnis_je_Aktie_verwässert!A$3:AK$103,10,FALSE))),""),"")</f>
        <v>#N/A</v>
      </c>
      <c r="K91" s="71" t="e">
        <f>IF(VLOOKUP(A91,Fiktive_Dividende!A$3:AM$103,17,FALSE)&lt;&gt;"",IF(VLOOKUP(A91,Ergebnis_je_Aktie_verwässert!A$3:AK$103,11,FALSE)&lt;&gt;"",IF(VLOOKUP(A91,Ergebnis_je_Aktie_verwässert!A$3:AK$103,11,FALSE)&lt;=0,2,IF(VLOOKUP(A91,Fiktive_Dividende!A$3:AM$103,17,FALSE)/VLOOKUP(A91,Ergebnis_je_Aktie_verwässert!A$3:AK$103,11,FALSE)&gt;=2,2,VLOOKUP(A91,Fiktive_Dividende!A$3:AM$103,17,FALSE)/VLOOKUP(A91,Ergebnis_je_Aktie_verwässert!A$3:AK$103,11,FALSE))),""),"")</f>
        <v>#N/A</v>
      </c>
      <c r="L91" s="71" t="e">
        <f>IF(VLOOKUP(A91,Fiktive_Dividende!A$3:AM$103,18,FALSE)&lt;&gt;"",IF(VLOOKUP(A91,Ergebnis_je_Aktie_verwässert!A$3:AK$103,12,FALSE)&lt;&gt;"",IF(VLOOKUP(A91,Ergebnis_je_Aktie_verwässert!A$3:AK$103,12,FALSE)&lt;=0,2,IF(VLOOKUP(A91,Fiktive_Dividende!A$3:AM$103,18,FALSE)/VLOOKUP(A91,Ergebnis_je_Aktie_verwässert!A$3:AK$103,12,FALSE)&gt;=2,2,VLOOKUP(A91,Fiktive_Dividende!A$3:AM$103,18,FALSE)/VLOOKUP(A91,Ergebnis_je_Aktie_verwässert!A$3:AK$103,12,FALSE))),""),"")</f>
        <v>#N/A</v>
      </c>
      <c r="M91" s="71" t="e">
        <f>IF(VLOOKUP(A91,Fiktive_Dividende!A$3:AM$103,19,FALSE)&lt;&gt;"",IF(VLOOKUP(A91,Ergebnis_je_Aktie_verwässert!A$3:AK$103,13,FALSE)&lt;&gt;"",IF(VLOOKUP(A91,Ergebnis_je_Aktie_verwässert!A$3:AK$103,13,FALSE)&lt;=0,2,IF(VLOOKUP(A91,Fiktive_Dividende!A$3:AM$103,19,FALSE)/VLOOKUP(A91,Ergebnis_je_Aktie_verwässert!A$3:AK$103,13,FALSE)&gt;=2,2,VLOOKUP(A91,Fiktive_Dividende!A$3:AM$103,19,FALSE)/VLOOKUP(A91,Ergebnis_je_Aktie_verwässert!A$3:AK$103,13,FALSE))),""),"")</f>
        <v>#N/A</v>
      </c>
      <c r="N91" s="71" t="e">
        <f>IF(VLOOKUP(A91,Fiktive_Dividende!A$3:AM$103,20,FALSE)&lt;&gt;"",IF(VLOOKUP(A91,Ergebnis_je_Aktie_verwässert!A$3:AK$103,14,FALSE)&lt;&gt;"",IF(VLOOKUP(A91,Ergebnis_je_Aktie_verwässert!A$3:AK$103,14,FALSE)&lt;=0,2,IF(VLOOKUP(A91,Fiktive_Dividende!A$3:AM$103,20,FALSE)/VLOOKUP(A91,Ergebnis_je_Aktie_verwässert!A$3:AK$103,14,FALSE)&gt;=2,2,VLOOKUP(A91,Fiktive_Dividende!A$3:AM$103,20,FALSE)/VLOOKUP(A91,Ergebnis_je_Aktie_verwässert!A$3:AK$103,14,FALSE))),""),"")</f>
        <v>#N/A</v>
      </c>
      <c r="O91" s="71" t="e">
        <f>IF(VLOOKUP(A91,Fiktive_Dividende!A$3:AM$103,21,FALSE)&lt;&gt;"",IF(VLOOKUP(A91,Ergebnis_je_Aktie_verwässert!A$3:AK$103,15,FALSE)&lt;&gt;"",IF(VLOOKUP(A91,Ergebnis_je_Aktie_verwässert!A$3:AK$103,15,FALSE)&lt;=0,2,IF(VLOOKUP(A91,Fiktive_Dividende!A$3:AM$103,21,FALSE)/VLOOKUP(A91,Ergebnis_je_Aktie_verwässert!A$3:AK$103,15,FALSE)&gt;=2,2,VLOOKUP(A91,Fiktive_Dividende!A$3:AM$103,21,FALSE)/VLOOKUP(A91,Ergebnis_je_Aktie_verwässert!A$3:AK$103,15,FALSE))),""),"")</f>
        <v>#N/A</v>
      </c>
      <c r="P91" s="71" t="e">
        <f>IF(VLOOKUP(A91,Fiktive_Dividende!A$3:AM$103,22,FALSE)&lt;&gt;"",IF(VLOOKUP(A91,Ergebnis_je_Aktie_verwässert!A$3:AK$103,16,FALSE)&lt;&gt;"",IF(VLOOKUP(A91,Ergebnis_je_Aktie_verwässert!A$3:AK$103,16,FALSE)&lt;=0,2,IF(VLOOKUP(A91,Fiktive_Dividende!A$3:AM$103,22,FALSE)/VLOOKUP(A91,Ergebnis_je_Aktie_verwässert!A$3:AK$103,16,FALSE)&gt;=2,2,VLOOKUP(A91,Fiktive_Dividende!A$3:AM$103,22,FALSE)/VLOOKUP(A91,Ergebnis_je_Aktie_verwässert!A$3:AK$103,16,FALSE))),""),"")</f>
        <v>#N/A</v>
      </c>
      <c r="Q91" s="71" t="e">
        <f>IF(VLOOKUP(A91,Fiktive_Dividende!A$3:AM$103,23,FALSE)&lt;&gt;"",IF(VLOOKUP(A91,Ergebnis_je_Aktie_verwässert!A$3:AK$103,17,FALSE)&lt;&gt;"",IF(VLOOKUP(A91,Ergebnis_je_Aktie_verwässert!A$3:AK$103,17,FALSE)&lt;=0,2,IF(VLOOKUP(A91,Fiktive_Dividende!A$3:AM$103,23,FALSE)/VLOOKUP(A91,Ergebnis_je_Aktie_verwässert!A$3:AK$103,17,FALSE)&gt;=2,2,VLOOKUP(A91,Fiktive_Dividende!A$3:AM$103,23,FALSE)/VLOOKUP(A91,Ergebnis_je_Aktie_verwässert!A$3:AK$103,17,FALSE))),""),"")</f>
        <v>#N/A</v>
      </c>
      <c r="R91" s="71" t="e">
        <f>IF(VLOOKUP(A91,Fiktive_Dividende!A$3:AM$103,24,FALSE)&lt;&gt;"",IF(VLOOKUP(A91,Ergebnis_je_Aktie_verwässert!A$3:AK$103,18,FALSE)&lt;&gt;"",IF(VLOOKUP(A91,Ergebnis_je_Aktie_verwässert!A$3:AK$103,18,FALSE)&lt;=0,2,IF(VLOOKUP(A91,Fiktive_Dividende!A$3:AM$103,24,FALSE)/VLOOKUP(A91,Ergebnis_je_Aktie_verwässert!A$3:AK$103,18,FALSE)&gt;=2,2,VLOOKUP(A91,Fiktive_Dividende!A$3:AM$103,24,FALSE)/VLOOKUP(A91,Ergebnis_je_Aktie_verwässert!A$3:AK$103,18,FALSE))),""),"")</f>
        <v>#N/A</v>
      </c>
      <c r="S91" s="105" t="e">
        <f t="shared" si="14"/>
        <v>#N/A</v>
      </c>
      <c r="T91" s="71" t="e">
        <f>IF(VLOOKUP(A91,Dividende_je_Aktie!A$3:AM$103,6,FALSE)&lt;&gt;"",IF(VLOOKUP(A91,Ergebnis_je_Aktie_verwässert!A$3:AK$103,6,FALSE)&lt;&gt;"",IF(VLOOKUP(A91,Ergebnis_je_Aktie_verwässert!A$3:AK$103,6,FALSE)&lt;=0,2,IF(VLOOKUP(A91,Dividende_je_Aktie!A$3:AM$103,6,FALSE)/VLOOKUP(A91,Ergebnis_je_Aktie_verwässert!A$3:AK$103,6,FALSE)&gt;=2,2,VLOOKUP(A91,Dividende_je_Aktie!A$3:AM$103,6,FALSE)/VLOOKUP(A91,Ergebnis_je_Aktie_verwässert!A$3:AK$103,6,FALSE))),""),"")</f>
        <v>#N/A</v>
      </c>
      <c r="U91" s="71" t="e">
        <f>IF(VLOOKUP(A91,Dividende_je_Aktie!A$3:AM$103,7,FALSE)&lt;&gt;"",IF(VLOOKUP(A91,Ergebnis_je_Aktie_verwässert!A$3:AK$103,7,FALSE)&lt;&gt;"",IF(VLOOKUP(A91,Ergebnis_je_Aktie_verwässert!A$3:AK$103,7,FALSE)&lt;=0,2,IF(VLOOKUP(A91,Dividende_je_Aktie!A$3:AM$103,7,FALSE)/VLOOKUP(A91,Ergebnis_je_Aktie_verwässert!A$3:AK$103,7,FALSE)&gt;=2,2,VLOOKUP(A91,Dividende_je_Aktie!A$3:AM$103,7,FALSE)/VLOOKUP(A91,Ergebnis_je_Aktie_verwässert!A$3:AK$103,7,FALSE))),""),"")</f>
        <v>#N/A</v>
      </c>
      <c r="V91" s="71" t="e">
        <f>IF(VLOOKUP(A91,Dividende_je_Aktie!A$3:AM$103,8,FALSE)&lt;&gt;"",IF(VLOOKUP(A91,Ergebnis_je_Aktie_verwässert!A$3:AK$103,8,FALSE)&lt;&gt;"",IF(VLOOKUP(A91,Ergebnis_je_Aktie_verwässert!A$3:AK$103,8,FALSE)&lt;=0,2,IF(VLOOKUP(A91,Dividende_je_Aktie!A$3:AM$103,8,FALSE)/VLOOKUP(A91,Ergebnis_je_Aktie_verwässert!A$3:AK$103,8,FALSE)&gt;=2,2,VLOOKUP(A91,Dividende_je_Aktie!A$3:AM$103,8,FALSE)/VLOOKUP(A91,Ergebnis_je_Aktie_verwässert!A$3:AK$103,8,FALSE))),""),"")</f>
        <v>#N/A</v>
      </c>
      <c r="W91" s="71" t="e">
        <f>IF(VLOOKUP(A91,Dividende_je_Aktie!A$3:AM$103,9,FALSE)&lt;&gt;"",IF(VLOOKUP(A91,Ergebnis_je_Aktie_verwässert!A$3:AK$103,9,FALSE)&lt;&gt;"",IF(VLOOKUP(A91,Ergebnis_je_Aktie_verwässert!A$3:AK$103,9,FALSE)&lt;=0,2,IF(VLOOKUP(A91,Dividende_je_Aktie!A$3:AM$103,9,FALSE)/VLOOKUP(A91,Ergebnis_je_Aktie_verwässert!A$3:AK$103,9,FALSE)&gt;=2,2,VLOOKUP(A91,Dividende_je_Aktie!A$3:AM$103,9,FALSE)/VLOOKUP(A91,Ergebnis_je_Aktie_verwässert!A$3:AK$103,9,FALSE))),""),"")</f>
        <v>#N/A</v>
      </c>
      <c r="X91" s="71" t="e">
        <f>IF(VLOOKUP(A91,Dividende_je_Aktie!A$3:AM$103,10,FALSE)&lt;&gt;"",IF(VLOOKUP(A91,Ergebnis_je_Aktie_verwässert!A$3:AK$103,10,FALSE)&lt;&gt;"",IF(VLOOKUP(A91,Ergebnis_je_Aktie_verwässert!A$3:AK$103,10,FALSE)&lt;=0,2,IF(VLOOKUP(A91,Dividende_je_Aktie!A$3:AM$103,10,FALSE)/VLOOKUP(A91,Ergebnis_je_Aktie_verwässert!A$3:AK$103,10,FALSE)&gt;=2,2,VLOOKUP(A91,Dividende_je_Aktie!A$3:AM$103,10,FALSE)/VLOOKUP(A91,Ergebnis_je_Aktie_verwässert!A$3:AK$103,10,FALSE))),""),"")</f>
        <v>#N/A</v>
      </c>
      <c r="Y91" s="71" t="e">
        <f>IF(VLOOKUP(A91,Dividende_je_Aktie!A$3:AM$103,11,FALSE)&lt;&gt;"",IF(VLOOKUP(A91,Ergebnis_je_Aktie_verwässert!A$3:AK$103,11,FALSE)&lt;&gt;"",IF(VLOOKUP(A91,Ergebnis_je_Aktie_verwässert!A$3:AK$103,11,FALSE)&lt;=0,2,IF(VLOOKUP(A91,Dividende_je_Aktie!A$3:AM$103,11,FALSE)/VLOOKUP(A91,Ergebnis_je_Aktie_verwässert!A$3:AK$103,11,FALSE)&gt;=2,2,VLOOKUP(A91,Dividende_je_Aktie!A$3:AM$103,11,FALSE)/VLOOKUP(A91,Ergebnis_je_Aktie_verwässert!A$3:AK$103,11,FALSE))),""),"")</f>
        <v>#N/A</v>
      </c>
      <c r="Z91" s="71" t="e">
        <f>IF(VLOOKUP(A91,Dividende_je_Aktie!A$3:AM$103,12,FALSE)&lt;&gt;"",IF(VLOOKUP(A91,Ergebnis_je_Aktie_verwässert!A$3:AK$103,12,FALSE)&lt;&gt;"",IF(VLOOKUP(A91,Ergebnis_je_Aktie_verwässert!A$3:AK$103,12,FALSE)&lt;=0,2,IF(VLOOKUP(A91,Dividende_je_Aktie!A$3:AM$103,12,FALSE)/VLOOKUP(A91,Ergebnis_je_Aktie_verwässert!A$3:AK$103,12,FALSE)&gt;=2,2,VLOOKUP(A91,Dividende_je_Aktie!A$3:AM$103,12,FALSE)/VLOOKUP(A91,Ergebnis_je_Aktie_verwässert!A$3:AK$103,12,FALSE))),""),"")</f>
        <v>#N/A</v>
      </c>
      <c r="AA91" s="71" t="e">
        <f>IF(VLOOKUP(A91,Dividende_je_Aktie!A$3:AM$103,13,FALSE)&lt;&gt;"",IF(VLOOKUP(A91,Ergebnis_je_Aktie_verwässert!A$3:AK$103,13,FALSE)&lt;&gt;"",IF(VLOOKUP(A91,Ergebnis_je_Aktie_verwässert!A$3:AK$103,13,FALSE)&lt;=0,2,IF(VLOOKUP(A91,Dividende_je_Aktie!A$3:AM$103,13,FALSE)/VLOOKUP(A91,Ergebnis_je_Aktie_verwässert!A$3:AK$103,13,FALSE)&gt;=2,2,VLOOKUP(A91,Dividende_je_Aktie!A$3:AM$103,13,FALSE)/VLOOKUP(A91,Ergebnis_je_Aktie_verwässert!A$3:AK$103,13,FALSE))),""),"")</f>
        <v>#N/A</v>
      </c>
      <c r="AB91" s="71" t="e">
        <f>IF(VLOOKUP(A91,Dividende_je_Aktie!A$3:AM$103,14,FALSE)&lt;&gt;"",IF(VLOOKUP(A91,Ergebnis_je_Aktie_verwässert!A$3:AK$103,14,FALSE)&lt;&gt;"",IF(VLOOKUP(A91,Ergebnis_je_Aktie_verwässert!A$3:AK$103,14,FALSE)&lt;=0,2,IF(VLOOKUP(A91,Dividende_je_Aktie!A$3:AM$103,14,FALSE)/VLOOKUP(A91,Ergebnis_je_Aktie_verwässert!A$3:AK$103,14,FALSE)&gt;=2,2,VLOOKUP(A91,Dividende_je_Aktie!A$3:AM$103,14,FALSE)/VLOOKUP(A91,Ergebnis_je_Aktie_verwässert!A$3:AK$103,14,FALSE))),""),"")</f>
        <v>#N/A</v>
      </c>
      <c r="AC91" s="71" t="e">
        <f>IF(VLOOKUP(A91,Dividende_je_Aktie!A$3:AM$103,15,FALSE)&lt;&gt;"",IF(VLOOKUP(A91,Ergebnis_je_Aktie_verwässert!A$3:AK$103,15,FALSE)&lt;&gt;"",IF(VLOOKUP(A91,Ergebnis_je_Aktie_verwässert!A$3:AK$103,15,FALSE)&lt;=0,2,IF(VLOOKUP(A91,Dividende_je_Aktie!A$3:AM$103,15,FALSE)/VLOOKUP(A91,Ergebnis_je_Aktie_verwässert!A$3:AK$103,15,FALSE)&gt;=2,2,VLOOKUP(A91,Dividende_je_Aktie!A$3:AM$103,15,FALSE)/VLOOKUP(A91,Ergebnis_je_Aktie_verwässert!A$3:AK$103,15,FALSE))),""),"")</f>
        <v>#N/A</v>
      </c>
      <c r="AD91" s="71" t="e">
        <f>IF(VLOOKUP(A91,Dividende_je_Aktie!A$3:AM$103,16,FALSE)&lt;&gt;"",IF(VLOOKUP(A91,Ergebnis_je_Aktie_verwässert!A$3:AK$103,16,FALSE)&lt;&gt;"",IF(VLOOKUP(A91,Ergebnis_je_Aktie_verwässert!A$3:AK$103,16,FALSE)&lt;=0,2,IF(VLOOKUP(A91,Dividende_je_Aktie!A$3:AM$103,16,FALSE)/VLOOKUP(A91,Ergebnis_je_Aktie_verwässert!A$3:AK$103,16,FALSE)&gt;=2,2,VLOOKUP(A91,Dividende_je_Aktie!A$3:AM$103,16,FALSE)/VLOOKUP(A91,Ergebnis_je_Aktie_verwässert!A$3:AK$103,16,FALSE))),""),"")</f>
        <v>#N/A</v>
      </c>
      <c r="AE91" s="71" t="e">
        <f>IF(VLOOKUP(A91,Dividende_je_Aktie!A$3:AM$103,17,FALSE)&lt;&gt;"",IF(VLOOKUP(A91,Ergebnis_je_Aktie_verwässert!A$3:AK$103,17,FALSE)&lt;&gt;"",IF(VLOOKUP(A91,Ergebnis_je_Aktie_verwässert!A$3:AK$103,17,FALSE)&lt;=0,2,IF(VLOOKUP(A91,Dividende_je_Aktie!A$3:AM$103,17,FALSE)/VLOOKUP(A91,Ergebnis_je_Aktie_verwässert!A$3:AK$103,17,FALSE)&gt;=2,2,VLOOKUP(A91,Dividende_je_Aktie!A$3:AM$103,17,FALSE)/VLOOKUP(A91,Ergebnis_je_Aktie_verwässert!A$3:AK$103,17,FALSE))),""),"")</f>
        <v>#N/A</v>
      </c>
      <c r="AF91" s="71" t="e">
        <f>IF(VLOOKUP(A91,Dividende_je_Aktie!A$3:AM$103,18,FALSE)&lt;&gt;"",IF(VLOOKUP(A91,Ergebnis_je_Aktie_verwässert!A$3:AK$103,18,FALSE)&lt;&gt;"",IF(VLOOKUP(A91,Ergebnis_je_Aktie_verwässert!A$3:AK$103,18,FALSE)&lt;=0,2,IF(VLOOKUP(A91,Dividende_je_Aktie!A$3:AM$103,18,FALSE)/VLOOKUP(A91,Ergebnis_je_Aktie_verwässert!A$3:AK$103,18,FALSE)&gt;=2,2,VLOOKUP(A91,Dividende_je_Aktie!A$3:AM$103,18,FALSE)/VLOOKUP(A91,Ergebnis_je_Aktie_verwässert!A$3:AK$103,18,FALSE))),""),"")</f>
        <v>#N/A</v>
      </c>
      <c r="AG91" s="105" t="e">
        <f t="shared" si="15"/>
        <v>#N/A</v>
      </c>
      <c r="AH91" s="4">
        <f t="shared" ca="1" si="16"/>
        <v>41899</v>
      </c>
      <c r="AI91" s="4">
        <f t="shared" ca="1" si="17"/>
        <v>-41539</v>
      </c>
      <c r="AJ91" s="4" t="e">
        <f t="shared" ca="1" si="18"/>
        <v>#NUM!</v>
      </c>
      <c r="AK91" s="10" t="e">
        <f t="shared" ca="1" si="19"/>
        <v>#N/A</v>
      </c>
      <c r="AL91" s="5" t="e">
        <f t="shared" si="20"/>
        <v>#N/A</v>
      </c>
    </row>
    <row r="92" spans="3:38">
      <c r="C92" s="60"/>
      <c r="D92" s="60"/>
      <c r="E92" s="60"/>
      <c r="F92" s="71" t="e">
        <f>IF(VLOOKUP(A92,Dividende_je_Aktie!A$3:AM$103,6,FALSE)&lt;&gt;"",IF(VLOOKUP(A92,Ergebnis_je_Aktie_verwässert!A$3:AK$103,6,FALSE)&lt;&gt;"",IF(VLOOKUP(A92,Ergebnis_je_Aktie_verwässert!A$3:AK$103,6,FALSE)&lt;=0,2,IF(VLOOKUP(A92,Dividende_je_Aktie!A$3:AM$103,6,FALSE)/VLOOKUP(A92,Ergebnis_je_Aktie_verwässert!A$3:AK$103,6,FALSE)&gt;=2,2,VLOOKUP(A92,Dividende_je_Aktie!A$3:AM$103,6,FALSE)/VLOOKUP(A92,Ergebnis_je_Aktie_verwässert!A$3:AK$103,6,FALSE))),""),"")</f>
        <v>#N/A</v>
      </c>
      <c r="G92" s="71" t="e">
        <f>IF(VLOOKUP(A92,Dividende_je_Aktie!A$3:AM$103,7,FALSE)&lt;&gt;"",IF(VLOOKUP(A92,Ergebnis_je_Aktie_verwässert!A$3:AK$103,7,FALSE)&lt;&gt;"",IF(VLOOKUP(A92,Ergebnis_je_Aktie_verwässert!A$3:AK$103,7,FALSE)&lt;=0,2,IF(VLOOKUP(A92,Dividende_je_Aktie!A$3:AM$103,7,FALSE)/VLOOKUP(A92,Ergebnis_je_Aktie_verwässert!A$3:AK$103,7,FALSE)&gt;=2,2,VLOOKUP(A92,Dividende_je_Aktie!A$3:AM$103,7,FALSE)/VLOOKUP(A92,Ergebnis_je_Aktie_verwässert!A$3:AK$103,7,FALSE))),""),"")</f>
        <v>#N/A</v>
      </c>
      <c r="H92" s="71" t="e">
        <f>IF(VLOOKUP(A92,Fiktive_Dividende!A$3:AM$103,14,FALSE)&lt;&gt;"",IF(VLOOKUP(A92,Ergebnis_je_Aktie_verwässert!A$3:AK$103,8,FALSE)&lt;&gt;"",IF(VLOOKUP(A92,Ergebnis_je_Aktie_verwässert!A$3:AK$103,8,FALSE)&lt;=0,2,IF(VLOOKUP(A92,Fiktive_Dividende!A$3:AM$103,14,FALSE)/VLOOKUP(A92,Ergebnis_je_Aktie_verwässert!A$3:AK$103,8,FALSE)&gt;=2,2,VLOOKUP(A92,Fiktive_Dividende!A$3:AM$103,14,FALSE)/VLOOKUP(A92,Ergebnis_je_Aktie_verwässert!A$3:AK$103,8,FALSE))),""),"")</f>
        <v>#N/A</v>
      </c>
      <c r="I92" s="71" t="e">
        <f>IF(VLOOKUP(A92,Fiktive_Dividende!A$3:AM$103,15,FALSE)&lt;&gt;"",IF(VLOOKUP(A92,Ergebnis_je_Aktie_verwässert!A$3:AK$103,9,FALSE)&lt;&gt;"",IF(VLOOKUP(A92,Ergebnis_je_Aktie_verwässert!A$3:AK$103,9,FALSE)&lt;=0,2,IF(VLOOKUP(A92,Fiktive_Dividende!A$3:AM$103,15,FALSE)/VLOOKUP(A92,Ergebnis_je_Aktie_verwässert!A$3:AK$103,9,FALSE)&gt;=2,2,VLOOKUP(A92,Fiktive_Dividende!A$3:AM$103,15,FALSE)/VLOOKUP(A92,Ergebnis_je_Aktie_verwässert!A$3:AK$103,9,FALSE))),""),"")</f>
        <v>#N/A</v>
      </c>
      <c r="J92" s="71" t="e">
        <f>IF(VLOOKUP(A92,Fiktive_Dividende!A$3:AM$103,16,FALSE)&lt;&gt;"",IF(VLOOKUP(A92,Ergebnis_je_Aktie_verwässert!A$3:AK$103,10,FALSE)&lt;&gt;"",IF(VLOOKUP(A92,Ergebnis_je_Aktie_verwässert!A$3:AK$103,10,FALSE)&lt;=0,2,IF(VLOOKUP(A92,Fiktive_Dividende!A$3:AM$103,16,FALSE)/VLOOKUP(A92,Ergebnis_je_Aktie_verwässert!A$3:AK$103,10,FALSE)&gt;=2,2,VLOOKUP(A92,Fiktive_Dividende!A$3:AM$103,16,FALSE)/VLOOKUP(A92,Ergebnis_je_Aktie_verwässert!A$3:AK$103,10,FALSE))),""),"")</f>
        <v>#N/A</v>
      </c>
      <c r="K92" s="71" t="e">
        <f>IF(VLOOKUP(A92,Fiktive_Dividende!A$3:AM$103,17,FALSE)&lt;&gt;"",IF(VLOOKUP(A92,Ergebnis_je_Aktie_verwässert!A$3:AK$103,11,FALSE)&lt;&gt;"",IF(VLOOKUP(A92,Ergebnis_je_Aktie_verwässert!A$3:AK$103,11,FALSE)&lt;=0,2,IF(VLOOKUP(A92,Fiktive_Dividende!A$3:AM$103,17,FALSE)/VLOOKUP(A92,Ergebnis_je_Aktie_verwässert!A$3:AK$103,11,FALSE)&gt;=2,2,VLOOKUP(A92,Fiktive_Dividende!A$3:AM$103,17,FALSE)/VLOOKUP(A92,Ergebnis_je_Aktie_verwässert!A$3:AK$103,11,FALSE))),""),"")</f>
        <v>#N/A</v>
      </c>
      <c r="L92" s="71" t="e">
        <f>IF(VLOOKUP(A92,Fiktive_Dividende!A$3:AM$103,18,FALSE)&lt;&gt;"",IF(VLOOKUP(A92,Ergebnis_je_Aktie_verwässert!A$3:AK$103,12,FALSE)&lt;&gt;"",IF(VLOOKUP(A92,Ergebnis_je_Aktie_verwässert!A$3:AK$103,12,FALSE)&lt;=0,2,IF(VLOOKUP(A92,Fiktive_Dividende!A$3:AM$103,18,FALSE)/VLOOKUP(A92,Ergebnis_je_Aktie_verwässert!A$3:AK$103,12,FALSE)&gt;=2,2,VLOOKUP(A92,Fiktive_Dividende!A$3:AM$103,18,FALSE)/VLOOKUP(A92,Ergebnis_je_Aktie_verwässert!A$3:AK$103,12,FALSE))),""),"")</f>
        <v>#N/A</v>
      </c>
      <c r="M92" s="71" t="e">
        <f>IF(VLOOKUP(A92,Fiktive_Dividende!A$3:AM$103,19,FALSE)&lt;&gt;"",IF(VLOOKUP(A92,Ergebnis_je_Aktie_verwässert!A$3:AK$103,13,FALSE)&lt;&gt;"",IF(VLOOKUP(A92,Ergebnis_je_Aktie_verwässert!A$3:AK$103,13,FALSE)&lt;=0,2,IF(VLOOKUP(A92,Fiktive_Dividende!A$3:AM$103,19,FALSE)/VLOOKUP(A92,Ergebnis_je_Aktie_verwässert!A$3:AK$103,13,FALSE)&gt;=2,2,VLOOKUP(A92,Fiktive_Dividende!A$3:AM$103,19,FALSE)/VLOOKUP(A92,Ergebnis_je_Aktie_verwässert!A$3:AK$103,13,FALSE))),""),"")</f>
        <v>#N/A</v>
      </c>
      <c r="N92" s="71" t="e">
        <f>IF(VLOOKUP(A92,Fiktive_Dividende!A$3:AM$103,20,FALSE)&lt;&gt;"",IF(VLOOKUP(A92,Ergebnis_je_Aktie_verwässert!A$3:AK$103,14,FALSE)&lt;&gt;"",IF(VLOOKUP(A92,Ergebnis_je_Aktie_verwässert!A$3:AK$103,14,FALSE)&lt;=0,2,IF(VLOOKUP(A92,Fiktive_Dividende!A$3:AM$103,20,FALSE)/VLOOKUP(A92,Ergebnis_je_Aktie_verwässert!A$3:AK$103,14,FALSE)&gt;=2,2,VLOOKUP(A92,Fiktive_Dividende!A$3:AM$103,20,FALSE)/VLOOKUP(A92,Ergebnis_je_Aktie_verwässert!A$3:AK$103,14,FALSE))),""),"")</f>
        <v>#N/A</v>
      </c>
      <c r="O92" s="71" t="e">
        <f>IF(VLOOKUP(A92,Fiktive_Dividende!A$3:AM$103,21,FALSE)&lt;&gt;"",IF(VLOOKUP(A92,Ergebnis_je_Aktie_verwässert!A$3:AK$103,15,FALSE)&lt;&gt;"",IF(VLOOKUP(A92,Ergebnis_je_Aktie_verwässert!A$3:AK$103,15,FALSE)&lt;=0,2,IF(VLOOKUP(A92,Fiktive_Dividende!A$3:AM$103,21,FALSE)/VLOOKUP(A92,Ergebnis_je_Aktie_verwässert!A$3:AK$103,15,FALSE)&gt;=2,2,VLOOKUP(A92,Fiktive_Dividende!A$3:AM$103,21,FALSE)/VLOOKUP(A92,Ergebnis_je_Aktie_verwässert!A$3:AK$103,15,FALSE))),""),"")</f>
        <v>#N/A</v>
      </c>
      <c r="P92" s="71" t="e">
        <f>IF(VLOOKUP(A92,Fiktive_Dividende!A$3:AM$103,22,FALSE)&lt;&gt;"",IF(VLOOKUP(A92,Ergebnis_je_Aktie_verwässert!A$3:AK$103,16,FALSE)&lt;&gt;"",IF(VLOOKUP(A92,Ergebnis_je_Aktie_verwässert!A$3:AK$103,16,FALSE)&lt;=0,2,IF(VLOOKUP(A92,Fiktive_Dividende!A$3:AM$103,22,FALSE)/VLOOKUP(A92,Ergebnis_je_Aktie_verwässert!A$3:AK$103,16,FALSE)&gt;=2,2,VLOOKUP(A92,Fiktive_Dividende!A$3:AM$103,22,FALSE)/VLOOKUP(A92,Ergebnis_je_Aktie_verwässert!A$3:AK$103,16,FALSE))),""),"")</f>
        <v>#N/A</v>
      </c>
      <c r="Q92" s="71" t="e">
        <f>IF(VLOOKUP(A92,Fiktive_Dividende!A$3:AM$103,23,FALSE)&lt;&gt;"",IF(VLOOKUP(A92,Ergebnis_je_Aktie_verwässert!A$3:AK$103,17,FALSE)&lt;&gt;"",IF(VLOOKUP(A92,Ergebnis_je_Aktie_verwässert!A$3:AK$103,17,FALSE)&lt;=0,2,IF(VLOOKUP(A92,Fiktive_Dividende!A$3:AM$103,23,FALSE)/VLOOKUP(A92,Ergebnis_je_Aktie_verwässert!A$3:AK$103,17,FALSE)&gt;=2,2,VLOOKUP(A92,Fiktive_Dividende!A$3:AM$103,23,FALSE)/VLOOKUP(A92,Ergebnis_je_Aktie_verwässert!A$3:AK$103,17,FALSE))),""),"")</f>
        <v>#N/A</v>
      </c>
      <c r="R92" s="71" t="e">
        <f>IF(VLOOKUP(A92,Fiktive_Dividende!A$3:AM$103,24,FALSE)&lt;&gt;"",IF(VLOOKUP(A92,Ergebnis_je_Aktie_verwässert!A$3:AK$103,18,FALSE)&lt;&gt;"",IF(VLOOKUP(A92,Ergebnis_je_Aktie_verwässert!A$3:AK$103,18,FALSE)&lt;=0,2,IF(VLOOKUP(A92,Fiktive_Dividende!A$3:AM$103,24,FALSE)/VLOOKUP(A92,Ergebnis_je_Aktie_verwässert!A$3:AK$103,18,FALSE)&gt;=2,2,VLOOKUP(A92,Fiktive_Dividende!A$3:AM$103,24,FALSE)/VLOOKUP(A92,Ergebnis_je_Aktie_verwässert!A$3:AK$103,18,FALSE))),""),"")</f>
        <v>#N/A</v>
      </c>
      <c r="S92" s="105" t="e">
        <f t="shared" si="14"/>
        <v>#N/A</v>
      </c>
      <c r="T92" s="71" t="e">
        <f>IF(VLOOKUP(A92,Dividende_je_Aktie!A$3:AM$103,6,FALSE)&lt;&gt;"",IF(VLOOKUP(A92,Ergebnis_je_Aktie_verwässert!A$3:AK$103,6,FALSE)&lt;&gt;"",IF(VLOOKUP(A92,Ergebnis_je_Aktie_verwässert!A$3:AK$103,6,FALSE)&lt;=0,2,IF(VLOOKUP(A92,Dividende_je_Aktie!A$3:AM$103,6,FALSE)/VLOOKUP(A92,Ergebnis_je_Aktie_verwässert!A$3:AK$103,6,FALSE)&gt;=2,2,VLOOKUP(A92,Dividende_je_Aktie!A$3:AM$103,6,FALSE)/VLOOKUP(A92,Ergebnis_je_Aktie_verwässert!A$3:AK$103,6,FALSE))),""),"")</f>
        <v>#N/A</v>
      </c>
      <c r="U92" s="71" t="e">
        <f>IF(VLOOKUP(A92,Dividende_je_Aktie!A$3:AM$103,7,FALSE)&lt;&gt;"",IF(VLOOKUP(A92,Ergebnis_je_Aktie_verwässert!A$3:AK$103,7,FALSE)&lt;&gt;"",IF(VLOOKUP(A92,Ergebnis_je_Aktie_verwässert!A$3:AK$103,7,FALSE)&lt;=0,2,IF(VLOOKUP(A92,Dividende_je_Aktie!A$3:AM$103,7,FALSE)/VLOOKUP(A92,Ergebnis_je_Aktie_verwässert!A$3:AK$103,7,FALSE)&gt;=2,2,VLOOKUP(A92,Dividende_je_Aktie!A$3:AM$103,7,FALSE)/VLOOKUP(A92,Ergebnis_je_Aktie_verwässert!A$3:AK$103,7,FALSE))),""),"")</f>
        <v>#N/A</v>
      </c>
      <c r="V92" s="71" t="e">
        <f>IF(VLOOKUP(A92,Dividende_je_Aktie!A$3:AM$103,8,FALSE)&lt;&gt;"",IF(VLOOKUP(A92,Ergebnis_je_Aktie_verwässert!A$3:AK$103,8,FALSE)&lt;&gt;"",IF(VLOOKUP(A92,Ergebnis_je_Aktie_verwässert!A$3:AK$103,8,FALSE)&lt;=0,2,IF(VLOOKUP(A92,Dividende_je_Aktie!A$3:AM$103,8,FALSE)/VLOOKUP(A92,Ergebnis_je_Aktie_verwässert!A$3:AK$103,8,FALSE)&gt;=2,2,VLOOKUP(A92,Dividende_je_Aktie!A$3:AM$103,8,FALSE)/VLOOKUP(A92,Ergebnis_je_Aktie_verwässert!A$3:AK$103,8,FALSE))),""),"")</f>
        <v>#N/A</v>
      </c>
      <c r="W92" s="71" t="e">
        <f>IF(VLOOKUP(A92,Dividende_je_Aktie!A$3:AM$103,9,FALSE)&lt;&gt;"",IF(VLOOKUP(A92,Ergebnis_je_Aktie_verwässert!A$3:AK$103,9,FALSE)&lt;&gt;"",IF(VLOOKUP(A92,Ergebnis_je_Aktie_verwässert!A$3:AK$103,9,FALSE)&lt;=0,2,IF(VLOOKUP(A92,Dividende_je_Aktie!A$3:AM$103,9,FALSE)/VLOOKUP(A92,Ergebnis_je_Aktie_verwässert!A$3:AK$103,9,FALSE)&gt;=2,2,VLOOKUP(A92,Dividende_je_Aktie!A$3:AM$103,9,FALSE)/VLOOKUP(A92,Ergebnis_je_Aktie_verwässert!A$3:AK$103,9,FALSE))),""),"")</f>
        <v>#N/A</v>
      </c>
      <c r="X92" s="71" t="e">
        <f>IF(VLOOKUP(A92,Dividende_je_Aktie!A$3:AM$103,10,FALSE)&lt;&gt;"",IF(VLOOKUP(A92,Ergebnis_je_Aktie_verwässert!A$3:AK$103,10,FALSE)&lt;&gt;"",IF(VLOOKUP(A92,Ergebnis_je_Aktie_verwässert!A$3:AK$103,10,FALSE)&lt;=0,2,IF(VLOOKUP(A92,Dividende_je_Aktie!A$3:AM$103,10,FALSE)/VLOOKUP(A92,Ergebnis_je_Aktie_verwässert!A$3:AK$103,10,FALSE)&gt;=2,2,VLOOKUP(A92,Dividende_je_Aktie!A$3:AM$103,10,FALSE)/VLOOKUP(A92,Ergebnis_je_Aktie_verwässert!A$3:AK$103,10,FALSE))),""),"")</f>
        <v>#N/A</v>
      </c>
      <c r="Y92" s="71" t="e">
        <f>IF(VLOOKUP(A92,Dividende_je_Aktie!A$3:AM$103,11,FALSE)&lt;&gt;"",IF(VLOOKUP(A92,Ergebnis_je_Aktie_verwässert!A$3:AK$103,11,FALSE)&lt;&gt;"",IF(VLOOKUP(A92,Ergebnis_je_Aktie_verwässert!A$3:AK$103,11,FALSE)&lt;=0,2,IF(VLOOKUP(A92,Dividende_je_Aktie!A$3:AM$103,11,FALSE)/VLOOKUP(A92,Ergebnis_je_Aktie_verwässert!A$3:AK$103,11,FALSE)&gt;=2,2,VLOOKUP(A92,Dividende_je_Aktie!A$3:AM$103,11,FALSE)/VLOOKUP(A92,Ergebnis_je_Aktie_verwässert!A$3:AK$103,11,FALSE))),""),"")</f>
        <v>#N/A</v>
      </c>
      <c r="Z92" s="71" t="e">
        <f>IF(VLOOKUP(A92,Dividende_je_Aktie!A$3:AM$103,12,FALSE)&lt;&gt;"",IF(VLOOKUP(A92,Ergebnis_je_Aktie_verwässert!A$3:AK$103,12,FALSE)&lt;&gt;"",IF(VLOOKUP(A92,Ergebnis_je_Aktie_verwässert!A$3:AK$103,12,FALSE)&lt;=0,2,IF(VLOOKUP(A92,Dividende_je_Aktie!A$3:AM$103,12,FALSE)/VLOOKUP(A92,Ergebnis_je_Aktie_verwässert!A$3:AK$103,12,FALSE)&gt;=2,2,VLOOKUP(A92,Dividende_je_Aktie!A$3:AM$103,12,FALSE)/VLOOKUP(A92,Ergebnis_je_Aktie_verwässert!A$3:AK$103,12,FALSE))),""),"")</f>
        <v>#N/A</v>
      </c>
      <c r="AA92" s="71" t="e">
        <f>IF(VLOOKUP(A92,Dividende_je_Aktie!A$3:AM$103,13,FALSE)&lt;&gt;"",IF(VLOOKUP(A92,Ergebnis_je_Aktie_verwässert!A$3:AK$103,13,FALSE)&lt;&gt;"",IF(VLOOKUP(A92,Ergebnis_je_Aktie_verwässert!A$3:AK$103,13,FALSE)&lt;=0,2,IF(VLOOKUP(A92,Dividende_je_Aktie!A$3:AM$103,13,FALSE)/VLOOKUP(A92,Ergebnis_je_Aktie_verwässert!A$3:AK$103,13,FALSE)&gt;=2,2,VLOOKUP(A92,Dividende_je_Aktie!A$3:AM$103,13,FALSE)/VLOOKUP(A92,Ergebnis_je_Aktie_verwässert!A$3:AK$103,13,FALSE))),""),"")</f>
        <v>#N/A</v>
      </c>
      <c r="AB92" s="71" t="e">
        <f>IF(VLOOKUP(A92,Dividende_je_Aktie!A$3:AM$103,14,FALSE)&lt;&gt;"",IF(VLOOKUP(A92,Ergebnis_je_Aktie_verwässert!A$3:AK$103,14,FALSE)&lt;&gt;"",IF(VLOOKUP(A92,Ergebnis_je_Aktie_verwässert!A$3:AK$103,14,FALSE)&lt;=0,2,IF(VLOOKUP(A92,Dividende_je_Aktie!A$3:AM$103,14,FALSE)/VLOOKUP(A92,Ergebnis_je_Aktie_verwässert!A$3:AK$103,14,FALSE)&gt;=2,2,VLOOKUP(A92,Dividende_je_Aktie!A$3:AM$103,14,FALSE)/VLOOKUP(A92,Ergebnis_je_Aktie_verwässert!A$3:AK$103,14,FALSE))),""),"")</f>
        <v>#N/A</v>
      </c>
      <c r="AC92" s="71" t="e">
        <f>IF(VLOOKUP(A92,Dividende_je_Aktie!A$3:AM$103,15,FALSE)&lt;&gt;"",IF(VLOOKUP(A92,Ergebnis_je_Aktie_verwässert!A$3:AK$103,15,FALSE)&lt;&gt;"",IF(VLOOKUP(A92,Ergebnis_je_Aktie_verwässert!A$3:AK$103,15,FALSE)&lt;=0,2,IF(VLOOKUP(A92,Dividende_je_Aktie!A$3:AM$103,15,FALSE)/VLOOKUP(A92,Ergebnis_je_Aktie_verwässert!A$3:AK$103,15,FALSE)&gt;=2,2,VLOOKUP(A92,Dividende_je_Aktie!A$3:AM$103,15,FALSE)/VLOOKUP(A92,Ergebnis_je_Aktie_verwässert!A$3:AK$103,15,FALSE))),""),"")</f>
        <v>#N/A</v>
      </c>
      <c r="AD92" s="71" t="e">
        <f>IF(VLOOKUP(A92,Dividende_je_Aktie!A$3:AM$103,16,FALSE)&lt;&gt;"",IF(VLOOKUP(A92,Ergebnis_je_Aktie_verwässert!A$3:AK$103,16,FALSE)&lt;&gt;"",IF(VLOOKUP(A92,Ergebnis_je_Aktie_verwässert!A$3:AK$103,16,FALSE)&lt;=0,2,IF(VLOOKUP(A92,Dividende_je_Aktie!A$3:AM$103,16,FALSE)/VLOOKUP(A92,Ergebnis_je_Aktie_verwässert!A$3:AK$103,16,FALSE)&gt;=2,2,VLOOKUP(A92,Dividende_je_Aktie!A$3:AM$103,16,FALSE)/VLOOKUP(A92,Ergebnis_je_Aktie_verwässert!A$3:AK$103,16,FALSE))),""),"")</f>
        <v>#N/A</v>
      </c>
      <c r="AE92" s="71" t="e">
        <f>IF(VLOOKUP(A92,Dividende_je_Aktie!A$3:AM$103,17,FALSE)&lt;&gt;"",IF(VLOOKUP(A92,Ergebnis_je_Aktie_verwässert!A$3:AK$103,17,FALSE)&lt;&gt;"",IF(VLOOKUP(A92,Ergebnis_je_Aktie_verwässert!A$3:AK$103,17,FALSE)&lt;=0,2,IF(VLOOKUP(A92,Dividende_je_Aktie!A$3:AM$103,17,FALSE)/VLOOKUP(A92,Ergebnis_je_Aktie_verwässert!A$3:AK$103,17,FALSE)&gt;=2,2,VLOOKUP(A92,Dividende_je_Aktie!A$3:AM$103,17,FALSE)/VLOOKUP(A92,Ergebnis_je_Aktie_verwässert!A$3:AK$103,17,FALSE))),""),"")</f>
        <v>#N/A</v>
      </c>
      <c r="AF92" s="71" t="e">
        <f>IF(VLOOKUP(A92,Dividende_je_Aktie!A$3:AM$103,18,FALSE)&lt;&gt;"",IF(VLOOKUP(A92,Ergebnis_je_Aktie_verwässert!A$3:AK$103,18,FALSE)&lt;&gt;"",IF(VLOOKUP(A92,Ergebnis_je_Aktie_verwässert!A$3:AK$103,18,FALSE)&lt;=0,2,IF(VLOOKUP(A92,Dividende_je_Aktie!A$3:AM$103,18,FALSE)/VLOOKUP(A92,Ergebnis_je_Aktie_verwässert!A$3:AK$103,18,FALSE)&gt;=2,2,VLOOKUP(A92,Dividende_je_Aktie!A$3:AM$103,18,FALSE)/VLOOKUP(A92,Ergebnis_je_Aktie_verwässert!A$3:AK$103,18,FALSE))),""),"")</f>
        <v>#N/A</v>
      </c>
      <c r="AG92" s="105" t="e">
        <f t="shared" si="15"/>
        <v>#N/A</v>
      </c>
      <c r="AH92" s="4">
        <f t="shared" ca="1" si="16"/>
        <v>41899</v>
      </c>
      <c r="AI92" s="4">
        <f t="shared" ca="1" si="17"/>
        <v>-41539</v>
      </c>
      <c r="AJ92" s="4" t="e">
        <f t="shared" ca="1" si="18"/>
        <v>#NUM!</v>
      </c>
      <c r="AK92" s="10" t="e">
        <f t="shared" ca="1" si="19"/>
        <v>#N/A</v>
      </c>
      <c r="AL92" s="5" t="e">
        <f t="shared" si="20"/>
        <v>#N/A</v>
      </c>
    </row>
    <row r="93" spans="3:38">
      <c r="C93" s="60"/>
      <c r="D93" s="60"/>
      <c r="E93" s="60"/>
      <c r="F93" s="71" t="e">
        <f>IF(VLOOKUP(A93,Dividende_je_Aktie!A$3:AM$103,6,FALSE)&lt;&gt;"",IF(VLOOKUP(A93,Ergebnis_je_Aktie_verwässert!A$3:AK$103,6,FALSE)&lt;&gt;"",IF(VLOOKUP(A93,Ergebnis_je_Aktie_verwässert!A$3:AK$103,6,FALSE)&lt;=0,2,IF(VLOOKUP(A93,Dividende_je_Aktie!A$3:AM$103,6,FALSE)/VLOOKUP(A93,Ergebnis_je_Aktie_verwässert!A$3:AK$103,6,FALSE)&gt;=2,2,VLOOKUP(A93,Dividende_je_Aktie!A$3:AM$103,6,FALSE)/VLOOKUP(A93,Ergebnis_je_Aktie_verwässert!A$3:AK$103,6,FALSE))),""),"")</f>
        <v>#N/A</v>
      </c>
      <c r="G93" s="71" t="e">
        <f>IF(VLOOKUP(A93,Dividende_je_Aktie!A$3:AM$103,7,FALSE)&lt;&gt;"",IF(VLOOKUP(A93,Ergebnis_je_Aktie_verwässert!A$3:AK$103,7,FALSE)&lt;&gt;"",IF(VLOOKUP(A93,Ergebnis_je_Aktie_verwässert!A$3:AK$103,7,FALSE)&lt;=0,2,IF(VLOOKUP(A93,Dividende_je_Aktie!A$3:AM$103,7,FALSE)/VLOOKUP(A93,Ergebnis_je_Aktie_verwässert!A$3:AK$103,7,FALSE)&gt;=2,2,VLOOKUP(A93,Dividende_je_Aktie!A$3:AM$103,7,FALSE)/VLOOKUP(A93,Ergebnis_je_Aktie_verwässert!A$3:AK$103,7,FALSE))),""),"")</f>
        <v>#N/A</v>
      </c>
      <c r="H93" s="71" t="e">
        <f>IF(VLOOKUP(A93,Fiktive_Dividende!A$3:AM$103,14,FALSE)&lt;&gt;"",IF(VLOOKUP(A93,Ergebnis_je_Aktie_verwässert!A$3:AK$103,8,FALSE)&lt;&gt;"",IF(VLOOKUP(A93,Ergebnis_je_Aktie_verwässert!A$3:AK$103,8,FALSE)&lt;=0,2,IF(VLOOKUP(A93,Fiktive_Dividende!A$3:AM$103,14,FALSE)/VLOOKUP(A93,Ergebnis_je_Aktie_verwässert!A$3:AK$103,8,FALSE)&gt;=2,2,VLOOKUP(A93,Fiktive_Dividende!A$3:AM$103,14,FALSE)/VLOOKUP(A93,Ergebnis_je_Aktie_verwässert!A$3:AK$103,8,FALSE))),""),"")</f>
        <v>#N/A</v>
      </c>
      <c r="I93" s="71" t="e">
        <f>IF(VLOOKUP(A93,Fiktive_Dividende!A$3:AM$103,15,FALSE)&lt;&gt;"",IF(VLOOKUP(A93,Ergebnis_je_Aktie_verwässert!A$3:AK$103,9,FALSE)&lt;&gt;"",IF(VLOOKUP(A93,Ergebnis_je_Aktie_verwässert!A$3:AK$103,9,FALSE)&lt;=0,2,IF(VLOOKUP(A93,Fiktive_Dividende!A$3:AM$103,15,FALSE)/VLOOKUP(A93,Ergebnis_je_Aktie_verwässert!A$3:AK$103,9,FALSE)&gt;=2,2,VLOOKUP(A93,Fiktive_Dividende!A$3:AM$103,15,FALSE)/VLOOKUP(A93,Ergebnis_je_Aktie_verwässert!A$3:AK$103,9,FALSE))),""),"")</f>
        <v>#N/A</v>
      </c>
      <c r="J93" s="71" t="e">
        <f>IF(VLOOKUP(A93,Fiktive_Dividende!A$3:AM$103,16,FALSE)&lt;&gt;"",IF(VLOOKUP(A93,Ergebnis_je_Aktie_verwässert!A$3:AK$103,10,FALSE)&lt;&gt;"",IF(VLOOKUP(A93,Ergebnis_je_Aktie_verwässert!A$3:AK$103,10,FALSE)&lt;=0,2,IF(VLOOKUP(A93,Fiktive_Dividende!A$3:AM$103,16,FALSE)/VLOOKUP(A93,Ergebnis_je_Aktie_verwässert!A$3:AK$103,10,FALSE)&gt;=2,2,VLOOKUP(A93,Fiktive_Dividende!A$3:AM$103,16,FALSE)/VLOOKUP(A93,Ergebnis_je_Aktie_verwässert!A$3:AK$103,10,FALSE))),""),"")</f>
        <v>#N/A</v>
      </c>
      <c r="K93" s="71" t="e">
        <f>IF(VLOOKUP(A93,Fiktive_Dividende!A$3:AM$103,17,FALSE)&lt;&gt;"",IF(VLOOKUP(A93,Ergebnis_je_Aktie_verwässert!A$3:AK$103,11,FALSE)&lt;&gt;"",IF(VLOOKUP(A93,Ergebnis_je_Aktie_verwässert!A$3:AK$103,11,FALSE)&lt;=0,2,IF(VLOOKUP(A93,Fiktive_Dividende!A$3:AM$103,17,FALSE)/VLOOKUP(A93,Ergebnis_je_Aktie_verwässert!A$3:AK$103,11,FALSE)&gt;=2,2,VLOOKUP(A93,Fiktive_Dividende!A$3:AM$103,17,FALSE)/VLOOKUP(A93,Ergebnis_je_Aktie_verwässert!A$3:AK$103,11,FALSE))),""),"")</f>
        <v>#N/A</v>
      </c>
      <c r="L93" s="71" t="e">
        <f>IF(VLOOKUP(A93,Fiktive_Dividende!A$3:AM$103,18,FALSE)&lt;&gt;"",IF(VLOOKUP(A93,Ergebnis_je_Aktie_verwässert!A$3:AK$103,12,FALSE)&lt;&gt;"",IF(VLOOKUP(A93,Ergebnis_je_Aktie_verwässert!A$3:AK$103,12,FALSE)&lt;=0,2,IF(VLOOKUP(A93,Fiktive_Dividende!A$3:AM$103,18,FALSE)/VLOOKUP(A93,Ergebnis_je_Aktie_verwässert!A$3:AK$103,12,FALSE)&gt;=2,2,VLOOKUP(A93,Fiktive_Dividende!A$3:AM$103,18,FALSE)/VLOOKUP(A93,Ergebnis_je_Aktie_verwässert!A$3:AK$103,12,FALSE))),""),"")</f>
        <v>#N/A</v>
      </c>
      <c r="M93" s="71" t="e">
        <f>IF(VLOOKUP(A93,Fiktive_Dividende!A$3:AM$103,19,FALSE)&lt;&gt;"",IF(VLOOKUP(A93,Ergebnis_je_Aktie_verwässert!A$3:AK$103,13,FALSE)&lt;&gt;"",IF(VLOOKUP(A93,Ergebnis_je_Aktie_verwässert!A$3:AK$103,13,FALSE)&lt;=0,2,IF(VLOOKUP(A93,Fiktive_Dividende!A$3:AM$103,19,FALSE)/VLOOKUP(A93,Ergebnis_je_Aktie_verwässert!A$3:AK$103,13,FALSE)&gt;=2,2,VLOOKUP(A93,Fiktive_Dividende!A$3:AM$103,19,FALSE)/VLOOKUP(A93,Ergebnis_je_Aktie_verwässert!A$3:AK$103,13,FALSE))),""),"")</f>
        <v>#N/A</v>
      </c>
      <c r="N93" s="71" t="e">
        <f>IF(VLOOKUP(A93,Fiktive_Dividende!A$3:AM$103,20,FALSE)&lt;&gt;"",IF(VLOOKUP(A93,Ergebnis_je_Aktie_verwässert!A$3:AK$103,14,FALSE)&lt;&gt;"",IF(VLOOKUP(A93,Ergebnis_je_Aktie_verwässert!A$3:AK$103,14,FALSE)&lt;=0,2,IF(VLOOKUP(A93,Fiktive_Dividende!A$3:AM$103,20,FALSE)/VLOOKUP(A93,Ergebnis_je_Aktie_verwässert!A$3:AK$103,14,FALSE)&gt;=2,2,VLOOKUP(A93,Fiktive_Dividende!A$3:AM$103,20,FALSE)/VLOOKUP(A93,Ergebnis_je_Aktie_verwässert!A$3:AK$103,14,FALSE))),""),"")</f>
        <v>#N/A</v>
      </c>
      <c r="O93" s="71" t="e">
        <f>IF(VLOOKUP(A93,Fiktive_Dividende!A$3:AM$103,21,FALSE)&lt;&gt;"",IF(VLOOKUP(A93,Ergebnis_je_Aktie_verwässert!A$3:AK$103,15,FALSE)&lt;&gt;"",IF(VLOOKUP(A93,Ergebnis_je_Aktie_verwässert!A$3:AK$103,15,FALSE)&lt;=0,2,IF(VLOOKUP(A93,Fiktive_Dividende!A$3:AM$103,21,FALSE)/VLOOKUP(A93,Ergebnis_je_Aktie_verwässert!A$3:AK$103,15,FALSE)&gt;=2,2,VLOOKUP(A93,Fiktive_Dividende!A$3:AM$103,21,FALSE)/VLOOKUP(A93,Ergebnis_je_Aktie_verwässert!A$3:AK$103,15,FALSE))),""),"")</f>
        <v>#N/A</v>
      </c>
      <c r="P93" s="71" t="e">
        <f>IF(VLOOKUP(A93,Fiktive_Dividende!A$3:AM$103,22,FALSE)&lt;&gt;"",IF(VLOOKUP(A93,Ergebnis_je_Aktie_verwässert!A$3:AK$103,16,FALSE)&lt;&gt;"",IF(VLOOKUP(A93,Ergebnis_je_Aktie_verwässert!A$3:AK$103,16,FALSE)&lt;=0,2,IF(VLOOKUP(A93,Fiktive_Dividende!A$3:AM$103,22,FALSE)/VLOOKUP(A93,Ergebnis_je_Aktie_verwässert!A$3:AK$103,16,FALSE)&gt;=2,2,VLOOKUP(A93,Fiktive_Dividende!A$3:AM$103,22,FALSE)/VLOOKUP(A93,Ergebnis_je_Aktie_verwässert!A$3:AK$103,16,FALSE))),""),"")</f>
        <v>#N/A</v>
      </c>
      <c r="Q93" s="71" t="e">
        <f>IF(VLOOKUP(A93,Fiktive_Dividende!A$3:AM$103,23,FALSE)&lt;&gt;"",IF(VLOOKUP(A93,Ergebnis_je_Aktie_verwässert!A$3:AK$103,17,FALSE)&lt;&gt;"",IF(VLOOKUP(A93,Ergebnis_je_Aktie_verwässert!A$3:AK$103,17,FALSE)&lt;=0,2,IF(VLOOKUP(A93,Fiktive_Dividende!A$3:AM$103,23,FALSE)/VLOOKUP(A93,Ergebnis_je_Aktie_verwässert!A$3:AK$103,17,FALSE)&gt;=2,2,VLOOKUP(A93,Fiktive_Dividende!A$3:AM$103,23,FALSE)/VLOOKUP(A93,Ergebnis_je_Aktie_verwässert!A$3:AK$103,17,FALSE))),""),"")</f>
        <v>#N/A</v>
      </c>
      <c r="R93" s="71" t="e">
        <f>IF(VLOOKUP(A93,Fiktive_Dividende!A$3:AM$103,24,FALSE)&lt;&gt;"",IF(VLOOKUP(A93,Ergebnis_je_Aktie_verwässert!A$3:AK$103,18,FALSE)&lt;&gt;"",IF(VLOOKUP(A93,Ergebnis_je_Aktie_verwässert!A$3:AK$103,18,FALSE)&lt;=0,2,IF(VLOOKUP(A93,Fiktive_Dividende!A$3:AM$103,24,FALSE)/VLOOKUP(A93,Ergebnis_je_Aktie_verwässert!A$3:AK$103,18,FALSE)&gt;=2,2,VLOOKUP(A93,Fiktive_Dividende!A$3:AM$103,24,FALSE)/VLOOKUP(A93,Ergebnis_je_Aktie_verwässert!A$3:AK$103,18,FALSE))),""),"")</f>
        <v>#N/A</v>
      </c>
      <c r="S93" s="105" t="e">
        <f t="shared" si="14"/>
        <v>#N/A</v>
      </c>
      <c r="T93" s="71" t="e">
        <f>IF(VLOOKUP(A93,Dividende_je_Aktie!A$3:AM$103,6,FALSE)&lt;&gt;"",IF(VLOOKUP(A93,Ergebnis_je_Aktie_verwässert!A$3:AK$103,6,FALSE)&lt;&gt;"",IF(VLOOKUP(A93,Ergebnis_je_Aktie_verwässert!A$3:AK$103,6,FALSE)&lt;=0,2,IF(VLOOKUP(A93,Dividende_je_Aktie!A$3:AM$103,6,FALSE)/VLOOKUP(A93,Ergebnis_je_Aktie_verwässert!A$3:AK$103,6,FALSE)&gt;=2,2,VLOOKUP(A93,Dividende_je_Aktie!A$3:AM$103,6,FALSE)/VLOOKUP(A93,Ergebnis_je_Aktie_verwässert!A$3:AK$103,6,FALSE))),""),"")</f>
        <v>#N/A</v>
      </c>
      <c r="U93" s="71" t="e">
        <f>IF(VLOOKUP(A93,Dividende_je_Aktie!A$3:AM$103,7,FALSE)&lt;&gt;"",IF(VLOOKUP(A93,Ergebnis_je_Aktie_verwässert!A$3:AK$103,7,FALSE)&lt;&gt;"",IF(VLOOKUP(A93,Ergebnis_je_Aktie_verwässert!A$3:AK$103,7,FALSE)&lt;=0,2,IF(VLOOKUP(A93,Dividende_je_Aktie!A$3:AM$103,7,FALSE)/VLOOKUP(A93,Ergebnis_je_Aktie_verwässert!A$3:AK$103,7,FALSE)&gt;=2,2,VLOOKUP(A93,Dividende_je_Aktie!A$3:AM$103,7,FALSE)/VLOOKUP(A93,Ergebnis_je_Aktie_verwässert!A$3:AK$103,7,FALSE))),""),"")</f>
        <v>#N/A</v>
      </c>
      <c r="V93" s="71" t="e">
        <f>IF(VLOOKUP(A93,Dividende_je_Aktie!A$3:AM$103,8,FALSE)&lt;&gt;"",IF(VLOOKUP(A93,Ergebnis_je_Aktie_verwässert!A$3:AK$103,8,FALSE)&lt;&gt;"",IF(VLOOKUP(A93,Ergebnis_je_Aktie_verwässert!A$3:AK$103,8,FALSE)&lt;=0,2,IF(VLOOKUP(A93,Dividende_je_Aktie!A$3:AM$103,8,FALSE)/VLOOKUP(A93,Ergebnis_je_Aktie_verwässert!A$3:AK$103,8,FALSE)&gt;=2,2,VLOOKUP(A93,Dividende_je_Aktie!A$3:AM$103,8,FALSE)/VLOOKUP(A93,Ergebnis_je_Aktie_verwässert!A$3:AK$103,8,FALSE))),""),"")</f>
        <v>#N/A</v>
      </c>
      <c r="W93" s="71" t="e">
        <f>IF(VLOOKUP(A93,Dividende_je_Aktie!A$3:AM$103,9,FALSE)&lt;&gt;"",IF(VLOOKUP(A93,Ergebnis_je_Aktie_verwässert!A$3:AK$103,9,FALSE)&lt;&gt;"",IF(VLOOKUP(A93,Ergebnis_je_Aktie_verwässert!A$3:AK$103,9,FALSE)&lt;=0,2,IF(VLOOKUP(A93,Dividende_je_Aktie!A$3:AM$103,9,FALSE)/VLOOKUP(A93,Ergebnis_je_Aktie_verwässert!A$3:AK$103,9,FALSE)&gt;=2,2,VLOOKUP(A93,Dividende_je_Aktie!A$3:AM$103,9,FALSE)/VLOOKUP(A93,Ergebnis_je_Aktie_verwässert!A$3:AK$103,9,FALSE))),""),"")</f>
        <v>#N/A</v>
      </c>
      <c r="X93" s="71" t="e">
        <f>IF(VLOOKUP(A93,Dividende_je_Aktie!A$3:AM$103,10,FALSE)&lt;&gt;"",IF(VLOOKUP(A93,Ergebnis_je_Aktie_verwässert!A$3:AK$103,10,FALSE)&lt;&gt;"",IF(VLOOKUP(A93,Ergebnis_je_Aktie_verwässert!A$3:AK$103,10,FALSE)&lt;=0,2,IF(VLOOKUP(A93,Dividende_je_Aktie!A$3:AM$103,10,FALSE)/VLOOKUP(A93,Ergebnis_je_Aktie_verwässert!A$3:AK$103,10,FALSE)&gt;=2,2,VLOOKUP(A93,Dividende_je_Aktie!A$3:AM$103,10,FALSE)/VLOOKUP(A93,Ergebnis_je_Aktie_verwässert!A$3:AK$103,10,FALSE))),""),"")</f>
        <v>#N/A</v>
      </c>
      <c r="Y93" s="71" t="e">
        <f>IF(VLOOKUP(A93,Dividende_je_Aktie!A$3:AM$103,11,FALSE)&lt;&gt;"",IF(VLOOKUP(A93,Ergebnis_je_Aktie_verwässert!A$3:AK$103,11,FALSE)&lt;&gt;"",IF(VLOOKUP(A93,Ergebnis_je_Aktie_verwässert!A$3:AK$103,11,FALSE)&lt;=0,2,IF(VLOOKUP(A93,Dividende_je_Aktie!A$3:AM$103,11,FALSE)/VLOOKUP(A93,Ergebnis_je_Aktie_verwässert!A$3:AK$103,11,FALSE)&gt;=2,2,VLOOKUP(A93,Dividende_je_Aktie!A$3:AM$103,11,FALSE)/VLOOKUP(A93,Ergebnis_je_Aktie_verwässert!A$3:AK$103,11,FALSE))),""),"")</f>
        <v>#N/A</v>
      </c>
      <c r="Z93" s="71" t="e">
        <f>IF(VLOOKUP(A93,Dividende_je_Aktie!A$3:AM$103,12,FALSE)&lt;&gt;"",IF(VLOOKUP(A93,Ergebnis_je_Aktie_verwässert!A$3:AK$103,12,FALSE)&lt;&gt;"",IF(VLOOKUP(A93,Ergebnis_je_Aktie_verwässert!A$3:AK$103,12,FALSE)&lt;=0,2,IF(VLOOKUP(A93,Dividende_je_Aktie!A$3:AM$103,12,FALSE)/VLOOKUP(A93,Ergebnis_je_Aktie_verwässert!A$3:AK$103,12,FALSE)&gt;=2,2,VLOOKUP(A93,Dividende_je_Aktie!A$3:AM$103,12,FALSE)/VLOOKUP(A93,Ergebnis_je_Aktie_verwässert!A$3:AK$103,12,FALSE))),""),"")</f>
        <v>#N/A</v>
      </c>
      <c r="AA93" s="71" t="e">
        <f>IF(VLOOKUP(A93,Dividende_je_Aktie!A$3:AM$103,13,FALSE)&lt;&gt;"",IF(VLOOKUP(A93,Ergebnis_je_Aktie_verwässert!A$3:AK$103,13,FALSE)&lt;&gt;"",IF(VLOOKUP(A93,Ergebnis_je_Aktie_verwässert!A$3:AK$103,13,FALSE)&lt;=0,2,IF(VLOOKUP(A93,Dividende_je_Aktie!A$3:AM$103,13,FALSE)/VLOOKUP(A93,Ergebnis_je_Aktie_verwässert!A$3:AK$103,13,FALSE)&gt;=2,2,VLOOKUP(A93,Dividende_je_Aktie!A$3:AM$103,13,FALSE)/VLOOKUP(A93,Ergebnis_je_Aktie_verwässert!A$3:AK$103,13,FALSE))),""),"")</f>
        <v>#N/A</v>
      </c>
      <c r="AB93" s="71" t="e">
        <f>IF(VLOOKUP(A93,Dividende_je_Aktie!A$3:AM$103,14,FALSE)&lt;&gt;"",IF(VLOOKUP(A93,Ergebnis_je_Aktie_verwässert!A$3:AK$103,14,FALSE)&lt;&gt;"",IF(VLOOKUP(A93,Ergebnis_je_Aktie_verwässert!A$3:AK$103,14,FALSE)&lt;=0,2,IF(VLOOKUP(A93,Dividende_je_Aktie!A$3:AM$103,14,FALSE)/VLOOKUP(A93,Ergebnis_je_Aktie_verwässert!A$3:AK$103,14,FALSE)&gt;=2,2,VLOOKUP(A93,Dividende_je_Aktie!A$3:AM$103,14,FALSE)/VLOOKUP(A93,Ergebnis_je_Aktie_verwässert!A$3:AK$103,14,FALSE))),""),"")</f>
        <v>#N/A</v>
      </c>
      <c r="AC93" s="71" t="e">
        <f>IF(VLOOKUP(A93,Dividende_je_Aktie!A$3:AM$103,15,FALSE)&lt;&gt;"",IF(VLOOKUP(A93,Ergebnis_je_Aktie_verwässert!A$3:AK$103,15,FALSE)&lt;&gt;"",IF(VLOOKUP(A93,Ergebnis_je_Aktie_verwässert!A$3:AK$103,15,FALSE)&lt;=0,2,IF(VLOOKUP(A93,Dividende_je_Aktie!A$3:AM$103,15,FALSE)/VLOOKUP(A93,Ergebnis_je_Aktie_verwässert!A$3:AK$103,15,FALSE)&gt;=2,2,VLOOKUP(A93,Dividende_je_Aktie!A$3:AM$103,15,FALSE)/VLOOKUP(A93,Ergebnis_je_Aktie_verwässert!A$3:AK$103,15,FALSE))),""),"")</f>
        <v>#N/A</v>
      </c>
      <c r="AD93" s="71" t="e">
        <f>IF(VLOOKUP(A93,Dividende_je_Aktie!A$3:AM$103,16,FALSE)&lt;&gt;"",IF(VLOOKUP(A93,Ergebnis_je_Aktie_verwässert!A$3:AK$103,16,FALSE)&lt;&gt;"",IF(VLOOKUP(A93,Ergebnis_je_Aktie_verwässert!A$3:AK$103,16,FALSE)&lt;=0,2,IF(VLOOKUP(A93,Dividende_je_Aktie!A$3:AM$103,16,FALSE)/VLOOKUP(A93,Ergebnis_je_Aktie_verwässert!A$3:AK$103,16,FALSE)&gt;=2,2,VLOOKUP(A93,Dividende_je_Aktie!A$3:AM$103,16,FALSE)/VLOOKUP(A93,Ergebnis_je_Aktie_verwässert!A$3:AK$103,16,FALSE))),""),"")</f>
        <v>#N/A</v>
      </c>
      <c r="AE93" s="71" t="e">
        <f>IF(VLOOKUP(A93,Dividende_je_Aktie!A$3:AM$103,17,FALSE)&lt;&gt;"",IF(VLOOKUP(A93,Ergebnis_je_Aktie_verwässert!A$3:AK$103,17,FALSE)&lt;&gt;"",IF(VLOOKUP(A93,Ergebnis_je_Aktie_verwässert!A$3:AK$103,17,FALSE)&lt;=0,2,IF(VLOOKUP(A93,Dividende_je_Aktie!A$3:AM$103,17,FALSE)/VLOOKUP(A93,Ergebnis_je_Aktie_verwässert!A$3:AK$103,17,FALSE)&gt;=2,2,VLOOKUP(A93,Dividende_je_Aktie!A$3:AM$103,17,FALSE)/VLOOKUP(A93,Ergebnis_je_Aktie_verwässert!A$3:AK$103,17,FALSE))),""),"")</f>
        <v>#N/A</v>
      </c>
      <c r="AF93" s="71" t="e">
        <f>IF(VLOOKUP(A93,Dividende_je_Aktie!A$3:AM$103,18,FALSE)&lt;&gt;"",IF(VLOOKUP(A93,Ergebnis_je_Aktie_verwässert!A$3:AK$103,18,FALSE)&lt;&gt;"",IF(VLOOKUP(A93,Ergebnis_je_Aktie_verwässert!A$3:AK$103,18,FALSE)&lt;=0,2,IF(VLOOKUP(A93,Dividende_je_Aktie!A$3:AM$103,18,FALSE)/VLOOKUP(A93,Ergebnis_je_Aktie_verwässert!A$3:AK$103,18,FALSE)&gt;=2,2,VLOOKUP(A93,Dividende_je_Aktie!A$3:AM$103,18,FALSE)/VLOOKUP(A93,Ergebnis_je_Aktie_verwässert!A$3:AK$103,18,FALSE))),""),"")</f>
        <v>#N/A</v>
      </c>
      <c r="AG93" s="105" t="e">
        <f t="shared" si="15"/>
        <v>#N/A</v>
      </c>
      <c r="AH93" s="4">
        <f t="shared" ca="1" si="16"/>
        <v>41899</v>
      </c>
      <c r="AI93" s="4">
        <f t="shared" ca="1" si="17"/>
        <v>-41539</v>
      </c>
      <c r="AJ93" s="4" t="e">
        <f t="shared" ca="1" si="18"/>
        <v>#NUM!</v>
      </c>
      <c r="AK93" s="10" t="e">
        <f t="shared" ca="1" si="19"/>
        <v>#N/A</v>
      </c>
      <c r="AL93" s="5" t="e">
        <f t="shared" si="20"/>
        <v>#N/A</v>
      </c>
    </row>
    <row r="94" spans="3:38">
      <c r="C94" s="60"/>
      <c r="D94" s="60"/>
      <c r="E94" s="60"/>
      <c r="F94" s="71" t="e">
        <f>IF(VLOOKUP(A94,Dividende_je_Aktie!A$3:AM$103,6,FALSE)&lt;&gt;"",IF(VLOOKUP(A94,Ergebnis_je_Aktie_verwässert!A$3:AK$103,6,FALSE)&lt;&gt;"",IF(VLOOKUP(A94,Ergebnis_je_Aktie_verwässert!A$3:AK$103,6,FALSE)&lt;=0,2,IF(VLOOKUP(A94,Dividende_je_Aktie!A$3:AM$103,6,FALSE)/VLOOKUP(A94,Ergebnis_je_Aktie_verwässert!A$3:AK$103,6,FALSE)&gt;=2,2,VLOOKUP(A94,Dividende_je_Aktie!A$3:AM$103,6,FALSE)/VLOOKUP(A94,Ergebnis_je_Aktie_verwässert!A$3:AK$103,6,FALSE))),""),"")</f>
        <v>#N/A</v>
      </c>
      <c r="G94" s="71" t="e">
        <f>IF(VLOOKUP(A94,Dividende_je_Aktie!A$3:AM$103,7,FALSE)&lt;&gt;"",IF(VLOOKUP(A94,Ergebnis_je_Aktie_verwässert!A$3:AK$103,7,FALSE)&lt;&gt;"",IF(VLOOKUP(A94,Ergebnis_je_Aktie_verwässert!A$3:AK$103,7,FALSE)&lt;=0,2,IF(VLOOKUP(A94,Dividende_je_Aktie!A$3:AM$103,7,FALSE)/VLOOKUP(A94,Ergebnis_je_Aktie_verwässert!A$3:AK$103,7,FALSE)&gt;=2,2,VLOOKUP(A94,Dividende_je_Aktie!A$3:AM$103,7,FALSE)/VLOOKUP(A94,Ergebnis_je_Aktie_verwässert!A$3:AK$103,7,FALSE))),""),"")</f>
        <v>#N/A</v>
      </c>
      <c r="H94" s="71" t="e">
        <f>IF(VLOOKUP(A94,Fiktive_Dividende!A$3:AM$103,14,FALSE)&lt;&gt;"",IF(VLOOKUP(A94,Ergebnis_je_Aktie_verwässert!A$3:AK$103,8,FALSE)&lt;&gt;"",IF(VLOOKUP(A94,Ergebnis_je_Aktie_verwässert!A$3:AK$103,8,FALSE)&lt;=0,2,IF(VLOOKUP(A94,Fiktive_Dividende!A$3:AM$103,14,FALSE)/VLOOKUP(A94,Ergebnis_je_Aktie_verwässert!A$3:AK$103,8,FALSE)&gt;=2,2,VLOOKUP(A94,Fiktive_Dividende!A$3:AM$103,14,FALSE)/VLOOKUP(A94,Ergebnis_je_Aktie_verwässert!A$3:AK$103,8,FALSE))),""),"")</f>
        <v>#N/A</v>
      </c>
      <c r="I94" s="71" t="e">
        <f>IF(VLOOKUP(A94,Fiktive_Dividende!A$3:AM$103,15,FALSE)&lt;&gt;"",IF(VLOOKUP(A94,Ergebnis_je_Aktie_verwässert!A$3:AK$103,9,FALSE)&lt;&gt;"",IF(VLOOKUP(A94,Ergebnis_je_Aktie_verwässert!A$3:AK$103,9,FALSE)&lt;=0,2,IF(VLOOKUP(A94,Fiktive_Dividende!A$3:AM$103,15,FALSE)/VLOOKUP(A94,Ergebnis_je_Aktie_verwässert!A$3:AK$103,9,FALSE)&gt;=2,2,VLOOKUP(A94,Fiktive_Dividende!A$3:AM$103,15,FALSE)/VLOOKUP(A94,Ergebnis_je_Aktie_verwässert!A$3:AK$103,9,FALSE))),""),"")</f>
        <v>#N/A</v>
      </c>
      <c r="J94" s="71" t="e">
        <f>IF(VLOOKUP(A94,Fiktive_Dividende!A$3:AM$103,16,FALSE)&lt;&gt;"",IF(VLOOKUP(A94,Ergebnis_je_Aktie_verwässert!A$3:AK$103,10,FALSE)&lt;&gt;"",IF(VLOOKUP(A94,Ergebnis_je_Aktie_verwässert!A$3:AK$103,10,FALSE)&lt;=0,2,IF(VLOOKUP(A94,Fiktive_Dividende!A$3:AM$103,16,FALSE)/VLOOKUP(A94,Ergebnis_je_Aktie_verwässert!A$3:AK$103,10,FALSE)&gt;=2,2,VLOOKUP(A94,Fiktive_Dividende!A$3:AM$103,16,FALSE)/VLOOKUP(A94,Ergebnis_je_Aktie_verwässert!A$3:AK$103,10,FALSE))),""),"")</f>
        <v>#N/A</v>
      </c>
      <c r="K94" s="71" t="e">
        <f>IF(VLOOKUP(A94,Fiktive_Dividende!A$3:AM$103,17,FALSE)&lt;&gt;"",IF(VLOOKUP(A94,Ergebnis_je_Aktie_verwässert!A$3:AK$103,11,FALSE)&lt;&gt;"",IF(VLOOKUP(A94,Ergebnis_je_Aktie_verwässert!A$3:AK$103,11,FALSE)&lt;=0,2,IF(VLOOKUP(A94,Fiktive_Dividende!A$3:AM$103,17,FALSE)/VLOOKUP(A94,Ergebnis_je_Aktie_verwässert!A$3:AK$103,11,FALSE)&gt;=2,2,VLOOKUP(A94,Fiktive_Dividende!A$3:AM$103,17,FALSE)/VLOOKUP(A94,Ergebnis_je_Aktie_verwässert!A$3:AK$103,11,FALSE))),""),"")</f>
        <v>#N/A</v>
      </c>
      <c r="L94" s="71" t="e">
        <f>IF(VLOOKUP(A94,Fiktive_Dividende!A$3:AM$103,18,FALSE)&lt;&gt;"",IF(VLOOKUP(A94,Ergebnis_je_Aktie_verwässert!A$3:AK$103,12,FALSE)&lt;&gt;"",IF(VLOOKUP(A94,Ergebnis_je_Aktie_verwässert!A$3:AK$103,12,FALSE)&lt;=0,2,IF(VLOOKUP(A94,Fiktive_Dividende!A$3:AM$103,18,FALSE)/VLOOKUP(A94,Ergebnis_je_Aktie_verwässert!A$3:AK$103,12,FALSE)&gt;=2,2,VLOOKUP(A94,Fiktive_Dividende!A$3:AM$103,18,FALSE)/VLOOKUP(A94,Ergebnis_je_Aktie_verwässert!A$3:AK$103,12,FALSE))),""),"")</f>
        <v>#N/A</v>
      </c>
      <c r="M94" s="71" t="e">
        <f>IF(VLOOKUP(A94,Fiktive_Dividende!A$3:AM$103,19,FALSE)&lt;&gt;"",IF(VLOOKUP(A94,Ergebnis_je_Aktie_verwässert!A$3:AK$103,13,FALSE)&lt;&gt;"",IF(VLOOKUP(A94,Ergebnis_je_Aktie_verwässert!A$3:AK$103,13,FALSE)&lt;=0,2,IF(VLOOKUP(A94,Fiktive_Dividende!A$3:AM$103,19,FALSE)/VLOOKUP(A94,Ergebnis_je_Aktie_verwässert!A$3:AK$103,13,FALSE)&gt;=2,2,VLOOKUP(A94,Fiktive_Dividende!A$3:AM$103,19,FALSE)/VLOOKUP(A94,Ergebnis_je_Aktie_verwässert!A$3:AK$103,13,FALSE))),""),"")</f>
        <v>#N/A</v>
      </c>
      <c r="N94" s="71" t="e">
        <f>IF(VLOOKUP(A94,Fiktive_Dividende!A$3:AM$103,20,FALSE)&lt;&gt;"",IF(VLOOKUP(A94,Ergebnis_je_Aktie_verwässert!A$3:AK$103,14,FALSE)&lt;&gt;"",IF(VLOOKUP(A94,Ergebnis_je_Aktie_verwässert!A$3:AK$103,14,FALSE)&lt;=0,2,IF(VLOOKUP(A94,Fiktive_Dividende!A$3:AM$103,20,FALSE)/VLOOKUP(A94,Ergebnis_je_Aktie_verwässert!A$3:AK$103,14,FALSE)&gt;=2,2,VLOOKUP(A94,Fiktive_Dividende!A$3:AM$103,20,FALSE)/VLOOKUP(A94,Ergebnis_je_Aktie_verwässert!A$3:AK$103,14,FALSE))),""),"")</f>
        <v>#N/A</v>
      </c>
      <c r="O94" s="71" t="e">
        <f>IF(VLOOKUP(A94,Fiktive_Dividende!A$3:AM$103,21,FALSE)&lt;&gt;"",IF(VLOOKUP(A94,Ergebnis_je_Aktie_verwässert!A$3:AK$103,15,FALSE)&lt;&gt;"",IF(VLOOKUP(A94,Ergebnis_je_Aktie_verwässert!A$3:AK$103,15,FALSE)&lt;=0,2,IF(VLOOKUP(A94,Fiktive_Dividende!A$3:AM$103,21,FALSE)/VLOOKUP(A94,Ergebnis_je_Aktie_verwässert!A$3:AK$103,15,FALSE)&gt;=2,2,VLOOKUP(A94,Fiktive_Dividende!A$3:AM$103,21,FALSE)/VLOOKUP(A94,Ergebnis_je_Aktie_verwässert!A$3:AK$103,15,FALSE))),""),"")</f>
        <v>#N/A</v>
      </c>
      <c r="P94" s="71" t="e">
        <f>IF(VLOOKUP(A94,Fiktive_Dividende!A$3:AM$103,22,FALSE)&lt;&gt;"",IF(VLOOKUP(A94,Ergebnis_je_Aktie_verwässert!A$3:AK$103,16,FALSE)&lt;&gt;"",IF(VLOOKUP(A94,Ergebnis_je_Aktie_verwässert!A$3:AK$103,16,FALSE)&lt;=0,2,IF(VLOOKUP(A94,Fiktive_Dividende!A$3:AM$103,22,FALSE)/VLOOKUP(A94,Ergebnis_je_Aktie_verwässert!A$3:AK$103,16,FALSE)&gt;=2,2,VLOOKUP(A94,Fiktive_Dividende!A$3:AM$103,22,FALSE)/VLOOKUP(A94,Ergebnis_je_Aktie_verwässert!A$3:AK$103,16,FALSE))),""),"")</f>
        <v>#N/A</v>
      </c>
      <c r="Q94" s="71" t="e">
        <f>IF(VLOOKUP(A94,Fiktive_Dividende!A$3:AM$103,23,FALSE)&lt;&gt;"",IF(VLOOKUP(A94,Ergebnis_je_Aktie_verwässert!A$3:AK$103,17,FALSE)&lt;&gt;"",IF(VLOOKUP(A94,Ergebnis_je_Aktie_verwässert!A$3:AK$103,17,FALSE)&lt;=0,2,IF(VLOOKUP(A94,Fiktive_Dividende!A$3:AM$103,23,FALSE)/VLOOKUP(A94,Ergebnis_je_Aktie_verwässert!A$3:AK$103,17,FALSE)&gt;=2,2,VLOOKUP(A94,Fiktive_Dividende!A$3:AM$103,23,FALSE)/VLOOKUP(A94,Ergebnis_je_Aktie_verwässert!A$3:AK$103,17,FALSE))),""),"")</f>
        <v>#N/A</v>
      </c>
      <c r="R94" s="71" t="e">
        <f>IF(VLOOKUP(A94,Fiktive_Dividende!A$3:AM$103,24,FALSE)&lt;&gt;"",IF(VLOOKUP(A94,Ergebnis_je_Aktie_verwässert!A$3:AK$103,18,FALSE)&lt;&gt;"",IF(VLOOKUP(A94,Ergebnis_je_Aktie_verwässert!A$3:AK$103,18,FALSE)&lt;=0,2,IF(VLOOKUP(A94,Fiktive_Dividende!A$3:AM$103,24,FALSE)/VLOOKUP(A94,Ergebnis_je_Aktie_verwässert!A$3:AK$103,18,FALSE)&gt;=2,2,VLOOKUP(A94,Fiktive_Dividende!A$3:AM$103,24,FALSE)/VLOOKUP(A94,Ergebnis_je_Aktie_verwässert!A$3:AK$103,18,FALSE))),""),"")</f>
        <v>#N/A</v>
      </c>
      <c r="S94" s="105" t="e">
        <f t="shared" si="14"/>
        <v>#N/A</v>
      </c>
      <c r="T94" s="71" t="e">
        <f>IF(VLOOKUP(A94,Dividende_je_Aktie!A$3:AM$103,6,FALSE)&lt;&gt;"",IF(VLOOKUP(A94,Ergebnis_je_Aktie_verwässert!A$3:AK$103,6,FALSE)&lt;&gt;"",IF(VLOOKUP(A94,Ergebnis_je_Aktie_verwässert!A$3:AK$103,6,FALSE)&lt;=0,2,IF(VLOOKUP(A94,Dividende_je_Aktie!A$3:AM$103,6,FALSE)/VLOOKUP(A94,Ergebnis_je_Aktie_verwässert!A$3:AK$103,6,FALSE)&gt;=2,2,VLOOKUP(A94,Dividende_je_Aktie!A$3:AM$103,6,FALSE)/VLOOKUP(A94,Ergebnis_je_Aktie_verwässert!A$3:AK$103,6,FALSE))),""),"")</f>
        <v>#N/A</v>
      </c>
      <c r="U94" s="71" t="e">
        <f>IF(VLOOKUP(A94,Dividende_je_Aktie!A$3:AM$103,7,FALSE)&lt;&gt;"",IF(VLOOKUP(A94,Ergebnis_je_Aktie_verwässert!A$3:AK$103,7,FALSE)&lt;&gt;"",IF(VLOOKUP(A94,Ergebnis_je_Aktie_verwässert!A$3:AK$103,7,FALSE)&lt;=0,2,IF(VLOOKUP(A94,Dividende_je_Aktie!A$3:AM$103,7,FALSE)/VLOOKUP(A94,Ergebnis_je_Aktie_verwässert!A$3:AK$103,7,FALSE)&gt;=2,2,VLOOKUP(A94,Dividende_je_Aktie!A$3:AM$103,7,FALSE)/VLOOKUP(A94,Ergebnis_je_Aktie_verwässert!A$3:AK$103,7,FALSE))),""),"")</f>
        <v>#N/A</v>
      </c>
      <c r="V94" s="71" t="e">
        <f>IF(VLOOKUP(A94,Dividende_je_Aktie!A$3:AM$103,8,FALSE)&lt;&gt;"",IF(VLOOKUP(A94,Ergebnis_je_Aktie_verwässert!A$3:AK$103,8,FALSE)&lt;&gt;"",IF(VLOOKUP(A94,Ergebnis_je_Aktie_verwässert!A$3:AK$103,8,FALSE)&lt;=0,2,IF(VLOOKUP(A94,Dividende_je_Aktie!A$3:AM$103,8,FALSE)/VLOOKUP(A94,Ergebnis_je_Aktie_verwässert!A$3:AK$103,8,FALSE)&gt;=2,2,VLOOKUP(A94,Dividende_je_Aktie!A$3:AM$103,8,FALSE)/VLOOKUP(A94,Ergebnis_je_Aktie_verwässert!A$3:AK$103,8,FALSE))),""),"")</f>
        <v>#N/A</v>
      </c>
      <c r="W94" s="71" t="e">
        <f>IF(VLOOKUP(A94,Dividende_je_Aktie!A$3:AM$103,9,FALSE)&lt;&gt;"",IF(VLOOKUP(A94,Ergebnis_je_Aktie_verwässert!A$3:AK$103,9,FALSE)&lt;&gt;"",IF(VLOOKUP(A94,Ergebnis_je_Aktie_verwässert!A$3:AK$103,9,FALSE)&lt;=0,2,IF(VLOOKUP(A94,Dividende_je_Aktie!A$3:AM$103,9,FALSE)/VLOOKUP(A94,Ergebnis_je_Aktie_verwässert!A$3:AK$103,9,FALSE)&gt;=2,2,VLOOKUP(A94,Dividende_je_Aktie!A$3:AM$103,9,FALSE)/VLOOKUP(A94,Ergebnis_je_Aktie_verwässert!A$3:AK$103,9,FALSE))),""),"")</f>
        <v>#N/A</v>
      </c>
      <c r="X94" s="71" t="e">
        <f>IF(VLOOKUP(A94,Dividende_je_Aktie!A$3:AM$103,10,FALSE)&lt;&gt;"",IF(VLOOKUP(A94,Ergebnis_je_Aktie_verwässert!A$3:AK$103,10,FALSE)&lt;&gt;"",IF(VLOOKUP(A94,Ergebnis_je_Aktie_verwässert!A$3:AK$103,10,FALSE)&lt;=0,2,IF(VLOOKUP(A94,Dividende_je_Aktie!A$3:AM$103,10,FALSE)/VLOOKUP(A94,Ergebnis_je_Aktie_verwässert!A$3:AK$103,10,FALSE)&gt;=2,2,VLOOKUP(A94,Dividende_je_Aktie!A$3:AM$103,10,FALSE)/VLOOKUP(A94,Ergebnis_je_Aktie_verwässert!A$3:AK$103,10,FALSE))),""),"")</f>
        <v>#N/A</v>
      </c>
      <c r="Y94" s="71" t="e">
        <f>IF(VLOOKUP(A94,Dividende_je_Aktie!A$3:AM$103,11,FALSE)&lt;&gt;"",IF(VLOOKUP(A94,Ergebnis_je_Aktie_verwässert!A$3:AK$103,11,FALSE)&lt;&gt;"",IF(VLOOKUP(A94,Ergebnis_je_Aktie_verwässert!A$3:AK$103,11,FALSE)&lt;=0,2,IF(VLOOKUP(A94,Dividende_je_Aktie!A$3:AM$103,11,FALSE)/VLOOKUP(A94,Ergebnis_je_Aktie_verwässert!A$3:AK$103,11,FALSE)&gt;=2,2,VLOOKUP(A94,Dividende_je_Aktie!A$3:AM$103,11,FALSE)/VLOOKUP(A94,Ergebnis_je_Aktie_verwässert!A$3:AK$103,11,FALSE))),""),"")</f>
        <v>#N/A</v>
      </c>
      <c r="Z94" s="71" t="e">
        <f>IF(VLOOKUP(A94,Dividende_je_Aktie!A$3:AM$103,12,FALSE)&lt;&gt;"",IF(VLOOKUP(A94,Ergebnis_je_Aktie_verwässert!A$3:AK$103,12,FALSE)&lt;&gt;"",IF(VLOOKUP(A94,Ergebnis_je_Aktie_verwässert!A$3:AK$103,12,FALSE)&lt;=0,2,IF(VLOOKUP(A94,Dividende_je_Aktie!A$3:AM$103,12,FALSE)/VLOOKUP(A94,Ergebnis_je_Aktie_verwässert!A$3:AK$103,12,FALSE)&gt;=2,2,VLOOKUP(A94,Dividende_je_Aktie!A$3:AM$103,12,FALSE)/VLOOKUP(A94,Ergebnis_je_Aktie_verwässert!A$3:AK$103,12,FALSE))),""),"")</f>
        <v>#N/A</v>
      </c>
      <c r="AA94" s="71" t="e">
        <f>IF(VLOOKUP(A94,Dividende_je_Aktie!A$3:AM$103,13,FALSE)&lt;&gt;"",IF(VLOOKUP(A94,Ergebnis_je_Aktie_verwässert!A$3:AK$103,13,FALSE)&lt;&gt;"",IF(VLOOKUP(A94,Ergebnis_je_Aktie_verwässert!A$3:AK$103,13,FALSE)&lt;=0,2,IF(VLOOKUP(A94,Dividende_je_Aktie!A$3:AM$103,13,FALSE)/VLOOKUP(A94,Ergebnis_je_Aktie_verwässert!A$3:AK$103,13,FALSE)&gt;=2,2,VLOOKUP(A94,Dividende_je_Aktie!A$3:AM$103,13,FALSE)/VLOOKUP(A94,Ergebnis_je_Aktie_verwässert!A$3:AK$103,13,FALSE))),""),"")</f>
        <v>#N/A</v>
      </c>
      <c r="AB94" s="71" t="e">
        <f>IF(VLOOKUP(A94,Dividende_je_Aktie!A$3:AM$103,14,FALSE)&lt;&gt;"",IF(VLOOKUP(A94,Ergebnis_je_Aktie_verwässert!A$3:AK$103,14,FALSE)&lt;&gt;"",IF(VLOOKUP(A94,Ergebnis_je_Aktie_verwässert!A$3:AK$103,14,FALSE)&lt;=0,2,IF(VLOOKUP(A94,Dividende_je_Aktie!A$3:AM$103,14,FALSE)/VLOOKUP(A94,Ergebnis_je_Aktie_verwässert!A$3:AK$103,14,FALSE)&gt;=2,2,VLOOKUP(A94,Dividende_je_Aktie!A$3:AM$103,14,FALSE)/VLOOKUP(A94,Ergebnis_je_Aktie_verwässert!A$3:AK$103,14,FALSE))),""),"")</f>
        <v>#N/A</v>
      </c>
      <c r="AC94" s="71" t="e">
        <f>IF(VLOOKUP(A94,Dividende_je_Aktie!A$3:AM$103,15,FALSE)&lt;&gt;"",IF(VLOOKUP(A94,Ergebnis_je_Aktie_verwässert!A$3:AK$103,15,FALSE)&lt;&gt;"",IF(VLOOKUP(A94,Ergebnis_je_Aktie_verwässert!A$3:AK$103,15,FALSE)&lt;=0,2,IF(VLOOKUP(A94,Dividende_je_Aktie!A$3:AM$103,15,FALSE)/VLOOKUP(A94,Ergebnis_je_Aktie_verwässert!A$3:AK$103,15,FALSE)&gt;=2,2,VLOOKUP(A94,Dividende_je_Aktie!A$3:AM$103,15,FALSE)/VLOOKUP(A94,Ergebnis_je_Aktie_verwässert!A$3:AK$103,15,FALSE))),""),"")</f>
        <v>#N/A</v>
      </c>
      <c r="AD94" s="71" t="e">
        <f>IF(VLOOKUP(A94,Dividende_je_Aktie!A$3:AM$103,16,FALSE)&lt;&gt;"",IF(VLOOKUP(A94,Ergebnis_je_Aktie_verwässert!A$3:AK$103,16,FALSE)&lt;&gt;"",IF(VLOOKUP(A94,Ergebnis_je_Aktie_verwässert!A$3:AK$103,16,FALSE)&lt;=0,2,IF(VLOOKUP(A94,Dividende_je_Aktie!A$3:AM$103,16,FALSE)/VLOOKUP(A94,Ergebnis_je_Aktie_verwässert!A$3:AK$103,16,FALSE)&gt;=2,2,VLOOKUP(A94,Dividende_je_Aktie!A$3:AM$103,16,FALSE)/VLOOKUP(A94,Ergebnis_je_Aktie_verwässert!A$3:AK$103,16,FALSE))),""),"")</f>
        <v>#N/A</v>
      </c>
      <c r="AE94" s="71" t="e">
        <f>IF(VLOOKUP(A94,Dividende_je_Aktie!A$3:AM$103,17,FALSE)&lt;&gt;"",IF(VLOOKUP(A94,Ergebnis_je_Aktie_verwässert!A$3:AK$103,17,FALSE)&lt;&gt;"",IF(VLOOKUP(A94,Ergebnis_je_Aktie_verwässert!A$3:AK$103,17,FALSE)&lt;=0,2,IF(VLOOKUP(A94,Dividende_je_Aktie!A$3:AM$103,17,FALSE)/VLOOKUP(A94,Ergebnis_je_Aktie_verwässert!A$3:AK$103,17,FALSE)&gt;=2,2,VLOOKUP(A94,Dividende_je_Aktie!A$3:AM$103,17,FALSE)/VLOOKUP(A94,Ergebnis_je_Aktie_verwässert!A$3:AK$103,17,FALSE))),""),"")</f>
        <v>#N/A</v>
      </c>
      <c r="AF94" s="71" t="e">
        <f>IF(VLOOKUP(A94,Dividende_je_Aktie!A$3:AM$103,18,FALSE)&lt;&gt;"",IF(VLOOKUP(A94,Ergebnis_je_Aktie_verwässert!A$3:AK$103,18,FALSE)&lt;&gt;"",IF(VLOOKUP(A94,Ergebnis_je_Aktie_verwässert!A$3:AK$103,18,FALSE)&lt;=0,2,IF(VLOOKUP(A94,Dividende_je_Aktie!A$3:AM$103,18,FALSE)/VLOOKUP(A94,Ergebnis_je_Aktie_verwässert!A$3:AK$103,18,FALSE)&gt;=2,2,VLOOKUP(A94,Dividende_je_Aktie!A$3:AM$103,18,FALSE)/VLOOKUP(A94,Ergebnis_je_Aktie_verwässert!A$3:AK$103,18,FALSE))),""),"")</f>
        <v>#N/A</v>
      </c>
      <c r="AG94" s="105" t="e">
        <f t="shared" si="15"/>
        <v>#N/A</v>
      </c>
      <c r="AH94" s="4">
        <f t="shared" ca="1" si="16"/>
        <v>41899</v>
      </c>
      <c r="AI94" s="4">
        <f t="shared" ca="1" si="17"/>
        <v>-41539</v>
      </c>
      <c r="AJ94" s="4" t="e">
        <f t="shared" ca="1" si="18"/>
        <v>#NUM!</v>
      </c>
      <c r="AK94" s="10" t="e">
        <f t="shared" ca="1" si="19"/>
        <v>#N/A</v>
      </c>
      <c r="AL94" s="5" t="e">
        <f t="shared" si="20"/>
        <v>#N/A</v>
      </c>
    </row>
    <row r="95" spans="3:38">
      <c r="C95" s="60"/>
      <c r="D95" s="60"/>
      <c r="E95" s="60"/>
      <c r="F95" s="71" t="e">
        <f>IF(VLOOKUP(A95,Dividende_je_Aktie!A$3:AM$103,6,FALSE)&lt;&gt;"",IF(VLOOKUP(A95,Ergebnis_je_Aktie_verwässert!A$3:AK$103,6,FALSE)&lt;&gt;"",IF(VLOOKUP(A95,Ergebnis_je_Aktie_verwässert!A$3:AK$103,6,FALSE)&lt;=0,2,IF(VLOOKUP(A95,Dividende_je_Aktie!A$3:AM$103,6,FALSE)/VLOOKUP(A95,Ergebnis_je_Aktie_verwässert!A$3:AK$103,6,FALSE)&gt;=2,2,VLOOKUP(A95,Dividende_je_Aktie!A$3:AM$103,6,FALSE)/VLOOKUP(A95,Ergebnis_je_Aktie_verwässert!A$3:AK$103,6,FALSE))),""),"")</f>
        <v>#N/A</v>
      </c>
      <c r="G95" s="71" t="e">
        <f>IF(VLOOKUP(A95,Dividende_je_Aktie!A$3:AM$103,7,FALSE)&lt;&gt;"",IF(VLOOKUP(A95,Ergebnis_je_Aktie_verwässert!A$3:AK$103,7,FALSE)&lt;&gt;"",IF(VLOOKUP(A95,Ergebnis_je_Aktie_verwässert!A$3:AK$103,7,FALSE)&lt;=0,2,IF(VLOOKUP(A95,Dividende_je_Aktie!A$3:AM$103,7,FALSE)/VLOOKUP(A95,Ergebnis_je_Aktie_verwässert!A$3:AK$103,7,FALSE)&gt;=2,2,VLOOKUP(A95,Dividende_je_Aktie!A$3:AM$103,7,FALSE)/VLOOKUP(A95,Ergebnis_je_Aktie_verwässert!A$3:AK$103,7,FALSE))),""),"")</f>
        <v>#N/A</v>
      </c>
      <c r="H95" s="71" t="e">
        <f>IF(VLOOKUP(A95,Fiktive_Dividende!A$3:AM$103,14,FALSE)&lt;&gt;"",IF(VLOOKUP(A95,Ergebnis_je_Aktie_verwässert!A$3:AK$103,8,FALSE)&lt;&gt;"",IF(VLOOKUP(A95,Ergebnis_je_Aktie_verwässert!A$3:AK$103,8,FALSE)&lt;=0,2,IF(VLOOKUP(A95,Fiktive_Dividende!A$3:AM$103,14,FALSE)/VLOOKUP(A95,Ergebnis_je_Aktie_verwässert!A$3:AK$103,8,FALSE)&gt;=2,2,VLOOKUP(A95,Fiktive_Dividende!A$3:AM$103,14,FALSE)/VLOOKUP(A95,Ergebnis_je_Aktie_verwässert!A$3:AK$103,8,FALSE))),""),"")</f>
        <v>#N/A</v>
      </c>
      <c r="I95" s="71" t="e">
        <f>IF(VLOOKUP(A95,Fiktive_Dividende!A$3:AM$103,15,FALSE)&lt;&gt;"",IF(VLOOKUP(A95,Ergebnis_je_Aktie_verwässert!A$3:AK$103,9,FALSE)&lt;&gt;"",IF(VLOOKUP(A95,Ergebnis_je_Aktie_verwässert!A$3:AK$103,9,FALSE)&lt;=0,2,IF(VLOOKUP(A95,Fiktive_Dividende!A$3:AM$103,15,FALSE)/VLOOKUP(A95,Ergebnis_je_Aktie_verwässert!A$3:AK$103,9,FALSE)&gt;=2,2,VLOOKUP(A95,Fiktive_Dividende!A$3:AM$103,15,FALSE)/VLOOKUP(A95,Ergebnis_je_Aktie_verwässert!A$3:AK$103,9,FALSE))),""),"")</f>
        <v>#N/A</v>
      </c>
      <c r="J95" s="71" t="e">
        <f>IF(VLOOKUP(A95,Fiktive_Dividende!A$3:AM$103,16,FALSE)&lt;&gt;"",IF(VLOOKUP(A95,Ergebnis_je_Aktie_verwässert!A$3:AK$103,10,FALSE)&lt;&gt;"",IF(VLOOKUP(A95,Ergebnis_je_Aktie_verwässert!A$3:AK$103,10,FALSE)&lt;=0,2,IF(VLOOKUP(A95,Fiktive_Dividende!A$3:AM$103,16,FALSE)/VLOOKUP(A95,Ergebnis_je_Aktie_verwässert!A$3:AK$103,10,FALSE)&gt;=2,2,VLOOKUP(A95,Fiktive_Dividende!A$3:AM$103,16,FALSE)/VLOOKUP(A95,Ergebnis_je_Aktie_verwässert!A$3:AK$103,10,FALSE))),""),"")</f>
        <v>#N/A</v>
      </c>
      <c r="K95" s="71" t="e">
        <f>IF(VLOOKUP(A95,Fiktive_Dividende!A$3:AM$103,17,FALSE)&lt;&gt;"",IF(VLOOKUP(A95,Ergebnis_je_Aktie_verwässert!A$3:AK$103,11,FALSE)&lt;&gt;"",IF(VLOOKUP(A95,Ergebnis_je_Aktie_verwässert!A$3:AK$103,11,FALSE)&lt;=0,2,IF(VLOOKUP(A95,Fiktive_Dividende!A$3:AM$103,17,FALSE)/VLOOKUP(A95,Ergebnis_je_Aktie_verwässert!A$3:AK$103,11,FALSE)&gt;=2,2,VLOOKUP(A95,Fiktive_Dividende!A$3:AM$103,17,FALSE)/VLOOKUP(A95,Ergebnis_je_Aktie_verwässert!A$3:AK$103,11,FALSE))),""),"")</f>
        <v>#N/A</v>
      </c>
      <c r="L95" s="71" t="e">
        <f>IF(VLOOKUP(A95,Fiktive_Dividende!A$3:AM$103,18,FALSE)&lt;&gt;"",IF(VLOOKUP(A95,Ergebnis_je_Aktie_verwässert!A$3:AK$103,12,FALSE)&lt;&gt;"",IF(VLOOKUP(A95,Ergebnis_je_Aktie_verwässert!A$3:AK$103,12,FALSE)&lt;=0,2,IF(VLOOKUP(A95,Fiktive_Dividende!A$3:AM$103,18,FALSE)/VLOOKUP(A95,Ergebnis_je_Aktie_verwässert!A$3:AK$103,12,FALSE)&gt;=2,2,VLOOKUP(A95,Fiktive_Dividende!A$3:AM$103,18,FALSE)/VLOOKUP(A95,Ergebnis_je_Aktie_verwässert!A$3:AK$103,12,FALSE))),""),"")</f>
        <v>#N/A</v>
      </c>
      <c r="M95" s="71" t="e">
        <f>IF(VLOOKUP(A95,Fiktive_Dividende!A$3:AM$103,19,FALSE)&lt;&gt;"",IF(VLOOKUP(A95,Ergebnis_je_Aktie_verwässert!A$3:AK$103,13,FALSE)&lt;&gt;"",IF(VLOOKUP(A95,Ergebnis_je_Aktie_verwässert!A$3:AK$103,13,FALSE)&lt;=0,2,IF(VLOOKUP(A95,Fiktive_Dividende!A$3:AM$103,19,FALSE)/VLOOKUP(A95,Ergebnis_je_Aktie_verwässert!A$3:AK$103,13,FALSE)&gt;=2,2,VLOOKUP(A95,Fiktive_Dividende!A$3:AM$103,19,FALSE)/VLOOKUP(A95,Ergebnis_je_Aktie_verwässert!A$3:AK$103,13,FALSE))),""),"")</f>
        <v>#N/A</v>
      </c>
      <c r="N95" s="71" t="e">
        <f>IF(VLOOKUP(A95,Fiktive_Dividende!A$3:AM$103,20,FALSE)&lt;&gt;"",IF(VLOOKUP(A95,Ergebnis_je_Aktie_verwässert!A$3:AK$103,14,FALSE)&lt;&gt;"",IF(VLOOKUP(A95,Ergebnis_je_Aktie_verwässert!A$3:AK$103,14,FALSE)&lt;=0,2,IF(VLOOKUP(A95,Fiktive_Dividende!A$3:AM$103,20,FALSE)/VLOOKUP(A95,Ergebnis_je_Aktie_verwässert!A$3:AK$103,14,FALSE)&gt;=2,2,VLOOKUP(A95,Fiktive_Dividende!A$3:AM$103,20,FALSE)/VLOOKUP(A95,Ergebnis_je_Aktie_verwässert!A$3:AK$103,14,FALSE))),""),"")</f>
        <v>#N/A</v>
      </c>
      <c r="O95" s="71" t="e">
        <f>IF(VLOOKUP(A95,Fiktive_Dividende!A$3:AM$103,21,FALSE)&lt;&gt;"",IF(VLOOKUP(A95,Ergebnis_je_Aktie_verwässert!A$3:AK$103,15,FALSE)&lt;&gt;"",IF(VLOOKUP(A95,Ergebnis_je_Aktie_verwässert!A$3:AK$103,15,FALSE)&lt;=0,2,IF(VLOOKUP(A95,Fiktive_Dividende!A$3:AM$103,21,FALSE)/VLOOKUP(A95,Ergebnis_je_Aktie_verwässert!A$3:AK$103,15,FALSE)&gt;=2,2,VLOOKUP(A95,Fiktive_Dividende!A$3:AM$103,21,FALSE)/VLOOKUP(A95,Ergebnis_je_Aktie_verwässert!A$3:AK$103,15,FALSE))),""),"")</f>
        <v>#N/A</v>
      </c>
      <c r="P95" s="71" t="e">
        <f>IF(VLOOKUP(A95,Fiktive_Dividende!A$3:AM$103,22,FALSE)&lt;&gt;"",IF(VLOOKUP(A95,Ergebnis_je_Aktie_verwässert!A$3:AK$103,16,FALSE)&lt;&gt;"",IF(VLOOKUP(A95,Ergebnis_je_Aktie_verwässert!A$3:AK$103,16,FALSE)&lt;=0,2,IF(VLOOKUP(A95,Fiktive_Dividende!A$3:AM$103,22,FALSE)/VLOOKUP(A95,Ergebnis_je_Aktie_verwässert!A$3:AK$103,16,FALSE)&gt;=2,2,VLOOKUP(A95,Fiktive_Dividende!A$3:AM$103,22,FALSE)/VLOOKUP(A95,Ergebnis_je_Aktie_verwässert!A$3:AK$103,16,FALSE))),""),"")</f>
        <v>#N/A</v>
      </c>
      <c r="Q95" s="71" t="e">
        <f>IF(VLOOKUP(A95,Fiktive_Dividende!A$3:AM$103,23,FALSE)&lt;&gt;"",IF(VLOOKUP(A95,Ergebnis_je_Aktie_verwässert!A$3:AK$103,17,FALSE)&lt;&gt;"",IF(VLOOKUP(A95,Ergebnis_je_Aktie_verwässert!A$3:AK$103,17,FALSE)&lt;=0,2,IF(VLOOKUP(A95,Fiktive_Dividende!A$3:AM$103,23,FALSE)/VLOOKUP(A95,Ergebnis_je_Aktie_verwässert!A$3:AK$103,17,FALSE)&gt;=2,2,VLOOKUP(A95,Fiktive_Dividende!A$3:AM$103,23,FALSE)/VLOOKUP(A95,Ergebnis_je_Aktie_verwässert!A$3:AK$103,17,FALSE))),""),"")</f>
        <v>#N/A</v>
      </c>
      <c r="R95" s="71" t="e">
        <f>IF(VLOOKUP(A95,Fiktive_Dividende!A$3:AM$103,24,FALSE)&lt;&gt;"",IF(VLOOKUP(A95,Ergebnis_je_Aktie_verwässert!A$3:AK$103,18,FALSE)&lt;&gt;"",IF(VLOOKUP(A95,Ergebnis_je_Aktie_verwässert!A$3:AK$103,18,FALSE)&lt;=0,2,IF(VLOOKUP(A95,Fiktive_Dividende!A$3:AM$103,24,FALSE)/VLOOKUP(A95,Ergebnis_je_Aktie_verwässert!A$3:AK$103,18,FALSE)&gt;=2,2,VLOOKUP(A95,Fiktive_Dividende!A$3:AM$103,24,FALSE)/VLOOKUP(A95,Ergebnis_je_Aktie_verwässert!A$3:AK$103,18,FALSE))),""),"")</f>
        <v>#N/A</v>
      </c>
      <c r="S95" s="105" t="e">
        <f t="shared" si="14"/>
        <v>#N/A</v>
      </c>
      <c r="T95" s="71" t="e">
        <f>IF(VLOOKUP(A95,Dividende_je_Aktie!A$3:AM$103,6,FALSE)&lt;&gt;"",IF(VLOOKUP(A95,Ergebnis_je_Aktie_verwässert!A$3:AK$103,6,FALSE)&lt;&gt;"",IF(VLOOKUP(A95,Ergebnis_je_Aktie_verwässert!A$3:AK$103,6,FALSE)&lt;=0,2,IF(VLOOKUP(A95,Dividende_je_Aktie!A$3:AM$103,6,FALSE)/VLOOKUP(A95,Ergebnis_je_Aktie_verwässert!A$3:AK$103,6,FALSE)&gt;=2,2,VLOOKUP(A95,Dividende_je_Aktie!A$3:AM$103,6,FALSE)/VLOOKUP(A95,Ergebnis_je_Aktie_verwässert!A$3:AK$103,6,FALSE))),""),"")</f>
        <v>#N/A</v>
      </c>
      <c r="U95" s="71" t="e">
        <f>IF(VLOOKUP(A95,Dividende_je_Aktie!A$3:AM$103,7,FALSE)&lt;&gt;"",IF(VLOOKUP(A95,Ergebnis_je_Aktie_verwässert!A$3:AK$103,7,FALSE)&lt;&gt;"",IF(VLOOKUP(A95,Ergebnis_je_Aktie_verwässert!A$3:AK$103,7,FALSE)&lt;=0,2,IF(VLOOKUP(A95,Dividende_je_Aktie!A$3:AM$103,7,FALSE)/VLOOKUP(A95,Ergebnis_je_Aktie_verwässert!A$3:AK$103,7,FALSE)&gt;=2,2,VLOOKUP(A95,Dividende_je_Aktie!A$3:AM$103,7,FALSE)/VLOOKUP(A95,Ergebnis_je_Aktie_verwässert!A$3:AK$103,7,FALSE))),""),"")</f>
        <v>#N/A</v>
      </c>
      <c r="V95" s="71" t="e">
        <f>IF(VLOOKUP(A95,Dividende_je_Aktie!A$3:AM$103,8,FALSE)&lt;&gt;"",IF(VLOOKUP(A95,Ergebnis_je_Aktie_verwässert!A$3:AK$103,8,FALSE)&lt;&gt;"",IF(VLOOKUP(A95,Ergebnis_je_Aktie_verwässert!A$3:AK$103,8,FALSE)&lt;=0,2,IF(VLOOKUP(A95,Dividende_je_Aktie!A$3:AM$103,8,FALSE)/VLOOKUP(A95,Ergebnis_je_Aktie_verwässert!A$3:AK$103,8,FALSE)&gt;=2,2,VLOOKUP(A95,Dividende_je_Aktie!A$3:AM$103,8,FALSE)/VLOOKUP(A95,Ergebnis_je_Aktie_verwässert!A$3:AK$103,8,FALSE))),""),"")</f>
        <v>#N/A</v>
      </c>
      <c r="W95" s="71" t="e">
        <f>IF(VLOOKUP(A95,Dividende_je_Aktie!A$3:AM$103,9,FALSE)&lt;&gt;"",IF(VLOOKUP(A95,Ergebnis_je_Aktie_verwässert!A$3:AK$103,9,FALSE)&lt;&gt;"",IF(VLOOKUP(A95,Ergebnis_je_Aktie_verwässert!A$3:AK$103,9,FALSE)&lt;=0,2,IF(VLOOKUP(A95,Dividende_je_Aktie!A$3:AM$103,9,FALSE)/VLOOKUP(A95,Ergebnis_je_Aktie_verwässert!A$3:AK$103,9,FALSE)&gt;=2,2,VLOOKUP(A95,Dividende_je_Aktie!A$3:AM$103,9,FALSE)/VLOOKUP(A95,Ergebnis_je_Aktie_verwässert!A$3:AK$103,9,FALSE))),""),"")</f>
        <v>#N/A</v>
      </c>
      <c r="X95" s="71" t="e">
        <f>IF(VLOOKUP(A95,Dividende_je_Aktie!A$3:AM$103,10,FALSE)&lt;&gt;"",IF(VLOOKUP(A95,Ergebnis_je_Aktie_verwässert!A$3:AK$103,10,FALSE)&lt;&gt;"",IF(VLOOKUP(A95,Ergebnis_je_Aktie_verwässert!A$3:AK$103,10,FALSE)&lt;=0,2,IF(VLOOKUP(A95,Dividende_je_Aktie!A$3:AM$103,10,FALSE)/VLOOKUP(A95,Ergebnis_je_Aktie_verwässert!A$3:AK$103,10,FALSE)&gt;=2,2,VLOOKUP(A95,Dividende_je_Aktie!A$3:AM$103,10,FALSE)/VLOOKUP(A95,Ergebnis_je_Aktie_verwässert!A$3:AK$103,10,FALSE))),""),"")</f>
        <v>#N/A</v>
      </c>
      <c r="Y95" s="71" t="e">
        <f>IF(VLOOKUP(A95,Dividende_je_Aktie!A$3:AM$103,11,FALSE)&lt;&gt;"",IF(VLOOKUP(A95,Ergebnis_je_Aktie_verwässert!A$3:AK$103,11,FALSE)&lt;&gt;"",IF(VLOOKUP(A95,Ergebnis_je_Aktie_verwässert!A$3:AK$103,11,FALSE)&lt;=0,2,IF(VLOOKUP(A95,Dividende_je_Aktie!A$3:AM$103,11,FALSE)/VLOOKUP(A95,Ergebnis_je_Aktie_verwässert!A$3:AK$103,11,FALSE)&gt;=2,2,VLOOKUP(A95,Dividende_je_Aktie!A$3:AM$103,11,FALSE)/VLOOKUP(A95,Ergebnis_je_Aktie_verwässert!A$3:AK$103,11,FALSE))),""),"")</f>
        <v>#N/A</v>
      </c>
      <c r="Z95" s="71" t="e">
        <f>IF(VLOOKUP(A95,Dividende_je_Aktie!A$3:AM$103,12,FALSE)&lt;&gt;"",IF(VLOOKUP(A95,Ergebnis_je_Aktie_verwässert!A$3:AK$103,12,FALSE)&lt;&gt;"",IF(VLOOKUP(A95,Ergebnis_je_Aktie_verwässert!A$3:AK$103,12,FALSE)&lt;=0,2,IF(VLOOKUP(A95,Dividende_je_Aktie!A$3:AM$103,12,FALSE)/VLOOKUP(A95,Ergebnis_je_Aktie_verwässert!A$3:AK$103,12,FALSE)&gt;=2,2,VLOOKUP(A95,Dividende_je_Aktie!A$3:AM$103,12,FALSE)/VLOOKUP(A95,Ergebnis_je_Aktie_verwässert!A$3:AK$103,12,FALSE))),""),"")</f>
        <v>#N/A</v>
      </c>
      <c r="AA95" s="71" t="e">
        <f>IF(VLOOKUP(A95,Dividende_je_Aktie!A$3:AM$103,13,FALSE)&lt;&gt;"",IF(VLOOKUP(A95,Ergebnis_je_Aktie_verwässert!A$3:AK$103,13,FALSE)&lt;&gt;"",IF(VLOOKUP(A95,Ergebnis_je_Aktie_verwässert!A$3:AK$103,13,FALSE)&lt;=0,2,IF(VLOOKUP(A95,Dividende_je_Aktie!A$3:AM$103,13,FALSE)/VLOOKUP(A95,Ergebnis_je_Aktie_verwässert!A$3:AK$103,13,FALSE)&gt;=2,2,VLOOKUP(A95,Dividende_je_Aktie!A$3:AM$103,13,FALSE)/VLOOKUP(A95,Ergebnis_je_Aktie_verwässert!A$3:AK$103,13,FALSE))),""),"")</f>
        <v>#N/A</v>
      </c>
      <c r="AB95" s="71" t="e">
        <f>IF(VLOOKUP(A95,Dividende_je_Aktie!A$3:AM$103,14,FALSE)&lt;&gt;"",IF(VLOOKUP(A95,Ergebnis_je_Aktie_verwässert!A$3:AK$103,14,FALSE)&lt;&gt;"",IF(VLOOKUP(A95,Ergebnis_je_Aktie_verwässert!A$3:AK$103,14,FALSE)&lt;=0,2,IF(VLOOKUP(A95,Dividende_je_Aktie!A$3:AM$103,14,FALSE)/VLOOKUP(A95,Ergebnis_je_Aktie_verwässert!A$3:AK$103,14,FALSE)&gt;=2,2,VLOOKUP(A95,Dividende_je_Aktie!A$3:AM$103,14,FALSE)/VLOOKUP(A95,Ergebnis_je_Aktie_verwässert!A$3:AK$103,14,FALSE))),""),"")</f>
        <v>#N/A</v>
      </c>
      <c r="AC95" s="71" t="e">
        <f>IF(VLOOKUP(A95,Dividende_je_Aktie!A$3:AM$103,15,FALSE)&lt;&gt;"",IF(VLOOKUP(A95,Ergebnis_je_Aktie_verwässert!A$3:AK$103,15,FALSE)&lt;&gt;"",IF(VLOOKUP(A95,Ergebnis_je_Aktie_verwässert!A$3:AK$103,15,FALSE)&lt;=0,2,IF(VLOOKUP(A95,Dividende_je_Aktie!A$3:AM$103,15,FALSE)/VLOOKUP(A95,Ergebnis_je_Aktie_verwässert!A$3:AK$103,15,FALSE)&gt;=2,2,VLOOKUP(A95,Dividende_je_Aktie!A$3:AM$103,15,FALSE)/VLOOKUP(A95,Ergebnis_je_Aktie_verwässert!A$3:AK$103,15,FALSE))),""),"")</f>
        <v>#N/A</v>
      </c>
      <c r="AD95" s="71" t="e">
        <f>IF(VLOOKUP(A95,Dividende_je_Aktie!A$3:AM$103,16,FALSE)&lt;&gt;"",IF(VLOOKUP(A95,Ergebnis_je_Aktie_verwässert!A$3:AK$103,16,FALSE)&lt;&gt;"",IF(VLOOKUP(A95,Ergebnis_je_Aktie_verwässert!A$3:AK$103,16,FALSE)&lt;=0,2,IF(VLOOKUP(A95,Dividende_je_Aktie!A$3:AM$103,16,FALSE)/VLOOKUP(A95,Ergebnis_je_Aktie_verwässert!A$3:AK$103,16,FALSE)&gt;=2,2,VLOOKUP(A95,Dividende_je_Aktie!A$3:AM$103,16,FALSE)/VLOOKUP(A95,Ergebnis_je_Aktie_verwässert!A$3:AK$103,16,FALSE))),""),"")</f>
        <v>#N/A</v>
      </c>
      <c r="AE95" s="71" t="e">
        <f>IF(VLOOKUP(A95,Dividende_je_Aktie!A$3:AM$103,17,FALSE)&lt;&gt;"",IF(VLOOKUP(A95,Ergebnis_je_Aktie_verwässert!A$3:AK$103,17,FALSE)&lt;&gt;"",IF(VLOOKUP(A95,Ergebnis_je_Aktie_verwässert!A$3:AK$103,17,FALSE)&lt;=0,2,IF(VLOOKUP(A95,Dividende_je_Aktie!A$3:AM$103,17,FALSE)/VLOOKUP(A95,Ergebnis_je_Aktie_verwässert!A$3:AK$103,17,FALSE)&gt;=2,2,VLOOKUP(A95,Dividende_je_Aktie!A$3:AM$103,17,FALSE)/VLOOKUP(A95,Ergebnis_je_Aktie_verwässert!A$3:AK$103,17,FALSE))),""),"")</f>
        <v>#N/A</v>
      </c>
      <c r="AF95" s="71" t="e">
        <f>IF(VLOOKUP(A95,Dividende_je_Aktie!A$3:AM$103,18,FALSE)&lt;&gt;"",IF(VLOOKUP(A95,Ergebnis_je_Aktie_verwässert!A$3:AK$103,18,FALSE)&lt;&gt;"",IF(VLOOKUP(A95,Ergebnis_je_Aktie_verwässert!A$3:AK$103,18,FALSE)&lt;=0,2,IF(VLOOKUP(A95,Dividende_je_Aktie!A$3:AM$103,18,FALSE)/VLOOKUP(A95,Ergebnis_je_Aktie_verwässert!A$3:AK$103,18,FALSE)&gt;=2,2,VLOOKUP(A95,Dividende_je_Aktie!A$3:AM$103,18,FALSE)/VLOOKUP(A95,Ergebnis_je_Aktie_verwässert!A$3:AK$103,18,FALSE))),""),"")</f>
        <v>#N/A</v>
      </c>
      <c r="AG95" s="105" t="e">
        <f t="shared" si="15"/>
        <v>#N/A</v>
      </c>
      <c r="AH95" s="4">
        <f t="shared" ca="1" si="16"/>
        <v>41899</v>
      </c>
      <c r="AI95" s="4">
        <f t="shared" ca="1" si="17"/>
        <v>-41539</v>
      </c>
      <c r="AJ95" s="4" t="e">
        <f t="shared" ca="1" si="18"/>
        <v>#NUM!</v>
      </c>
      <c r="AK95" s="10" t="e">
        <f t="shared" ca="1" si="19"/>
        <v>#N/A</v>
      </c>
      <c r="AL95" s="5" t="e">
        <f t="shared" si="20"/>
        <v>#N/A</v>
      </c>
    </row>
    <row r="96" spans="3:38">
      <c r="C96" s="60"/>
      <c r="D96" s="60"/>
      <c r="E96" s="60"/>
      <c r="F96" s="71" t="e">
        <f>IF(VLOOKUP(A96,Dividende_je_Aktie!A$3:AM$103,6,FALSE)&lt;&gt;"",IF(VLOOKUP(A96,Ergebnis_je_Aktie_verwässert!A$3:AK$103,6,FALSE)&lt;&gt;"",IF(VLOOKUP(A96,Ergebnis_je_Aktie_verwässert!A$3:AK$103,6,FALSE)&lt;=0,2,IF(VLOOKUP(A96,Dividende_je_Aktie!A$3:AM$103,6,FALSE)/VLOOKUP(A96,Ergebnis_je_Aktie_verwässert!A$3:AK$103,6,FALSE)&gt;=2,2,VLOOKUP(A96,Dividende_je_Aktie!A$3:AM$103,6,FALSE)/VLOOKUP(A96,Ergebnis_je_Aktie_verwässert!A$3:AK$103,6,FALSE))),""),"")</f>
        <v>#N/A</v>
      </c>
      <c r="G96" s="71" t="e">
        <f>IF(VLOOKUP(A96,Dividende_je_Aktie!A$3:AM$103,7,FALSE)&lt;&gt;"",IF(VLOOKUP(A96,Ergebnis_je_Aktie_verwässert!A$3:AK$103,7,FALSE)&lt;&gt;"",IF(VLOOKUP(A96,Ergebnis_je_Aktie_verwässert!A$3:AK$103,7,FALSE)&lt;=0,2,IF(VLOOKUP(A96,Dividende_je_Aktie!A$3:AM$103,7,FALSE)/VLOOKUP(A96,Ergebnis_je_Aktie_verwässert!A$3:AK$103,7,FALSE)&gt;=2,2,VLOOKUP(A96,Dividende_je_Aktie!A$3:AM$103,7,FALSE)/VLOOKUP(A96,Ergebnis_je_Aktie_verwässert!A$3:AK$103,7,FALSE))),""),"")</f>
        <v>#N/A</v>
      </c>
      <c r="H96" s="71" t="e">
        <f>IF(VLOOKUP(A96,Fiktive_Dividende!A$3:AM$103,14,FALSE)&lt;&gt;"",IF(VLOOKUP(A96,Ergebnis_je_Aktie_verwässert!A$3:AK$103,8,FALSE)&lt;&gt;"",IF(VLOOKUP(A96,Ergebnis_je_Aktie_verwässert!A$3:AK$103,8,FALSE)&lt;=0,2,IF(VLOOKUP(A96,Fiktive_Dividende!A$3:AM$103,14,FALSE)/VLOOKUP(A96,Ergebnis_je_Aktie_verwässert!A$3:AK$103,8,FALSE)&gt;=2,2,VLOOKUP(A96,Fiktive_Dividende!A$3:AM$103,14,FALSE)/VLOOKUP(A96,Ergebnis_je_Aktie_verwässert!A$3:AK$103,8,FALSE))),""),"")</f>
        <v>#N/A</v>
      </c>
      <c r="I96" s="71" t="e">
        <f>IF(VLOOKUP(A96,Fiktive_Dividende!A$3:AM$103,15,FALSE)&lt;&gt;"",IF(VLOOKUP(A96,Ergebnis_je_Aktie_verwässert!A$3:AK$103,9,FALSE)&lt;&gt;"",IF(VLOOKUP(A96,Ergebnis_je_Aktie_verwässert!A$3:AK$103,9,FALSE)&lt;=0,2,IF(VLOOKUP(A96,Fiktive_Dividende!A$3:AM$103,15,FALSE)/VLOOKUP(A96,Ergebnis_je_Aktie_verwässert!A$3:AK$103,9,FALSE)&gt;=2,2,VLOOKUP(A96,Fiktive_Dividende!A$3:AM$103,15,FALSE)/VLOOKUP(A96,Ergebnis_je_Aktie_verwässert!A$3:AK$103,9,FALSE))),""),"")</f>
        <v>#N/A</v>
      </c>
      <c r="J96" s="71" t="e">
        <f>IF(VLOOKUP(A96,Fiktive_Dividende!A$3:AM$103,16,FALSE)&lt;&gt;"",IF(VLOOKUP(A96,Ergebnis_je_Aktie_verwässert!A$3:AK$103,10,FALSE)&lt;&gt;"",IF(VLOOKUP(A96,Ergebnis_je_Aktie_verwässert!A$3:AK$103,10,FALSE)&lt;=0,2,IF(VLOOKUP(A96,Fiktive_Dividende!A$3:AM$103,16,FALSE)/VLOOKUP(A96,Ergebnis_je_Aktie_verwässert!A$3:AK$103,10,FALSE)&gt;=2,2,VLOOKUP(A96,Fiktive_Dividende!A$3:AM$103,16,FALSE)/VLOOKUP(A96,Ergebnis_je_Aktie_verwässert!A$3:AK$103,10,FALSE))),""),"")</f>
        <v>#N/A</v>
      </c>
      <c r="K96" s="71" t="e">
        <f>IF(VLOOKUP(A96,Fiktive_Dividende!A$3:AM$103,17,FALSE)&lt;&gt;"",IF(VLOOKUP(A96,Ergebnis_je_Aktie_verwässert!A$3:AK$103,11,FALSE)&lt;&gt;"",IF(VLOOKUP(A96,Ergebnis_je_Aktie_verwässert!A$3:AK$103,11,FALSE)&lt;=0,2,IF(VLOOKUP(A96,Fiktive_Dividende!A$3:AM$103,17,FALSE)/VLOOKUP(A96,Ergebnis_je_Aktie_verwässert!A$3:AK$103,11,FALSE)&gt;=2,2,VLOOKUP(A96,Fiktive_Dividende!A$3:AM$103,17,FALSE)/VLOOKUP(A96,Ergebnis_je_Aktie_verwässert!A$3:AK$103,11,FALSE))),""),"")</f>
        <v>#N/A</v>
      </c>
      <c r="L96" s="71" t="e">
        <f>IF(VLOOKUP(A96,Fiktive_Dividende!A$3:AM$103,18,FALSE)&lt;&gt;"",IF(VLOOKUP(A96,Ergebnis_je_Aktie_verwässert!A$3:AK$103,12,FALSE)&lt;&gt;"",IF(VLOOKUP(A96,Ergebnis_je_Aktie_verwässert!A$3:AK$103,12,FALSE)&lt;=0,2,IF(VLOOKUP(A96,Fiktive_Dividende!A$3:AM$103,18,FALSE)/VLOOKUP(A96,Ergebnis_je_Aktie_verwässert!A$3:AK$103,12,FALSE)&gt;=2,2,VLOOKUP(A96,Fiktive_Dividende!A$3:AM$103,18,FALSE)/VLOOKUP(A96,Ergebnis_je_Aktie_verwässert!A$3:AK$103,12,FALSE))),""),"")</f>
        <v>#N/A</v>
      </c>
      <c r="M96" s="71" t="e">
        <f>IF(VLOOKUP(A96,Fiktive_Dividende!A$3:AM$103,19,FALSE)&lt;&gt;"",IF(VLOOKUP(A96,Ergebnis_je_Aktie_verwässert!A$3:AK$103,13,FALSE)&lt;&gt;"",IF(VLOOKUP(A96,Ergebnis_je_Aktie_verwässert!A$3:AK$103,13,FALSE)&lt;=0,2,IF(VLOOKUP(A96,Fiktive_Dividende!A$3:AM$103,19,FALSE)/VLOOKUP(A96,Ergebnis_je_Aktie_verwässert!A$3:AK$103,13,FALSE)&gt;=2,2,VLOOKUP(A96,Fiktive_Dividende!A$3:AM$103,19,FALSE)/VLOOKUP(A96,Ergebnis_je_Aktie_verwässert!A$3:AK$103,13,FALSE))),""),"")</f>
        <v>#N/A</v>
      </c>
      <c r="N96" s="71" t="e">
        <f>IF(VLOOKUP(A96,Fiktive_Dividende!A$3:AM$103,20,FALSE)&lt;&gt;"",IF(VLOOKUP(A96,Ergebnis_je_Aktie_verwässert!A$3:AK$103,14,FALSE)&lt;&gt;"",IF(VLOOKUP(A96,Ergebnis_je_Aktie_verwässert!A$3:AK$103,14,FALSE)&lt;=0,2,IF(VLOOKUP(A96,Fiktive_Dividende!A$3:AM$103,20,FALSE)/VLOOKUP(A96,Ergebnis_je_Aktie_verwässert!A$3:AK$103,14,FALSE)&gt;=2,2,VLOOKUP(A96,Fiktive_Dividende!A$3:AM$103,20,FALSE)/VLOOKUP(A96,Ergebnis_je_Aktie_verwässert!A$3:AK$103,14,FALSE))),""),"")</f>
        <v>#N/A</v>
      </c>
      <c r="O96" s="71" t="e">
        <f>IF(VLOOKUP(A96,Fiktive_Dividende!A$3:AM$103,21,FALSE)&lt;&gt;"",IF(VLOOKUP(A96,Ergebnis_je_Aktie_verwässert!A$3:AK$103,15,FALSE)&lt;&gt;"",IF(VLOOKUP(A96,Ergebnis_je_Aktie_verwässert!A$3:AK$103,15,FALSE)&lt;=0,2,IF(VLOOKUP(A96,Fiktive_Dividende!A$3:AM$103,21,FALSE)/VLOOKUP(A96,Ergebnis_je_Aktie_verwässert!A$3:AK$103,15,FALSE)&gt;=2,2,VLOOKUP(A96,Fiktive_Dividende!A$3:AM$103,21,FALSE)/VLOOKUP(A96,Ergebnis_je_Aktie_verwässert!A$3:AK$103,15,FALSE))),""),"")</f>
        <v>#N/A</v>
      </c>
      <c r="P96" s="71" t="e">
        <f>IF(VLOOKUP(A96,Fiktive_Dividende!A$3:AM$103,22,FALSE)&lt;&gt;"",IF(VLOOKUP(A96,Ergebnis_je_Aktie_verwässert!A$3:AK$103,16,FALSE)&lt;&gt;"",IF(VLOOKUP(A96,Ergebnis_je_Aktie_verwässert!A$3:AK$103,16,FALSE)&lt;=0,2,IF(VLOOKUP(A96,Fiktive_Dividende!A$3:AM$103,22,FALSE)/VLOOKUP(A96,Ergebnis_je_Aktie_verwässert!A$3:AK$103,16,FALSE)&gt;=2,2,VLOOKUP(A96,Fiktive_Dividende!A$3:AM$103,22,FALSE)/VLOOKUP(A96,Ergebnis_je_Aktie_verwässert!A$3:AK$103,16,FALSE))),""),"")</f>
        <v>#N/A</v>
      </c>
      <c r="Q96" s="71" t="e">
        <f>IF(VLOOKUP(A96,Fiktive_Dividende!A$3:AM$103,23,FALSE)&lt;&gt;"",IF(VLOOKUP(A96,Ergebnis_je_Aktie_verwässert!A$3:AK$103,17,FALSE)&lt;&gt;"",IF(VLOOKUP(A96,Ergebnis_je_Aktie_verwässert!A$3:AK$103,17,FALSE)&lt;=0,2,IF(VLOOKUP(A96,Fiktive_Dividende!A$3:AM$103,23,FALSE)/VLOOKUP(A96,Ergebnis_je_Aktie_verwässert!A$3:AK$103,17,FALSE)&gt;=2,2,VLOOKUP(A96,Fiktive_Dividende!A$3:AM$103,23,FALSE)/VLOOKUP(A96,Ergebnis_je_Aktie_verwässert!A$3:AK$103,17,FALSE))),""),"")</f>
        <v>#N/A</v>
      </c>
      <c r="R96" s="71" t="e">
        <f>IF(VLOOKUP(A96,Fiktive_Dividende!A$3:AM$103,24,FALSE)&lt;&gt;"",IF(VLOOKUP(A96,Ergebnis_je_Aktie_verwässert!A$3:AK$103,18,FALSE)&lt;&gt;"",IF(VLOOKUP(A96,Ergebnis_je_Aktie_verwässert!A$3:AK$103,18,FALSE)&lt;=0,2,IF(VLOOKUP(A96,Fiktive_Dividende!A$3:AM$103,24,FALSE)/VLOOKUP(A96,Ergebnis_je_Aktie_verwässert!A$3:AK$103,18,FALSE)&gt;=2,2,VLOOKUP(A96,Fiktive_Dividende!A$3:AM$103,24,FALSE)/VLOOKUP(A96,Ergebnis_je_Aktie_verwässert!A$3:AK$103,18,FALSE))),""),"")</f>
        <v>#N/A</v>
      </c>
      <c r="S96" s="105" t="e">
        <f t="shared" si="14"/>
        <v>#N/A</v>
      </c>
      <c r="T96" s="71" t="e">
        <f>IF(VLOOKUP(A96,Dividende_je_Aktie!A$3:AM$103,6,FALSE)&lt;&gt;"",IF(VLOOKUP(A96,Ergebnis_je_Aktie_verwässert!A$3:AK$103,6,FALSE)&lt;&gt;"",IF(VLOOKUP(A96,Ergebnis_je_Aktie_verwässert!A$3:AK$103,6,FALSE)&lt;=0,2,IF(VLOOKUP(A96,Dividende_je_Aktie!A$3:AM$103,6,FALSE)/VLOOKUP(A96,Ergebnis_je_Aktie_verwässert!A$3:AK$103,6,FALSE)&gt;=2,2,VLOOKUP(A96,Dividende_je_Aktie!A$3:AM$103,6,FALSE)/VLOOKUP(A96,Ergebnis_je_Aktie_verwässert!A$3:AK$103,6,FALSE))),""),"")</f>
        <v>#N/A</v>
      </c>
      <c r="U96" s="71" t="e">
        <f>IF(VLOOKUP(A96,Dividende_je_Aktie!A$3:AM$103,7,FALSE)&lt;&gt;"",IF(VLOOKUP(A96,Ergebnis_je_Aktie_verwässert!A$3:AK$103,7,FALSE)&lt;&gt;"",IF(VLOOKUP(A96,Ergebnis_je_Aktie_verwässert!A$3:AK$103,7,FALSE)&lt;=0,2,IF(VLOOKUP(A96,Dividende_je_Aktie!A$3:AM$103,7,FALSE)/VLOOKUP(A96,Ergebnis_je_Aktie_verwässert!A$3:AK$103,7,FALSE)&gt;=2,2,VLOOKUP(A96,Dividende_je_Aktie!A$3:AM$103,7,FALSE)/VLOOKUP(A96,Ergebnis_je_Aktie_verwässert!A$3:AK$103,7,FALSE))),""),"")</f>
        <v>#N/A</v>
      </c>
      <c r="V96" s="71" t="e">
        <f>IF(VLOOKUP(A96,Dividende_je_Aktie!A$3:AM$103,8,FALSE)&lt;&gt;"",IF(VLOOKUP(A96,Ergebnis_je_Aktie_verwässert!A$3:AK$103,8,FALSE)&lt;&gt;"",IF(VLOOKUP(A96,Ergebnis_je_Aktie_verwässert!A$3:AK$103,8,FALSE)&lt;=0,2,IF(VLOOKUP(A96,Dividende_je_Aktie!A$3:AM$103,8,FALSE)/VLOOKUP(A96,Ergebnis_je_Aktie_verwässert!A$3:AK$103,8,FALSE)&gt;=2,2,VLOOKUP(A96,Dividende_je_Aktie!A$3:AM$103,8,FALSE)/VLOOKUP(A96,Ergebnis_je_Aktie_verwässert!A$3:AK$103,8,FALSE))),""),"")</f>
        <v>#N/A</v>
      </c>
      <c r="W96" s="71" t="e">
        <f>IF(VLOOKUP(A96,Dividende_je_Aktie!A$3:AM$103,9,FALSE)&lt;&gt;"",IF(VLOOKUP(A96,Ergebnis_je_Aktie_verwässert!A$3:AK$103,9,FALSE)&lt;&gt;"",IF(VLOOKUP(A96,Ergebnis_je_Aktie_verwässert!A$3:AK$103,9,FALSE)&lt;=0,2,IF(VLOOKUP(A96,Dividende_je_Aktie!A$3:AM$103,9,FALSE)/VLOOKUP(A96,Ergebnis_je_Aktie_verwässert!A$3:AK$103,9,FALSE)&gt;=2,2,VLOOKUP(A96,Dividende_je_Aktie!A$3:AM$103,9,FALSE)/VLOOKUP(A96,Ergebnis_je_Aktie_verwässert!A$3:AK$103,9,FALSE))),""),"")</f>
        <v>#N/A</v>
      </c>
      <c r="X96" s="71" t="e">
        <f>IF(VLOOKUP(A96,Dividende_je_Aktie!A$3:AM$103,10,FALSE)&lt;&gt;"",IF(VLOOKUP(A96,Ergebnis_je_Aktie_verwässert!A$3:AK$103,10,FALSE)&lt;&gt;"",IF(VLOOKUP(A96,Ergebnis_je_Aktie_verwässert!A$3:AK$103,10,FALSE)&lt;=0,2,IF(VLOOKUP(A96,Dividende_je_Aktie!A$3:AM$103,10,FALSE)/VLOOKUP(A96,Ergebnis_je_Aktie_verwässert!A$3:AK$103,10,FALSE)&gt;=2,2,VLOOKUP(A96,Dividende_je_Aktie!A$3:AM$103,10,FALSE)/VLOOKUP(A96,Ergebnis_je_Aktie_verwässert!A$3:AK$103,10,FALSE))),""),"")</f>
        <v>#N/A</v>
      </c>
      <c r="Y96" s="71" t="e">
        <f>IF(VLOOKUP(A96,Dividende_je_Aktie!A$3:AM$103,11,FALSE)&lt;&gt;"",IF(VLOOKUP(A96,Ergebnis_je_Aktie_verwässert!A$3:AK$103,11,FALSE)&lt;&gt;"",IF(VLOOKUP(A96,Ergebnis_je_Aktie_verwässert!A$3:AK$103,11,FALSE)&lt;=0,2,IF(VLOOKUP(A96,Dividende_je_Aktie!A$3:AM$103,11,FALSE)/VLOOKUP(A96,Ergebnis_je_Aktie_verwässert!A$3:AK$103,11,FALSE)&gt;=2,2,VLOOKUP(A96,Dividende_je_Aktie!A$3:AM$103,11,FALSE)/VLOOKUP(A96,Ergebnis_je_Aktie_verwässert!A$3:AK$103,11,FALSE))),""),"")</f>
        <v>#N/A</v>
      </c>
      <c r="Z96" s="71" t="e">
        <f>IF(VLOOKUP(A96,Dividende_je_Aktie!A$3:AM$103,12,FALSE)&lt;&gt;"",IF(VLOOKUP(A96,Ergebnis_je_Aktie_verwässert!A$3:AK$103,12,FALSE)&lt;&gt;"",IF(VLOOKUP(A96,Ergebnis_je_Aktie_verwässert!A$3:AK$103,12,FALSE)&lt;=0,2,IF(VLOOKUP(A96,Dividende_je_Aktie!A$3:AM$103,12,FALSE)/VLOOKUP(A96,Ergebnis_je_Aktie_verwässert!A$3:AK$103,12,FALSE)&gt;=2,2,VLOOKUP(A96,Dividende_je_Aktie!A$3:AM$103,12,FALSE)/VLOOKUP(A96,Ergebnis_je_Aktie_verwässert!A$3:AK$103,12,FALSE))),""),"")</f>
        <v>#N/A</v>
      </c>
      <c r="AA96" s="71" t="e">
        <f>IF(VLOOKUP(A96,Dividende_je_Aktie!A$3:AM$103,13,FALSE)&lt;&gt;"",IF(VLOOKUP(A96,Ergebnis_je_Aktie_verwässert!A$3:AK$103,13,FALSE)&lt;&gt;"",IF(VLOOKUP(A96,Ergebnis_je_Aktie_verwässert!A$3:AK$103,13,FALSE)&lt;=0,2,IF(VLOOKUP(A96,Dividende_je_Aktie!A$3:AM$103,13,FALSE)/VLOOKUP(A96,Ergebnis_je_Aktie_verwässert!A$3:AK$103,13,FALSE)&gt;=2,2,VLOOKUP(A96,Dividende_je_Aktie!A$3:AM$103,13,FALSE)/VLOOKUP(A96,Ergebnis_je_Aktie_verwässert!A$3:AK$103,13,FALSE))),""),"")</f>
        <v>#N/A</v>
      </c>
      <c r="AB96" s="71" t="e">
        <f>IF(VLOOKUP(A96,Dividende_je_Aktie!A$3:AM$103,14,FALSE)&lt;&gt;"",IF(VLOOKUP(A96,Ergebnis_je_Aktie_verwässert!A$3:AK$103,14,FALSE)&lt;&gt;"",IF(VLOOKUP(A96,Ergebnis_je_Aktie_verwässert!A$3:AK$103,14,FALSE)&lt;=0,2,IF(VLOOKUP(A96,Dividende_je_Aktie!A$3:AM$103,14,FALSE)/VLOOKUP(A96,Ergebnis_je_Aktie_verwässert!A$3:AK$103,14,FALSE)&gt;=2,2,VLOOKUP(A96,Dividende_je_Aktie!A$3:AM$103,14,FALSE)/VLOOKUP(A96,Ergebnis_je_Aktie_verwässert!A$3:AK$103,14,FALSE))),""),"")</f>
        <v>#N/A</v>
      </c>
      <c r="AC96" s="71" t="e">
        <f>IF(VLOOKUP(A96,Dividende_je_Aktie!A$3:AM$103,15,FALSE)&lt;&gt;"",IF(VLOOKUP(A96,Ergebnis_je_Aktie_verwässert!A$3:AK$103,15,FALSE)&lt;&gt;"",IF(VLOOKUP(A96,Ergebnis_je_Aktie_verwässert!A$3:AK$103,15,FALSE)&lt;=0,2,IF(VLOOKUP(A96,Dividende_je_Aktie!A$3:AM$103,15,FALSE)/VLOOKUP(A96,Ergebnis_je_Aktie_verwässert!A$3:AK$103,15,FALSE)&gt;=2,2,VLOOKUP(A96,Dividende_je_Aktie!A$3:AM$103,15,FALSE)/VLOOKUP(A96,Ergebnis_je_Aktie_verwässert!A$3:AK$103,15,FALSE))),""),"")</f>
        <v>#N/A</v>
      </c>
      <c r="AD96" s="71" t="e">
        <f>IF(VLOOKUP(A96,Dividende_je_Aktie!A$3:AM$103,16,FALSE)&lt;&gt;"",IF(VLOOKUP(A96,Ergebnis_je_Aktie_verwässert!A$3:AK$103,16,FALSE)&lt;&gt;"",IF(VLOOKUP(A96,Ergebnis_je_Aktie_verwässert!A$3:AK$103,16,FALSE)&lt;=0,2,IF(VLOOKUP(A96,Dividende_je_Aktie!A$3:AM$103,16,FALSE)/VLOOKUP(A96,Ergebnis_je_Aktie_verwässert!A$3:AK$103,16,FALSE)&gt;=2,2,VLOOKUP(A96,Dividende_je_Aktie!A$3:AM$103,16,FALSE)/VLOOKUP(A96,Ergebnis_je_Aktie_verwässert!A$3:AK$103,16,FALSE))),""),"")</f>
        <v>#N/A</v>
      </c>
      <c r="AE96" s="71" t="e">
        <f>IF(VLOOKUP(A96,Dividende_je_Aktie!A$3:AM$103,17,FALSE)&lt;&gt;"",IF(VLOOKUP(A96,Ergebnis_je_Aktie_verwässert!A$3:AK$103,17,FALSE)&lt;&gt;"",IF(VLOOKUP(A96,Ergebnis_je_Aktie_verwässert!A$3:AK$103,17,FALSE)&lt;=0,2,IF(VLOOKUP(A96,Dividende_je_Aktie!A$3:AM$103,17,FALSE)/VLOOKUP(A96,Ergebnis_je_Aktie_verwässert!A$3:AK$103,17,FALSE)&gt;=2,2,VLOOKUP(A96,Dividende_je_Aktie!A$3:AM$103,17,FALSE)/VLOOKUP(A96,Ergebnis_je_Aktie_verwässert!A$3:AK$103,17,FALSE))),""),"")</f>
        <v>#N/A</v>
      </c>
      <c r="AF96" s="71" t="e">
        <f>IF(VLOOKUP(A96,Dividende_je_Aktie!A$3:AM$103,18,FALSE)&lt;&gt;"",IF(VLOOKUP(A96,Ergebnis_je_Aktie_verwässert!A$3:AK$103,18,FALSE)&lt;&gt;"",IF(VLOOKUP(A96,Ergebnis_je_Aktie_verwässert!A$3:AK$103,18,FALSE)&lt;=0,2,IF(VLOOKUP(A96,Dividende_je_Aktie!A$3:AM$103,18,FALSE)/VLOOKUP(A96,Ergebnis_je_Aktie_verwässert!A$3:AK$103,18,FALSE)&gt;=2,2,VLOOKUP(A96,Dividende_je_Aktie!A$3:AM$103,18,FALSE)/VLOOKUP(A96,Ergebnis_je_Aktie_verwässert!A$3:AK$103,18,FALSE))),""),"")</f>
        <v>#N/A</v>
      </c>
      <c r="AG96" s="105" t="e">
        <f t="shared" si="15"/>
        <v>#N/A</v>
      </c>
      <c r="AH96" s="4">
        <f t="shared" ca="1" si="16"/>
        <v>41899</v>
      </c>
      <c r="AI96" s="4">
        <f t="shared" ca="1" si="17"/>
        <v>-41539</v>
      </c>
      <c r="AJ96" s="4" t="e">
        <f t="shared" ca="1" si="18"/>
        <v>#NUM!</v>
      </c>
      <c r="AK96" s="10" t="e">
        <f t="shared" ca="1" si="19"/>
        <v>#N/A</v>
      </c>
      <c r="AL96" s="5" t="e">
        <f t="shared" si="20"/>
        <v>#N/A</v>
      </c>
    </row>
    <row r="97" spans="3:38">
      <c r="C97" s="60"/>
      <c r="D97" s="60"/>
      <c r="E97" s="60"/>
      <c r="F97" s="71" t="e">
        <f>IF(VLOOKUP(A97,Dividende_je_Aktie!A$3:AM$103,6,FALSE)&lt;&gt;"",IF(VLOOKUP(A97,Ergebnis_je_Aktie_verwässert!A$3:AK$103,6,FALSE)&lt;&gt;"",IF(VLOOKUP(A97,Ergebnis_je_Aktie_verwässert!A$3:AK$103,6,FALSE)&lt;=0,2,IF(VLOOKUP(A97,Dividende_je_Aktie!A$3:AM$103,6,FALSE)/VLOOKUP(A97,Ergebnis_je_Aktie_verwässert!A$3:AK$103,6,FALSE)&gt;=2,2,VLOOKUP(A97,Dividende_je_Aktie!A$3:AM$103,6,FALSE)/VLOOKUP(A97,Ergebnis_je_Aktie_verwässert!A$3:AK$103,6,FALSE))),""),"")</f>
        <v>#N/A</v>
      </c>
      <c r="G97" s="71" t="e">
        <f>IF(VLOOKUP(A97,Dividende_je_Aktie!A$3:AM$103,7,FALSE)&lt;&gt;"",IF(VLOOKUP(A97,Ergebnis_je_Aktie_verwässert!A$3:AK$103,7,FALSE)&lt;&gt;"",IF(VLOOKUP(A97,Ergebnis_je_Aktie_verwässert!A$3:AK$103,7,FALSE)&lt;=0,2,IF(VLOOKUP(A97,Dividende_je_Aktie!A$3:AM$103,7,FALSE)/VLOOKUP(A97,Ergebnis_je_Aktie_verwässert!A$3:AK$103,7,FALSE)&gt;=2,2,VLOOKUP(A97,Dividende_je_Aktie!A$3:AM$103,7,FALSE)/VLOOKUP(A97,Ergebnis_je_Aktie_verwässert!A$3:AK$103,7,FALSE))),""),"")</f>
        <v>#N/A</v>
      </c>
      <c r="H97" s="71" t="e">
        <f>IF(VLOOKUP(A97,Fiktive_Dividende!A$3:AM$103,14,FALSE)&lt;&gt;"",IF(VLOOKUP(A97,Ergebnis_je_Aktie_verwässert!A$3:AK$103,8,FALSE)&lt;&gt;"",IF(VLOOKUP(A97,Ergebnis_je_Aktie_verwässert!A$3:AK$103,8,FALSE)&lt;=0,2,IF(VLOOKUP(A97,Fiktive_Dividende!A$3:AM$103,14,FALSE)/VLOOKUP(A97,Ergebnis_je_Aktie_verwässert!A$3:AK$103,8,FALSE)&gt;=2,2,VLOOKUP(A97,Fiktive_Dividende!A$3:AM$103,14,FALSE)/VLOOKUP(A97,Ergebnis_je_Aktie_verwässert!A$3:AK$103,8,FALSE))),""),"")</f>
        <v>#N/A</v>
      </c>
      <c r="I97" s="71" t="e">
        <f>IF(VLOOKUP(A97,Fiktive_Dividende!A$3:AM$103,15,FALSE)&lt;&gt;"",IF(VLOOKUP(A97,Ergebnis_je_Aktie_verwässert!A$3:AK$103,9,FALSE)&lt;&gt;"",IF(VLOOKUP(A97,Ergebnis_je_Aktie_verwässert!A$3:AK$103,9,FALSE)&lt;=0,2,IF(VLOOKUP(A97,Fiktive_Dividende!A$3:AM$103,15,FALSE)/VLOOKUP(A97,Ergebnis_je_Aktie_verwässert!A$3:AK$103,9,FALSE)&gt;=2,2,VLOOKUP(A97,Fiktive_Dividende!A$3:AM$103,15,FALSE)/VLOOKUP(A97,Ergebnis_je_Aktie_verwässert!A$3:AK$103,9,FALSE))),""),"")</f>
        <v>#N/A</v>
      </c>
      <c r="J97" s="71" t="e">
        <f>IF(VLOOKUP(A97,Fiktive_Dividende!A$3:AM$103,16,FALSE)&lt;&gt;"",IF(VLOOKUP(A97,Ergebnis_je_Aktie_verwässert!A$3:AK$103,10,FALSE)&lt;&gt;"",IF(VLOOKUP(A97,Ergebnis_je_Aktie_verwässert!A$3:AK$103,10,FALSE)&lt;=0,2,IF(VLOOKUP(A97,Fiktive_Dividende!A$3:AM$103,16,FALSE)/VLOOKUP(A97,Ergebnis_je_Aktie_verwässert!A$3:AK$103,10,FALSE)&gt;=2,2,VLOOKUP(A97,Fiktive_Dividende!A$3:AM$103,16,FALSE)/VLOOKUP(A97,Ergebnis_je_Aktie_verwässert!A$3:AK$103,10,FALSE))),""),"")</f>
        <v>#N/A</v>
      </c>
      <c r="K97" s="71" t="e">
        <f>IF(VLOOKUP(A97,Fiktive_Dividende!A$3:AM$103,17,FALSE)&lt;&gt;"",IF(VLOOKUP(A97,Ergebnis_je_Aktie_verwässert!A$3:AK$103,11,FALSE)&lt;&gt;"",IF(VLOOKUP(A97,Ergebnis_je_Aktie_verwässert!A$3:AK$103,11,FALSE)&lt;=0,2,IF(VLOOKUP(A97,Fiktive_Dividende!A$3:AM$103,17,FALSE)/VLOOKUP(A97,Ergebnis_je_Aktie_verwässert!A$3:AK$103,11,FALSE)&gt;=2,2,VLOOKUP(A97,Fiktive_Dividende!A$3:AM$103,17,FALSE)/VLOOKUP(A97,Ergebnis_je_Aktie_verwässert!A$3:AK$103,11,FALSE))),""),"")</f>
        <v>#N/A</v>
      </c>
      <c r="L97" s="71" t="e">
        <f>IF(VLOOKUP(A97,Fiktive_Dividende!A$3:AM$103,18,FALSE)&lt;&gt;"",IF(VLOOKUP(A97,Ergebnis_je_Aktie_verwässert!A$3:AK$103,12,FALSE)&lt;&gt;"",IF(VLOOKUP(A97,Ergebnis_je_Aktie_verwässert!A$3:AK$103,12,FALSE)&lt;=0,2,IF(VLOOKUP(A97,Fiktive_Dividende!A$3:AM$103,18,FALSE)/VLOOKUP(A97,Ergebnis_je_Aktie_verwässert!A$3:AK$103,12,FALSE)&gt;=2,2,VLOOKUP(A97,Fiktive_Dividende!A$3:AM$103,18,FALSE)/VLOOKUP(A97,Ergebnis_je_Aktie_verwässert!A$3:AK$103,12,FALSE))),""),"")</f>
        <v>#N/A</v>
      </c>
      <c r="M97" s="71" t="e">
        <f>IF(VLOOKUP(A97,Fiktive_Dividende!A$3:AM$103,19,FALSE)&lt;&gt;"",IF(VLOOKUP(A97,Ergebnis_je_Aktie_verwässert!A$3:AK$103,13,FALSE)&lt;&gt;"",IF(VLOOKUP(A97,Ergebnis_je_Aktie_verwässert!A$3:AK$103,13,FALSE)&lt;=0,2,IF(VLOOKUP(A97,Fiktive_Dividende!A$3:AM$103,19,FALSE)/VLOOKUP(A97,Ergebnis_je_Aktie_verwässert!A$3:AK$103,13,FALSE)&gt;=2,2,VLOOKUP(A97,Fiktive_Dividende!A$3:AM$103,19,FALSE)/VLOOKUP(A97,Ergebnis_je_Aktie_verwässert!A$3:AK$103,13,FALSE))),""),"")</f>
        <v>#N/A</v>
      </c>
      <c r="N97" s="71" t="e">
        <f>IF(VLOOKUP(A97,Fiktive_Dividende!A$3:AM$103,20,FALSE)&lt;&gt;"",IF(VLOOKUP(A97,Ergebnis_je_Aktie_verwässert!A$3:AK$103,14,FALSE)&lt;&gt;"",IF(VLOOKUP(A97,Ergebnis_je_Aktie_verwässert!A$3:AK$103,14,FALSE)&lt;=0,2,IF(VLOOKUP(A97,Fiktive_Dividende!A$3:AM$103,20,FALSE)/VLOOKUP(A97,Ergebnis_je_Aktie_verwässert!A$3:AK$103,14,FALSE)&gt;=2,2,VLOOKUP(A97,Fiktive_Dividende!A$3:AM$103,20,FALSE)/VLOOKUP(A97,Ergebnis_je_Aktie_verwässert!A$3:AK$103,14,FALSE))),""),"")</f>
        <v>#N/A</v>
      </c>
      <c r="O97" s="71" t="e">
        <f>IF(VLOOKUP(A97,Fiktive_Dividende!A$3:AM$103,21,FALSE)&lt;&gt;"",IF(VLOOKUP(A97,Ergebnis_je_Aktie_verwässert!A$3:AK$103,15,FALSE)&lt;&gt;"",IF(VLOOKUP(A97,Ergebnis_je_Aktie_verwässert!A$3:AK$103,15,FALSE)&lt;=0,2,IF(VLOOKUP(A97,Fiktive_Dividende!A$3:AM$103,21,FALSE)/VLOOKUP(A97,Ergebnis_je_Aktie_verwässert!A$3:AK$103,15,FALSE)&gt;=2,2,VLOOKUP(A97,Fiktive_Dividende!A$3:AM$103,21,FALSE)/VLOOKUP(A97,Ergebnis_je_Aktie_verwässert!A$3:AK$103,15,FALSE))),""),"")</f>
        <v>#N/A</v>
      </c>
      <c r="P97" s="71" t="e">
        <f>IF(VLOOKUP(A97,Fiktive_Dividende!A$3:AM$103,22,FALSE)&lt;&gt;"",IF(VLOOKUP(A97,Ergebnis_je_Aktie_verwässert!A$3:AK$103,16,FALSE)&lt;&gt;"",IF(VLOOKUP(A97,Ergebnis_je_Aktie_verwässert!A$3:AK$103,16,FALSE)&lt;=0,2,IF(VLOOKUP(A97,Fiktive_Dividende!A$3:AM$103,22,FALSE)/VLOOKUP(A97,Ergebnis_je_Aktie_verwässert!A$3:AK$103,16,FALSE)&gt;=2,2,VLOOKUP(A97,Fiktive_Dividende!A$3:AM$103,22,FALSE)/VLOOKUP(A97,Ergebnis_je_Aktie_verwässert!A$3:AK$103,16,FALSE))),""),"")</f>
        <v>#N/A</v>
      </c>
      <c r="Q97" s="71" t="e">
        <f>IF(VLOOKUP(A97,Fiktive_Dividende!A$3:AM$103,23,FALSE)&lt;&gt;"",IF(VLOOKUP(A97,Ergebnis_je_Aktie_verwässert!A$3:AK$103,17,FALSE)&lt;&gt;"",IF(VLOOKUP(A97,Ergebnis_je_Aktie_verwässert!A$3:AK$103,17,FALSE)&lt;=0,2,IF(VLOOKUP(A97,Fiktive_Dividende!A$3:AM$103,23,FALSE)/VLOOKUP(A97,Ergebnis_je_Aktie_verwässert!A$3:AK$103,17,FALSE)&gt;=2,2,VLOOKUP(A97,Fiktive_Dividende!A$3:AM$103,23,FALSE)/VLOOKUP(A97,Ergebnis_je_Aktie_verwässert!A$3:AK$103,17,FALSE))),""),"")</f>
        <v>#N/A</v>
      </c>
      <c r="R97" s="71" t="e">
        <f>IF(VLOOKUP(A97,Fiktive_Dividende!A$3:AM$103,24,FALSE)&lt;&gt;"",IF(VLOOKUP(A97,Ergebnis_je_Aktie_verwässert!A$3:AK$103,18,FALSE)&lt;&gt;"",IF(VLOOKUP(A97,Ergebnis_je_Aktie_verwässert!A$3:AK$103,18,FALSE)&lt;=0,2,IF(VLOOKUP(A97,Fiktive_Dividende!A$3:AM$103,24,FALSE)/VLOOKUP(A97,Ergebnis_je_Aktie_verwässert!A$3:AK$103,18,FALSE)&gt;=2,2,VLOOKUP(A97,Fiktive_Dividende!A$3:AM$103,24,FALSE)/VLOOKUP(A97,Ergebnis_je_Aktie_verwässert!A$3:AK$103,18,FALSE))),""),"")</f>
        <v>#N/A</v>
      </c>
      <c r="S97" s="105" t="e">
        <f t="shared" si="14"/>
        <v>#N/A</v>
      </c>
      <c r="T97" s="71" t="e">
        <f>IF(VLOOKUP(A97,Dividende_je_Aktie!A$3:AM$103,6,FALSE)&lt;&gt;"",IF(VLOOKUP(A97,Ergebnis_je_Aktie_verwässert!A$3:AK$103,6,FALSE)&lt;&gt;"",IF(VLOOKUP(A97,Ergebnis_je_Aktie_verwässert!A$3:AK$103,6,FALSE)&lt;=0,2,IF(VLOOKUP(A97,Dividende_je_Aktie!A$3:AM$103,6,FALSE)/VLOOKUP(A97,Ergebnis_je_Aktie_verwässert!A$3:AK$103,6,FALSE)&gt;=2,2,VLOOKUP(A97,Dividende_je_Aktie!A$3:AM$103,6,FALSE)/VLOOKUP(A97,Ergebnis_je_Aktie_verwässert!A$3:AK$103,6,FALSE))),""),"")</f>
        <v>#N/A</v>
      </c>
      <c r="U97" s="71" t="e">
        <f>IF(VLOOKUP(A97,Dividende_je_Aktie!A$3:AM$103,7,FALSE)&lt;&gt;"",IF(VLOOKUP(A97,Ergebnis_je_Aktie_verwässert!A$3:AK$103,7,FALSE)&lt;&gt;"",IF(VLOOKUP(A97,Ergebnis_je_Aktie_verwässert!A$3:AK$103,7,FALSE)&lt;=0,2,IF(VLOOKUP(A97,Dividende_je_Aktie!A$3:AM$103,7,FALSE)/VLOOKUP(A97,Ergebnis_je_Aktie_verwässert!A$3:AK$103,7,FALSE)&gt;=2,2,VLOOKUP(A97,Dividende_je_Aktie!A$3:AM$103,7,FALSE)/VLOOKUP(A97,Ergebnis_je_Aktie_verwässert!A$3:AK$103,7,FALSE))),""),"")</f>
        <v>#N/A</v>
      </c>
      <c r="V97" s="71" t="e">
        <f>IF(VLOOKUP(A97,Dividende_je_Aktie!A$3:AM$103,8,FALSE)&lt;&gt;"",IF(VLOOKUP(A97,Ergebnis_je_Aktie_verwässert!A$3:AK$103,8,FALSE)&lt;&gt;"",IF(VLOOKUP(A97,Ergebnis_je_Aktie_verwässert!A$3:AK$103,8,FALSE)&lt;=0,2,IF(VLOOKUP(A97,Dividende_je_Aktie!A$3:AM$103,8,FALSE)/VLOOKUP(A97,Ergebnis_je_Aktie_verwässert!A$3:AK$103,8,FALSE)&gt;=2,2,VLOOKUP(A97,Dividende_je_Aktie!A$3:AM$103,8,FALSE)/VLOOKUP(A97,Ergebnis_je_Aktie_verwässert!A$3:AK$103,8,FALSE))),""),"")</f>
        <v>#N/A</v>
      </c>
      <c r="W97" s="71" t="e">
        <f>IF(VLOOKUP(A97,Dividende_je_Aktie!A$3:AM$103,9,FALSE)&lt;&gt;"",IF(VLOOKUP(A97,Ergebnis_je_Aktie_verwässert!A$3:AK$103,9,FALSE)&lt;&gt;"",IF(VLOOKUP(A97,Ergebnis_je_Aktie_verwässert!A$3:AK$103,9,FALSE)&lt;=0,2,IF(VLOOKUP(A97,Dividende_je_Aktie!A$3:AM$103,9,FALSE)/VLOOKUP(A97,Ergebnis_je_Aktie_verwässert!A$3:AK$103,9,FALSE)&gt;=2,2,VLOOKUP(A97,Dividende_je_Aktie!A$3:AM$103,9,FALSE)/VLOOKUP(A97,Ergebnis_je_Aktie_verwässert!A$3:AK$103,9,FALSE))),""),"")</f>
        <v>#N/A</v>
      </c>
      <c r="X97" s="71" t="e">
        <f>IF(VLOOKUP(A97,Dividende_je_Aktie!A$3:AM$103,10,FALSE)&lt;&gt;"",IF(VLOOKUP(A97,Ergebnis_je_Aktie_verwässert!A$3:AK$103,10,FALSE)&lt;&gt;"",IF(VLOOKUP(A97,Ergebnis_je_Aktie_verwässert!A$3:AK$103,10,FALSE)&lt;=0,2,IF(VLOOKUP(A97,Dividende_je_Aktie!A$3:AM$103,10,FALSE)/VLOOKUP(A97,Ergebnis_je_Aktie_verwässert!A$3:AK$103,10,FALSE)&gt;=2,2,VLOOKUP(A97,Dividende_je_Aktie!A$3:AM$103,10,FALSE)/VLOOKUP(A97,Ergebnis_je_Aktie_verwässert!A$3:AK$103,10,FALSE))),""),"")</f>
        <v>#N/A</v>
      </c>
      <c r="Y97" s="71" t="e">
        <f>IF(VLOOKUP(A97,Dividende_je_Aktie!A$3:AM$103,11,FALSE)&lt;&gt;"",IF(VLOOKUP(A97,Ergebnis_je_Aktie_verwässert!A$3:AK$103,11,FALSE)&lt;&gt;"",IF(VLOOKUP(A97,Ergebnis_je_Aktie_verwässert!A$3:AK$103,11,FALSE)&lt;=0,2,IF(VLOOKUP(A97,Dividende_je_Aktie!A$3:AM$103,11,FALSE)/VLOOKUP(A97,Ergebnis_je_Aktie_verwässert!A$3:AK$103,11,FALSE)&gt;=2,2,VLOOKUP(A97,Dividende_je_Aktie!A$3:AM$103,11,FALSE)/VLOOKUP(A97,Ergebnis_je_Aktie_verwässert!A$3:AK$103,11,FALSE))),""),"")</f>
        <v>#N/A</v>
      </c>
      <c r="Z97" s="71" t="e">
        <f>IF(VLOOKUP(A97,Dividende_je_Aktie!A$3:AM$103,12,FALSE)&lt;&gt;"",IF(VLOOKUP(A97,Ergebnis_je_Aktie_verwässert!A$3:AK$103,12,FALSE)&lt;&gt;"",IF(VLOOKUP(A97,Ergebnis_je_Aktie_verwässert!A$3:AK$103,12,FALSE)&lt;=0,2,IF(VLOOKUP(A97,Dividende_je_Aktie!A$3:AM$103,12,FALSE)/VLOOKUP(A97,Ergebnis_je_Aktie_verwässert!A$3:AK$103,12,FALSE)&gt;=2,2,VLOOKUP(A97,Dividende_je_Aktie!A$3:AM$103,12,FALSE)/VLOOKUP(A97,Ergebnis_je_Aktie_verwässert!A$3:AK$103,12,FALSE))),""),"")</f>
        <v>#N/A</v>
      </c>
      <c r="AA97" s="71" t="e">
        <f>IF(VLOOKUP(A97,Dividende_je_Aktie!A$3:AM$103,13,FALSE)&lt;&gt;"",IF(VLOOKUP(A97,Ergebnis_je_Aktie_verwässert!A$3:AK$103,13,FALSE)&lt;&gt;"",IF(VLOOKUP(A97,Ergebnis_je_Aktie_verwässert!A$3:AK$103,13,FALSE)&lt;=0,2,IF(VLOOKUP(A97,Dividende_je_Aktie!A$3:AM$103,13,FALSE)/VLOOKUP(A97,Ergebnis_je_Aktie_verwässert!A$3:AK$103,13,FALSE)&gt;=2,2,VLOOKUP(A97,Dividende_je_Aktie!A$3:AM$103,13,FALSE)/VLOOKUP(A97,Ergebnis_je_Aktie_verwässert!A$3:AK$103,13,FALSE))),""),"")</f>
        <v>#N/A</v>
      </c>
      <c r="AB97" s="71" t="e">
        <f>IF(VLOOKUP(A97,Dividende_je_Aktie!A$3:AM$103,14,FALSE)&lt;&gt;"",IF(VLOOKUP(A97,Ergebnis_je_Aktie_verwässert!A$3:AK$103,14,FALSE)&lt;&gt;"",IF(VLOOKUP(A97,Ergebnis_je_Aktie_verwässert!A$3:AK$103,14,FALSE)&lt;=0,2,IF(VLOOKUP(A97,Dividende_je_Aktie!A$3:AM$103,14,FALSE)/VLOOKUP(A97,Ergebnis_je_Aktie_verwässert!A$3:AK$103,14,FALSE)&gt;=2,2,VLOOKUP(A97,Dividende_je_Aktie!A$3:AM$103,14,FALSE)/VLOOKUP(A97,Ergebnis_je_Aktie_verwässert!A$3:AK$103,14,FALSE))),""),"")</f>
        <v>#N/A</v>
      </c>
      <c r="AC97" s="71" t="e">
        <f>IF(VLOOKUP(A97,Dividende_je_Aktie!A$3:AM$103,15,FALSE)&lt;&gt;"",IF(VLOOKUP(A97,Ergebnis_je_Aktie_verwässert!A$3:AK$103,15,FALSE)&lt;&gt;"",IF(VLOOKUP(A97,Ergebnis_je_Aktie_verwässert!A$3:AK$103,15,FALSE)&lt;=0,2,IF(VLOOKUP(A97,Dividende_je_Aktie!A$3:AM$103,15,FALSE)/VLOOKUP(A97,Ergebnis_je_Aktie_verwässert!A$3:AK$103,15,FALSE)&gt;=2,2,VLOOKUP(A97,Dividende_je_Aktie!A$3:AM$103,15,FALSE)/VLOOKUP(A97,Ergebnis_je_Aktie_verwässert!A$3:AK$103,15,FALSE))),""),"")</f>
        <v>#N/A</v>
      </c>
      <c r="AD97" s="71" t="e">
        <f>IF(VLOOKUP(A97,Dividende_je_Aktie!A$3:AM$103,16,FALSE)&lt;&gt;"",IF(VLOOKUP(A97,Ergebnis_je_Aktie_verwässert!A$3:AK$103,16,FALSE)&lt;&gt;"",IF(VLOOKUP(A97,Ergebnis_je_Aktie_verwässert!A$3:AK$103,16,FALSE)&lt;=0,2,IF(VLOOKUP(A97,Dividende_je_Aktie!A$3:AM$103,16,FALSE)/VLOOKUP(A97,Ergebnis_je_Aktie_verwässert!A$3:AK$103,16,FALSE)&gt;=2,2,VLOOKUP(A97,Dividende_je_Aktie!A$3:AM$103,16,FALSE)/VLOOKUP(A97,Ergebnis_je_Aktie_verwässert!A$3:AK$103,16,FALSE))),""),"")</f>
        <v>#N/A</v>
      </c>
      <c r="AE97" s="71" t="e">
        <f>IF(VLOOKUP(A97,Dividende_je_Aktie!A$3:AM$103,17,FALSE)&lt;&gt;"",IF(VLOOKUP(A97,Ergebnis_je_Aktie_verwässert!A$3:AK$103,17,FALSE)&lt;&gt;"",IF(VLOOKUP(A97,Ergebnis_je_Aktie_verwässert!A$3:AK$103,17,FALSE)&lt;=0,2,IF(VLOOKUP(A97,Dividende_je_Aktie!A$3:AM$103,17,FALSE)/VLOOKUP(A97,Ergebnis_je_Aktie_verwässert!A$3:AK$103,17,FALSE)&gt;=2,2,VLOOKUP(A97,Dividende_je_Aktie!A$3:AM$103,17,FALSE)/VLOOKUP(A97,Ergebnis_je_Aktie_verwässert!A$3:AK$103,17,FALSE))),""),"")</f>
        <v>#N/A</v>
      </c>
      <c r="AF97" s="71" t="e">
        <f>IF(VLOOKUP(A97,Dividende_je_Aktie!A$3:AM$103,18,FALSE)&lt;&gt;"",IF(VLOOKUP(A97,Ergebnis_je_Aktie_verwässert!A$3:AK$103,18,FALSE)&lt;&gt;"",IF(VLOOKUP(A97,Ergebnis_je_Aktie_verwässert!A$3:AK$103,18,FALSE)&lt;=0,2,IF(VLOOKUP(A97,Dividende_je_Aktie!A$3:AM$103,18,FALSE)/VLOOKUP(A97,Ergebnis_je_Aktie_verwässert!A$3:AK$103,18,FALSE)&gt;=2,2,VLOOKUP(A97,Dividende_je_Aktie!A$3:AM$103,18,FALSE)/VLOOKUP(A97,Ergebnis_je_Aktie_verwässert!A$3:AK$103,18,FALSE))),""),"")</f>
        <v>#N/A</v>
      </c>
      <c r="AG97" s="105" t="e">
        <f t="shared" si="15"/>
        <v>#N/A</v>
      </c>
      <c r="AH97" s="4">
        <f t="shared" ca="1" si="16"/>
        <v>41899</v>
      </c>
      <c r="AI97" s="4">
        <f t="shared" ca="1" si="17"/>
        <v>-41539</v>
      </c>
      <c r="AJ97" s="4" t="e">
        <f t="shared" ca="1" si="18"/>
        <v>#NUM!</v>
      </c>
      <c r="AK97" s="10" t="e">
        <f t="shared" ca="1" si="19"/>
        <v>#N/A</v>
      </c>
      <c r="AL97" s="5" t="e">
        <f t="shared" si="20"/>
        <v>#N/A</v>
      </c>
    </row>
    <row r="98" spans="3:38">
      <c r="C98" s="60"/>
      <c r="D98" s="60"/>
      <c r="E98" s="60"/>
      <c r="F98" s="71" t="e">
        <f>IF(VLOOKUP(A98,Dividende_je_Aktie!A$3:AM$103,6,FALSE)&lt;&gt;"",IF(VLOOKUP(A98,Ergebnis_je_Aktie_verwässert!A$3:AK$103,6,FALSE)&lt;&gt;"",IF(VLOOKUP(A98,Ergebnis_je_Aktie_verwässert!A$3:AK$103,6,FALSE)&lt;=0,2,IF(VLOOKUP(A98,Dividende_je_Aktie!A$3:AM$103,6,FALSE)/VLOOKUP(A98,Ergebnis_je_Aktie_verwässert!A$3:AK$103,6,FALSE)&gt;=2,2,VLOOKUP(A98,Dividende_je_Aktie!A$3:AM$103,6,FALSE)/VLOOKUP(A98,Ergebnis_je_Aktie_verwässert!A$3:AK$103,6,FALSE))),""),"")</f>
        <v>#N/A</v>
      </c>
      <c r="G98" s="71" t="e">
        <f>IF(VLOOKUP(A98,Dividende_je_Aktie!A$3:AM$103,7,FALSE)&lt;&gt;"",IF(VLOOKUP(A98,Ergebnis_je_Aktie_verwässert!A$3:AK$103,7,FALSE)&lt;&gt;"",IF(VLOOKUP(A98,Ergebnis_je_Aktie_verwässert!A$3:AK$103,7,FALSE)&lt;=0,2,IF(VLOOKUP(A98,Dividende_je_Aktie!A$3:AM$103,7,FALSE)/VLOOKUP(A98,Ergebnis_je_Aktie_verwässert!A$3:AK$103,7,FALSE)&gt;=2,2,VLOOKUP(A98,Dividende_je_Aktie!A$3:AM$103,7,FALSE)/VLOOKUP(A98,Ergebnis_je_Aktie_verwässert!A$3:AK$103,7,FALSE))),""),"")</f>
        <v>#N/A</v>
      </c>
      <c r="H98" s="71" t="e">
        <f>IF(VLOOKUP(A98,Fiktive_Dividende!A$3:AM$103,14,FALSE)&lt;&gt;"",IF(VLOOKUP(A98,Ergebnis_je_Aktie_verwässert!A$3:AK$103,8,FALSE)&lt;&gt;"",IF(VLOOKUP(A98,Ergebnis_je_Aktie_verwässert!A$3:AK$103,8,FALSE)&lt;=0,2,IF(VLOOKUP(A98,Fiktive_Dividende!A$3:AM$103,14,FALSE)/VLOOKUP(A98,Ergebnis_je_Aktie_verwässert!A$3:AK$103,8,FALSE)&gt;=2,2,VLOOKUP(A98,Fiktive_Dividende!A$3:AM$103,14,FALSE)/VLOOKUP(A98,Ergebnis_je_Aktie_verwässert!A$3:AK$103,8,FALSE))),""),"")</f>
        <v>#N/A</v>
      </c>
      <c r="I98" s="71" t="e">
        <f>IF(VLOOKUP(A98,Fiktive_Dividende!A$3:AM$103,15,FALSE)&lt;&gt;"",IF(VLOOKUP(A98,Ergebnis_je_Aktie_verwässert!A$3:AK$103,9,FALSE)&lt;&gt;"",IF(VLOOKUP(A98,Ergebnis_je_Aktie_verwässert!A$3:AK$103,9,FALSE)&lt;=0,2,IF(VLOOKUP(A98,Fiktive_Dividende!A$3:AM$103,15,FALSE)/VLOOKUP(A98,Ergebnis_je_Aktie_verwässert!A$3:AK$103,9,FALSE)&gt;=2,2,VLOOKUP(A98,Fiktive_Dividende!A$3:AM$103,15,FALSE)/VLOOKUP(A98,Ergebnis_je_Aktie_verwässert!A$3:AK$103,9,FALSE))),""),"")</f>
        <v>#N/A</v>
      </c>
      <c r="J98" s="71" t="e">
        <f>IF(VLOOKUP(A98,Fiktive_Dividende!A$3:AM$103,16,FALSE)&lt;&gt;"",IF(VLOOKUP(A98,Ergebnis_je_Aktie_verwässert!A$3:AK$103,10,FALSE)&lt;&gt;"",IF(VLOOKUP(A98,Ergebnis_je_Aktie_verwässert!A$3:AK$103,10,FALSE)&lt;=0,2,IF(VLOOKUP(A98,Fiktive_Dividende!A$3:AM$103,16,FALSE)/VLOOKUP(A98,Ergebnis_je_Aktie_verwässert!A$3:AK$103,10,FALSE)&gt;=2,2,VLOOKUP(A98,Fiktive_Dividende!A$3:AM$103,16,FALSE)/VLOOKUP(A98,Ergebnis_je_Aktie_verwässert!A$3:AK$103,10,FALSE))),""),"")</f>
        <v>#N/A</v>
      </c>
      <c r="K98" s="71" t="e">
        <f>IF(VLOOKUP(A98,Fiktive_Dividende!A$3:AM$103,17,FALSE)&lt;&gt;"",IF(VLOOKUP(A98,Ergebnis_je_Aktie_verwässert!A$3:AK$103,11,FALSE)&lt;&gt;"",IF(VLOOKUP(A98,Ergebnis_je_Aktie_verwässert!A$3:AK$103,11,FALSE)&lt;=0,2,IF(VLOOKUP(A98,Fiktive_Dividende!A$3:AM$103,17,FALSE)/VLOOKUP(A98,Ergebnis_je_Aktie_verwässert!A$3:AK$103,11,FALSE)&gt;=2,2,VLOOKUP(A98,Fiktive_Dividende!A$3:AM$103,17,FALSE)/VLOOKUP(A98,Ergebnis_je_Aktie_verwässert!A$3:AK$103,11,FALSE))),""),"")</f>
        <v>#N/A</v>
      </c>
      <c r="L98" s="71" t="e">
        <f>IF(VLOOKUP(A98,Fiktive_Dividende!A$3:AM$103,18,FALSE)&lt;&gt;"",IF(VLOOKUP(A98,Ergebnis_je_Aktie_verwässert!A$3:AK$103,12,FALSE)&lt;&gt;"",IF(VLOOKUP(A98,Ergebnis_je_Aktie_verwässert!A$3:AK$103,12,FALSE)&lt;=0,2,IF(VLOOKUP(A98,Fiktive_Dividende!A$3:AM$103,18,FALSE)/VLOOKUP(A98,Ergebnis_je_Aktie_verwässert!A$3:AK$103,12,FALSE)&gt;=2,2,VLOOKUP(A98,Fiktive_Dividende!A$3:AM$103,18,FALSE)/VLOOKUP(A98,Ergebnis_je_Aktie_verwässert!A$3:AK$103,12,FALSE))),""),"")</f>
        <v>#N/A</v>
      </c>
      <c r="M98" s="71" t="e">
        <f>IF(VLOOKUP(A98,Fiktive_Dividende!A$3:AM$103,19,FALSE)&lt;&gt;"",IF(VLOOKUP(A98,Ergebnis_je_Aktie_verwässert!A$3:AK$103,13,FALSE)&lt;&gt;"",IF(VLOOKUP(A98,Ergebnis_je_Aktie_verwässert!A$3:AK$103,13,FALSE)&lt;=0,2,IF(VLOOKUP(A98,Fiktive_Dividende!A$3:AM$103,19,FALSE)/VLOOKUP(A98,Ergebnis_je_Aktie_verwässert!A$3:AK$103,13,FALSE)&gt;=2,2,VLOOKUP(A98,Fiktive_Dividende!A$3:AM$103,19,FALSE)/VLOOKUP(A98,Ergebnis_je_Aktie_verwässert!A$3:AK$103,13,FALSE))),""),"")</f>
        <v>#N/A</v>
      </c>
      <c r="N98" s="71" t="e">
        <f>IF(VLOOKUP(A98,Fiktive_Dividende!A$3:AM$103,20,FALSE)&lt;&gt;"",IF(VLOOKUP(A98,Ergebnis_je_Aktie_verwässert!A$3:AK$103,14,FALSE)&lt;&gt;"",IF(VLOOKUP(A98,Ergebnis_je_Aktie_verwässert!A$3:AK$103,14,FALSE)&lt;=0,2,IF(VLOOKUP(A98,Fiktive_Dividende!A$3:AM$103,20,FALSE)/VLOOKUP(A98,Ergebnis_je_Aktie_verwässert!A$3:AK$103,14,FALSE)&gt;=2,2,VLOOKUP(A98,Fiktive_Dividende!A$3:AM$103,20,FALSE)/VLOOKUP(A98,Ergebnis_je_Aktie_verwässert!A$3:AK$103,14,FALSE))),""),"")</f>
        <v>#N/A</v>
      </c>
      <c r="O98" s="71" t="e">
        <f>IF(VLOOKUP(A98,Fiktive_Dividende!A$3:AM$103,21,FALSE)&lt;&gt;"",IF(VLOOKUP(A98,Ergebnis_je_Aktie_verwässert!A$3:AK$103,15,FALSE)&lt;&gt;"",IF(VLOOKUP(A98,Ergebnis_je_Aktie_verwässert!A$3:AK$103,15,FALSE)&lt;=0,2,IF(VLOOKUP(A98,Fiktive_Dividende!A$3:AM$103,21,FALSE)/VLOOKUP(A98,Ergebnis_je_Aktie_verwässert!A$3:AK$103,15,FALSE)&gt;=2,2,VLOOKUP(A98,Fiktive_Dividende!A$3:AM$103,21,FALSE)/VLOOKUP(A98,Ergebnis_je_Aktie_verwässert!A$3:AK$103,15,FALSE))),""),"")</f>
        <v>#N/A</v>
      </c>
      <c r="P98" s="71" t="e">
        <f>IF(VLOOKUP(A98,Fiktive_Dividende!A$3:AM$103,22,FALSE)&lt;&gt;"",IF(VLOOKUP(A98,Ergebnis_je_Aktie_verwässert!A$3:AK$103,16,FALSE)&lt;&gt;"",IF(VLOOKUP(A98,Ergebnis_je_Aktie_verwässert!A$3:AK$103,16,FALSE)&lt;=0,2,IF(VLOOKUP(A98,Fiktive_Dividende!A$3:AM$103,22,FALSE)/VLOOKUP(A98,Ergebnis_je_Aktie_verwässert!A$3:AK$103,16,FALSE)&gt;=2,2,VLOOKUP(A98,Fiktive_Dividende!A$3:AM$103,22,FALSE)/VLOOKUP(A98,Ergebnis_je_Aktie_verwässert!A$3:AK$103,16,FALSE))),""),"")</f>
        <v>#N/A</v>
      </c>
      <c r="Q98" s="71" t="e">
        <f>IF(VLOOKUP(A98,Fiktive_Dividende!A$3:AM$103,23,FALSE)&lt;&gt;"",IF(VLOOKUP(A98,Ergebnis_je_Aktie_verwässert!A$3:AK$103,17,FALSE)&lt;&gt;"",IF(VLOOKUP(A98,Ergebnis_je_Aktie_verwässert!A$3:AK$103,17,FALSE)&lt;=0,2,IF(VLOOKUP(A98,Fiktive_Dividende!A$3:AM$103,23,FALSE)/VLOOKUP(A98,Ergebnis_je_Aktie_verwässert!A$3:AK$103,17,FALSE)&gt;=2,2,VLOOKUP(A98,Fiktive_Dividende!A$3:AM$103,23,FALSE)/VLOOKUP(A98,Ergebnis_je_Aktie_verwässert!A$3:AK$103,17,FALSE))),""),"")</f>
        <v>#N/A</v>
      </c>
      <c r="R98" s="71" t="e">
        <f>IF(VLOOKUP(A98,Fiktive_Dividende!A$3:AM$103,24,FALSE)&lt;&gt;"",IF(VLOOKUP(A98,Ergebnis_je_Aktie_verwässert!A$3:AK$103,18,FALSE)&lt;&gt;"",IF(VLOOKUP(A98,Ergebnis_je_Aktie_verwässert!A$3:AK$103,18,FALSE)&lt;=0,2,IF(VLOOKUP(A98,Fiktive_Dividende!A$3:AM$103,24,FALSE)/VLOOKUP(A98,Ergebnis_je_Aktie_verwässert!A$3:AK$103,18,FALSE)&gt;=2,2,VLOOKUP(A98,Fiktive_Dividende!A$3:AM$103,24,FALSE)/VLOOKUP(A98,Ergebnis_je_Aktie_verwässert!A$3:AK$103,18,FALSE))),""),"")</f>
        <v>#N/A</v>
      </c>
      <c r="S98" s="105" t="e">
        <f t="shared" si="14"/>
        <v>#N/A</v>
      </c>
      <c r="T98" s="71" t="e">
        <f>IF(VLOOKUP(A98,Dividende_je_Aktie!A$3:AM$103,6,FALSE)&lt;&gt;"",IF(VLOOKUP(A98,Ergebnis_je_Aktie_verwässert!A$3:AK$103,6,FALSE)&lt;&gt;"",IF(VLOOKUP(A98,Ergebnis_je_Aktie_verwässert!A$3:AK$103,6,FALSE)&lt;=0,2,IF(VLOOKUP(A98,Dividende_je_Aktie!A$3:AM$103,6,FALSE)/VLOOKUP(A98,Ergebnis_je_Aktie_verwässert!A$3:AK$103,6,FALSE)&gt;=2,2,VLOOKUP(A98,Dividende_je_Aktie!A$3:AM$103,6,FALSE)/VLOOKUP(A98,Ergebnis_je_Aktie_verwässert!A$3:AK$103,6,FALSE))),""),"")</f>
        <v>#N/A</v>
      </c>
      <c r="U98" s="71" t="e">
        <f>IF(VLOOKUP(A98,Dividende_je_Aktie!A$3:AM$103,7,FALSE)&lt;&gt;"",IF(VLOOKUP(A98,Ergebnis_je_Aktie_verwässert!A$3:AK$103,7,FALSE)&lt;&gt;"",IF(VLOOKUP(A98,Ergebnis_je_Aktie_verwässert!A$3:AK$103,7,FALSE)&lt;=0,2,IF(VLOOKUP(A98,Dividende_je_Aktie!A$3:AM$103,7,FALSE)/VLOOKUP(A98,Ergebnis_je_Aktie_verwässert!A$3:AK$103,7,FALSE)&gt;=2,2,VLOOKUP(A98,Dividende_je_Aktie!A$3:AM$103,7,FALSE)/VLOOKUP(A98,Ergebnis_je_Aktie_verwässert!A$3:AK$103,7,FALSE))),""),"")</f>
        <v>#N/A</v>
      </c>
      <c r="V98" s="71" t="e">
        <f>IF(VLOOKUP(A98,Dividende_je_Aktie!A$3:AM$103,8,FALSE)&lt;&gt;"",IF(VLOOKUP(A98,Ergebnis_je_Aktie_verwässert!A$3:AK$103,8,FALSE)&lt;&gt;"",IF(VLOOKUP(A98,Ergebnis_je_Aktie_verwässert!A$3:AK$103,8,FALSE)&lt;=0,2,IF(VLOOKUP(A98,Dividende_je_Aktie!A$3:AM$103,8,FALSE)/VLOOKUP(A98,Ergebnis_je_Aktie_verwässert!A$3:AK$103,8,FALSE)&gt;=2,2,VLOOKUP(A98,Dividende_je_Aktie!A$3:AM$103,8,FALSE)/VLOOKUP(A98,Ergebnis_je_Aktie_verwässert!A$3:AK$103,8,FALSE))),""),"")</f>
        <v>#N/A</v>
      </c>
      <c r="W98" s="71" t="e">
        <f>IF(VLOOKUP(A98,Dividende_je_Aktie!A$3:AM$103,9,FALSE)&lt;&gt;"",IF(VLOOKUP(A98,Ergebnis_je_Aktie_verwässert!A$3:AK$103,9,FALSE)&lt;&gt;"",IF(VLOOKUP(A98,Ergebnis_je_Aktie_verwässert!A$3:AK$103,9,FALSE)&lt;=0,2,IF(VLOOKUP(A98,Dividende_je_Aktie!A$3:AM$103,9,FALSE)/VLOOKUP(A98,Ergebnis_je_Aktie_verwässert!A$3:AK$103,9,FALSE)&gt;=2,2,VLOOKUP(A98,Dividende_je_Aktie!A$3:AM$103,9,FALSE)/VLOOKUP(A98,Ergebnis_je_Aktie_verwässert!A$3:AK$103,9,FALSE))),""),"")</f>
        <v>#N/A</v>
      </c>
      <c r="X98" s="71" t="e">
        <f>IF(VLOOKUP(A98,Dividende_je_Aktie!A$3:AM$103,10,FALSE)&lt;&gt;"",IF(VLOOKUP(A98,Ergebnis_je_Aktie_verwässert!A$3:AK$103,10,FALSE)&lt;&gt;"",IF(VLOOKUP(A98,Ergebnis_je_Aktie_verwässert!A$3:AK$103,10,FALSE)&lt;=0,2,IF(VLOOKUP(A98,Dividende_je_Aktie!A$3:AM$103,10,FALSE)/VLOOKUP(A98,Ergebnis_je_Aktie_verwässert!A$3:AK$103,10,FALSE)&gt;=2,2,VLOOKUP(A98,Dividende_je_Aktie!A$3:AM$103,10,FALSE)/VLOOKUP(A98,Ergebnis_je_Aktie_verwässert!A$3:AK$103,10,FALSE))),""),"")</f>
        <v>#N/A</v>
      </c>
      <c r="Y98" s="71" t="e">
        <f>IF(VLOOKUP(A98,Dividende_je_Aktie!A$3:AM$103,11,FALSE)&lt;&gt;"",IF(VLOOKUP(A98,Ergebnis_je_Aktie_verwässert!A$3:AK$103,11,FALSE)&lt;&gt;"",IF(VLOOKUP(A98,Ergebnis_je_Aktie_verwässert!A$3:AK$103,11,FALSE)&lt;=0,2,IF(VLOOKUP(A98,Dividende_je_Aktie!A$3:AM$103,11,FALSE)/VLOOKUP(A98,Ergebnis_je_Aktie_verwässert!A$3:AK$103,11,FALSE)&gt;=2,2,VLOOKUP(A98,Dividende_je_Aktie!A$3:AM$103,11,FALSE)/VLOOKUP(A98,Ergebnis_je_Aktie_verwässert!A$3:AK$103,11,FALSE))),""),"")</f>
        <v>#N/A</v>
      </c>
      <c r="Z98" s="71" t="e">
        <f>IF(VLOOKUP(A98,Dividende_je_Aktie!A$3:AM$103,12,FALSE)&lt;&gt;"",IF(VLOOKUP(A98,Ergebnis_je_Aktie_verwässert!A$3:AK$103,12,FALSE)&lt;&gt;"",IF(VLOOKUP(A98,Ergebnis_je_Aktie_verwässert!A$3:AK$103,12,FALSE)&lt;=0,2,IF(VLOOKUP(A98,Dividende_je_Aktie!A$3:AM$103,12,FALSE)/VLOOKUP(A98,Ergebnis_je_Aktie_verwässert!A$3:AK$103,12,FALSE)&gt;=2,2,VLOOKUP(A98,Dividende_je_Aktie!A$3:AM$103,12,FALSE)/VLOOKUP(A98,Ergebnis_je_Aktie_verwässert!A$3:AK$103,12,FALSE))),""),"")</f>
        <v>#N/A</v>
      </c>
      <c r="AA98" s="71" t="e">
        <f>IF(VLOOKUP(A98,Dividende_je_Aktie!A$3:AM$103,13,FALSE)&lt;&gt;"",IF(VLOOKUP(A98,Ergebnis_je_Aktie_verwässert!A$3:AK$103,13,FALSE)&lt;&gt;"",IF(VLOOKUP(A98,Ergebnis_je_Aktie_verwässert!A$3:AK$103,13,FALSE)&lt;=0,2,IF(VLOOKUP(A98,Dividende_je_Aktie!A$3:AM$103,13,FALSE)/VLOOKUP(A98,Ergebnis_je_Aktie_verwässert!A$3:AK$103,13,FALSE)&gt;=2,2,VLOOKUP(A98,Dividende_je_Aktie!A$3:AM$103,13,FALSE)/VLOOKUP(A98,Ergebnis_je_Aktie_verwässert!A$3:AK$103,13,FALSE))),""),"")</f>
        <v>#N/A</v>
      </c>
      <c r="AB98" s="71" t="e">
        <f>IF(VLOOKUP(A98,Dividende_je_Aktie!A$3:AM$103,14,FALSE)&lt;&gt;"",IF(VLOOKUP(A98,Ergebnis_je_Aktie_verwässert!A$3:AK$103,14,FALSE)&lt;&gt;"",IF(VLOOKUP(A98,Ergebnis_je_Aktie_verwässert!A$3:AK$103,14,FALSE)&lt;=0,2,IF(VLOOKUP(A98,Dividende_je_Aktie!A$3:AM$103,14,FALSE)/VLOOKUP(A98,Ergebnis_je_Aktie_verwässert!A$3:AK$103,14,FALSE)&gt;=2,2,VLOOKUP(A98,Dividende_je_Aktie!A$3:AM$103,14,FALSE)/VLOOKUP(A98,Ergebnis_je_Aktie_verwässert!A$3:AK$103,14,FALSE))),""),"")</f>
        <v>#N/A</v>
      </c>
      <c r="AC98" s="71" t="e">
        <f>IF(VLOOKUP(A98,Dividende_je_Aktie!A$3:AM$103,15,FALSE)&lt;&gt;"",IF(VLOOKUP(A98,Ergebnis_je_Aktie_verwässert!A$3:AK$103,15,FALSE)&lt;&gt;"",IF(VLOOKUP(A98,Ergebnis_je_Aktie_verwässert!A$3:AK$103,15,FALSE)&lt;=0,2,IF(VLOOKUP(A98,Dividende_je_Aktie!A$3:AM$103,15,FALSE)/VLOOKUP(A98,Ergebnis_je_Aktie_verwässert!A$3:AK$103,15,FALSE)&gt;=2,2,VLOOKUP(A98,Dividende_je_Aktie!A$3:AM$103,15,FALSE)/VLOOKUP(A98,Ergebnis_je_Aktie_verwässert!A$3:AK$103,15,FALSE))),""),"")</f>
        <v>#N/A</v>
      </c>
      <c r="AD98" s="71" t="e">
        <f>IF(VLOOKUP(A98,Dividende_je_Aktie!A$3:AM$103,16,FALSE)&lt;&gt;"",IF(VLOOKUP(A98,Ergebnis_je_Aktie_verwässert!A$3:AK$103,16,FALSE)&lt;&gt;"",IF(VLOOKUP(A98,Ergebnis_je_Aktie_verwässert!A$3:AK$103,16,FALSE)&lt;=0,2,IF(VLOOKUP(A98,Dividende_je_Aktie!A$3:AM$103,16,FALSE)/VLOOKUP(A98,Ergebnis_je_Aktie_verwässert!A$3:AK$103,16,FALSE)&gt;=2,2,VLOOKUP(A98,Dividende_je_Aktie!A$3:AM$103,16,FALSE)/VLOOKUP(A98,Ergebnis_je_Aktie_verwässert!A$3:AK$103,16,FALSE))),""),"")</f>
        <v>#N/A</v>
      </c>
      <c r="AE98" s="71" t="e">
        <f>IF(VLOOKUP(A98,Dividende_je_Aktie!A$3:AM$103,17,FALSE)&lt;&gt;"",IF(VLOOKUP(A98,Ergebnis_je_Aktie_verwässert!A$3:AK$103,17,FALSE)&lt;&gt;"",IF(VLOOKUP(A98,Ergebnis_je_Aktie_verwässert!A$3:AK$103,17,FALSE)&lt;=0,2,IF(VLOOKUP(A98,Dividende_je_Aktie!A$3:AM$103,17,FALSE)/VLOOKUP(A98,Ergebnis_je_Aktie_verwässert!A$3:AK$103,17,FALSE)&gt;=2,2,VLOOKUP(A98,Dividende_je_Aktie!A$3:AM$103,17,FALSE)/VLOOKUP(A98,Ergebnis_je_Aktie_verwässert!A$3:AK$103,17,FALSE))),""),"")</f>
        <v>#N/A</v>
      </c>
      <c r="AF98" s="71" t="e">
        <f>IF(VLOOKUP(A98,Dividende_je_Aktie!A$3:AM$103,18,FALSE)&lt;&gt;"",IF(VLOOKUP(A98,Ergebnis_je_Aktie_verwässert!A$3:AK$103,18,FALSE)&lt;&gt;"",IF(VLOOKUP(A98,Ergebnis_je_Aktie_verwässert!A$3:AK$103,18,FALSE)&lt;=0,2,IF(VLOOKUP(A98,Dividende_je_Aktie!A$3:AM$103,18,FALSE)/VLOOKUP(A98,Ergebnis_je_Aktie_verwässert!A$3:AK$103,18,FALSE)&gt;=2,2,VLOOKUP(A98,Dividende_je_Aktie!A$3:AM$103,18,FALSE)/VLOOKUP(A98,Ergebnis_je_Aktie_verwässert!A$3:AK$103,18,FALSE))),""),"")</f>
        <v>#N/A</v>
      </c>
      <c r="AG98" s="105" t="e">
        <f t="shared" si="15"/>
        <v>#N/A</v>
      </c>
      <c r="AH98" s="4">
        <f t="shared" ca="1" si="16"/>
        <v>41899</v>
      </c>
      <c r="AI98" s="4">
        <f t="shared" ca="1" si="17"/>
        <v>-41539</v>
      </c>
      <c r="AJ98" s="4" t="e">
        <f t="shared" ca="1" si="18"/>
        <v>#NUM!</v>
      </c>
      <c r="AK98" s="10" t="e">
        <f t="shared" ca="1" si="19"/>
        <v>#N/A</v>
      </c>
      <c r="AL98" s="5" t="e">
        <f t="shared" si="20"/>
        <v>#N/A</v>
      </c>
    </row>
    <row r="99" spans="3:38">
      <c r="C99" s="60"/>
      <c r="D99" s="60"/>
      <c r="E99" s="60"/>
      <c r="F99" s="71" t="e">
        <f>IF(VLOOKUP(A99,Dividende_je_Aktie!A$3:AM$103,6,FALSE)&lt;&gt;"",IF(VLOOKUP(A99,Ergebnis_je_Aktie_verwässert!A$3:AK$103,6,FALSE)&lt;&gt;"",IF(VLOOKUP(A99,Ergebnis_je_Aktie_verwässert!A$3:AK$103,6,FALSE)&lt;=0,2,IF(VLOOKUP(A99,Dividende_je_Aktie!A$3:AM$103,6,FALSE)/VLOOKUP(A99,Ergebnis_je_Aktie_verwässert!A$3:AK$103,6,FALSE)&gt;=2,2,VLOOKUP(A99,Dividende_je_Aktie!A$3:AM$103,6,FALSE)/VLOOKUP(A99,Ergebnis_je_Aktie_verwässert!A$3:AK$103,6,FALSE))),""),"")</f>
        <v>#N/A</v>
      </c>
      <c r="G99" s="71" t="e">
        <f>IF(VLOOKUP(A99,Dividende_je_Aktie!A$3:AM$103,7,FALSE)&lt;&gt;"",IF(VLOOKUP(A99,Ergebnis_je_Aktie_verwässert!A$3:AK$103,7,FALSE)&lt;&gt;"",IF(VLOOKUP(A99,Ergebnis_je_Aktie_verwässert!A$3:AK$103,7,FALSE)&lt;=0,2,IF(VLOOKUP(A99,Dividende_je_Aktie!A$3:AM$103,7,FALSE)/VLOOKUP(A99,Ergebnis_je_Aktie_verwässert!A$3:AK$103,7,FALSE)&gt;=2,2,VLOOKUP(A99,Dividende_je_Aktie!A$3:AM$103,7,FALSE)/VLOOKUP(A99,Ergebnis_je_Aktie_verwässert!A$3:AK$103,7,FALSE))),""),"")</f>
        <v>#N/A</v>
      </c>
      <c r="H99" s="71" t="e">
        <f>IF(VLOOKUP(A99,Fiktive_Dividende!A$3:AM$103,14,FALSE)&lt;&gt;"",IF(VLOOKUP(A99,Ergebnis_je_Aktie_verwässert!A$3:AK$103,8,FALSE)&lt;&gt;"",IF(VLOOKUP(A99,Ergebnis_je_Aktie_verwässert!A$3:AK$103,8,FALSE)&lt;=0,2,IF(VLOOKUP(A99,Fiktive_Dividende!A$3:AM$103,14,FALSE)/VLOOKUP(A99,Ergebnis_je_Aktie_verwässert!A$3:AK$103,8,FALSE)&gt;=2,2,VLOOKUP(A99,Fiktive_Dividende!A$3:AM$103,14,FALSE)/VLOOKUP(A99,Ergebnis_je_Aktie_verwässert!A$3:AK$103,8,FALSE))),""),"")</f>
        <v>#N/A</v>
      </c>
      <c r="I99" s="71" t="e">
        <f>IF(VLOOKUP(A99,Fiktive_Dividende!A$3:AM$103,15,FALSE)&lt;&gt;"",IF(VLOOKUP(A99,Ergebnis_je_Aktie_verwässert!A$3:AK$103,9,FALSE)&lt;&gt;"",IF(VLOOKUP(A99,Ergebnis_je_Aktie_verwässert!A$3:AK$103,9,FALSE)&lt;=0,2,IF(VLOOKUP(A99,Fiktive_Dividende!A$3:AM$103,15,FALSE)/VLOOKUP(A99,Ergebnis_je_Aktie_verwässert!A$3:AK$103,9,FALSE)&gt;=2,2,VLOOKUP(A99,Fiktive_Dividende!A$3:AM$103,15,FALSE)/VLOOKUP(A99,Ergebnis_je_Aktie_verwässert!A$3:AK$103,9,FALSE))),""),"")</f>
        <v>#N/A</v>
      </c>
      <c r="J99" s="71" t="e">
        <f>IF(VLOOKUP(A99,Fiktive_Dividende!A$3:AM$103,16,FALSE)&lt;&gt;"",IF(VLOOKUP(A99,Ergebnis_je_Aktie_verwässert!A$3:AK$103,10,FALSE)&lt;&gt;"",IF(VLOOKUP(A99,Ergebnis_je_Aktie_verwässert!A$3:AK$103,10,FALSE)&lt;=0,2,IF(VLOOKUP(A99,Fiktive_Dividende!A$3:AM$103,16,FALSE)/VLOOKUP(A99,Ergebnis_je_Aktie_verwässert!A$3:AK$103,10,FALSE)&gt;=2,2,VLOOKUP(A99,Fiktive_Dividende!A$3:AM$103,16,FALSE)/VLOOKUP(A99,Ergebnis_je_Aktie_verwässert!A$3:AK$103,10,FALSE))),""),"")</f>
        <v>#N/A</v>
      </c>
      <c r="K99" s="71" t="e">
        <f>IF(VLOOKUP(A99,Fiktive_Dividende!A$3:AM$103,17,FALSE)&lt;&gt;"",IF(VLOOKUP(A99,Ergebnis_je_Aktie_verwässert!A$3:AK$103,11,FALSE)&lt;&gt;"",IF(VLOOKUP(A99,Ergebnis_je_Aktie_verwässert!A$3:AK$103,11,FALSE)&lt;=0,2,IF(VLOOKUP(A99,Fiktive_Dividende!A$3:AM$103,17,FALSE)/VLOOKUP(A99,Ergebnis_je_Aktie_verwässert!A$3:AK$103,11,FALSE)&gt;=2,2,VLOOKUP(A99,Fiktive_Dividende!A$3:AM$103,17,FALSE)/VLOOKUP(A99,Ergebnis_je_Aktie_verwässert!A$3:AK$103,11,FALSE))),""),"")</f>
        <v>#N/A</v>
      </c>
      <c r="L99" s="71" t="e">
        <f>IF(VLOOKUP(A99,Fiktive_Dividende!A$3:AM$103,18,FALSE)&lt;&gt;"",IF(VLOOKUP(A99,Ergebnis_je_Aktie_verwässert!A$3:AK$103,12,FALSE)&lt;&gt;"",IF(VLOOKUP(A99,Ergebnis_je_Aktie_verwässert!A$3:AK$103,12,FALSE)&lt;=0,2,IF(VLOOKUP(A99,Fiktive_Dividende!A$3:AM$103,18,FALSE)/VLOOKUP(A99,Ergebnis_je_Aktie_verwässert!A$3:AK$103,12,FALSE)&gt;=2,2,VLOOKUP(A99,Fiktive_Dividende!A$3:AM$103,18,FALSE)/VLOOKUP(A99,Ergebnis_je_Aktie_verwässert!A$3:AK$103,12,FALSE))),""),"")</f>
        <v>#N/A</v>
      </c>
      <c r="M99" s="71" t="e">
        <f>IF(VLOOKUP(A99,Fiktive_Dividende!A$3:AM$103,19,FALSE)&lt;&gt;"",IF(VLOOKUP(A99,Ergebnis_je_Aktie_verwässert!A$3:AK$103,13,FALSE)&lt;&gt;"",IF(VLOOKUP(A99,Ergebnis_je_Aktie_verwässert!A$3:AK$103,13,FALSE)&lt;=0,2,IF(VLOOKUP(A99,Fiktive_Dividende!A$3:AM$103,19,FALSE)/VLOOKUP(A99,Ergebnis_je_Aktie_verwässert!A$3:AK$103,13,FALSE)&gt;=2,2,VLOOKUP(A99,Fiktive_Dividende!A$3:AM$103,19,FALSE)/VLOOKUP(A99,Ergebnis_je_Aktie_verwässert!A$3:AK$103,13,FALSE))),""),"")</f>
        <v>#N/A</v>
      </c>
      <c r="N99" s="71" t="e">
        <f>IF(VLOOKUP(A99,Fiktive_Dividende!A$3:AM$103,20,FALSE)&lt;&gt;"",IF(VLOOKUP(A99,Ergebnis_je_Aktie_verwässert!A$3:AK$103,14,FALSE)&lt;&gt;"",IF(VLOOKUP(A99,Ergebnis_je_Aktie_verwässert!A$3:AK$103,14,FALSE)&lt;=0,2,IF(VLOOKUP(A99,Fiktive_Dividende!A$3:AM$103,20,FALSE)/VLOOKUP(A99,Ergebnis_je_Aktie_verwässert!A$3:AK$103,14,FALSE)&gt;=2,2,VLOOKUP(A99,Fiktive_Dividende!A$3:AM$103,20,FALSE)/VLOOKUP(A99,Ergebnis_je_Aktie_verwässert!A$3:AK$103,14,FALSE))),""),"")</f>
        <v>#N/A</v>
      </c>
      <c r="O99" s="71" t="e">
        <f>IF(VLOOKUP(A99,Fiktive_Dividende!A$3:AM$103,21,FALSE)&lt;&gt;"",IF(VLOOKUP(A99,Ergebnis_je_Aktie_verwässert!A$3:AK$103,15,FALSE)&lt;&gt;"",IF(VLOOKUP(A99,Ergebnis_je_Aktie_verwässert!A$3:AK$103,15,FALSE)&lt;=0,2,IF(VLOOKUP(A99,Fiktive_Dividende!A$3:AM$103,21,FALSE)/VLOOKUP(A99,Ergebnis_je_Aktie_verwässert!A$3:AK$103,15,FALSE)&gt;=2,2,VLOOKUP(A99,Fiktive_Dividende!A$3:AM$103,21,FALSE)/VLOOKUP(A99,Ergebnis_je_Aktie_verwässert!A$3:AK$103,15,FALSE))),""),"")</f>
        <v>#N/A</v>
      </c>
      <c r="P99" s="71" t="e">
        <f>IF(VLOOKUP(A99,Fiktive_Dividende!A$3:AM$103,22,FALSE)&lt;&gt;"",IF(VLOOKUP(A99,Ergebnis_je_Aktie_verwässert!A$3:AK$103,16,FALSE)&lt;&gt;"",IF(VLOOKUP(A99,Ergebnis_je_Aktie_verwässert!A$3:AK$103,16,FALSE)&lt;=0,2,IF(VLOOKUP(A99,Fiktive_Dividende!A$3:AM$103,22,FALSE)/VLOOKUP(A99,Ergebnis_je_Aktie_verwässert!A$3:AK$103,16,FALSE)&gt;=2,2,VLOOKUP(A99,Fiktive_Dividende!A$3:AM$103,22,FALSE)/VLOOKUP(A99,Ergebnis_je_Aktie_verwässert!A$3:AK$103,16,FALSE))),""),"")</f>
        <v>#N/A</v>
      </c>
      <c r="Q99" s="71" t="e">
        <f>IF(VLOOKUP(A99,Fiktive_Dividende!A$3:AM$103,23,FALSE)&lt;&gt;"",IF(VLOOKUP(A99,Ergebnis_je_Aktie_verwässert!A$3:AK$103,17,FALSE)&lt;&gt;"",IF(VLOOKUP(A99,Ergebnis_je_Aktie_verwässert!A$3:AK$103,17,FALSE)&lt;=0,2,IF(VLOOKUP(A99,Fiktive_Dividende!A$3:AM$103,23,FALSE)/VLOOKUP(A99,Ergebnis_je_Aktie_verwässert!A$3:AK$103,17,FALSE)&gt;=2,2,VLOOKUP(A99,Fiktive_Dividende!A$3:AM$103,23,FALSE)/VLOOKUP(A99,Ergebnis_je_Aktie_verwässert!A$3:AK$103,17,FALSE))),""),"")</f>
        <v>#N/A</v>
      </c>
      <c r="R99" s="71" t="e">
        <f>IF(VLOOKUP(A99,Fiktive_Dividende!A$3:AM$103,24,FALSE)&lt;&gt;"",IF(VLOOKUP(A99,Ergebnis_je_Aktie_verwässert!A$3:AK$103,18,FALSE)&lt;&gt;"",IF(VLOOKUP(A99,Ergebnis_je_Aktie_verwässert!A$3:AK$103,18,FALSE)&lt;=0,2,IF(VLOOKUP(A99,Fiktive_Dividende!A$3:AM$103,24,FALSE)/VLOOKUP(A99,Ergebnis_je_Aktie_verwässert!A$3:AK$103,18,FALSE)&gt;=2,2,VLOOKUP(A99,Fiktive_Dividende!A$3:AM$103,24,FALSE)/VLOOKUP(A99,Ergebnis_je_Aktie_verwässert!A$3:AK$103,18,FALSE))),""),"")</f>
        <v>#N/A</v>
      </c>
      <c r="S99" s="105" t="e">
        <f t="shared" si="14"/>
        <v>#N/A</v>
      </c>
      <c r="T99" s="71" t="e">
        <f>IF(VLOOKUP(A99,Dividende_je_Aktie!A$3:AM$103,6,FALSE)&lt;&gt;"",IF(VLOOKUP(A99,Ergebnis_je_Aktie_verwässert!A$3:AK$103,6,FALSE)&lt;&gt;"",IF(VLOOKUP(A99,Ergebnis_je_Aktie_verwässert!A$3:AK$103,6,FALSE)&lt;=0,2,IF(VLOOKUP(A99,Dividende_je_Aktie!A$3:AM$103,6,FALSE)/VLOOKUP(A99,Ergebnis_je_Aktie_verwässert!A$3:AK$103,6,FALSE)&gt;=2,2,VLOOKUP(A99,Dividende_je_Aktie!A$3:AM$103,6,FALSE)/VLOOKUP(A99,Ergebnis_je_Aktie_verwässert!A$3:AK$103,6,FALSE))),""),"")</f>
        <v>#N/A</v>
      </c>
      <c r="U99" s="71" t="e">
        <f>IF(VLOOKUP(A99,Dividende_je_Aktie!A$3:AM$103,7,FALSE)&lt;&gt;"",IF(VLOOKUP(A99,Ergebnis_je_Aktie_verwässert!A$3:AK$103,7,FALSE)&lt;&gt;"",IF(VLOOKUP(A99,Ergebnis_je_Aktie_verwässert!A$3:AK$103,7,FALSE)&lt;=0,2,IF(VLOOKUP(A99,Dividende_je_Aktie!A$3:AM$103,7,FALSE)/VLOOKUP(A99,Ergebnis_je_Aktie_verwässert!A$3:AK$103,7,FALSE)&gt;=2,2,VLOOKUP(A99,Dividende_je_Aktie!A$3:AM$103,7,FALSE)/VLOOKUP(A99,Ergebnis_je_Aktie_verwässert!A$3:AK$103,7,FALSE))),""),"")</f>
        <v>#N/A</v>
      </c>
      <c r="V99" s="71" t="e">
        <f>IF(VLOOKUP(A99,Dividende_je_Aktie!A$3:AM$103,8,FALSE)&lt;&gt;"",IF(VLOOKUP(A99,Ergebnis_je_Aktie_verwässert!A$3:AK$103,8,FALSE)&lt;&gt;"",IF(VLOOKUP(A99,Ergebnis_je_Aktie_verwässert!A$3:AK$103,8,FALSE)&lt;=0,2,IF(VLOOKUP(A99,Dividende_je_Aktie!A$3:AM$103,8,FALSE)/VLOOKUP(A99,Ergebnis_je_Aktie_verwässert!A$3:AK$103,8,FALSE)&gt;=2,2,VLOOKUP(A99,Dividende_je_Aktie!A$3:AM$103,8,FALSE)/VLOOKUP(A99,Ergebnis_je_Aktie_verwässert!A$3:AK$103,8,FALSE))),""),"")</f>
        <v>#N/A</v>
      </c>
      <c r="W99" s="71" t="e">
        <f>IF(VLOOKUP(A99,Dividende_je_Aktie!A$3:AM$103,9,FALSE)&lt;&gt;"",IF(VLOOKUP(A99,Ergebnis_je_Aktie_verwässert!A$3:AK$103,9,FALSE)&lt;&gt;"",IF(VLOOKUP(A99,Ergebnis_je_Aktie_verwässert!A$3:AK$103,9,FALSE)&lt;=0,2,IF(VLOOKUP(A99,Dividende_je_Aktie!A$3:AM$103,9,FALSE)/VLOOKUP(A99,Ergebnis_je_Aktie_verwässert!A$3:AK$103,9,FALSE)&gt;=2,2,VLOOKUP(A99,Dividende_je_Aktie!A$3:AM$103,9,FALSE)/VLOOKUP(A99,Ergebnis_je_Aktie_verwässert!A$3:AK$103,9,FALSE))),""),"")</f>
        <v>#N/A</v>
      </c>
      <c r="X99" s="71" t="e">
        <f>IF(VLOOKUP(A99,Dividende_je_Aktie!A$3:AM$103,10,FALSE)&lt;&gt;"",IF(VLOOKUP(A99,Ergebnis_je_Aktie_verwässert!A$3:AK$103,10,FALSE)&lt;&gt;"",IF(VLOOKUP(A99,Ergebnis_je_Aktie_verwässert!A$3:AK$103,10,FALSE)&lt;=0,2,IF(VLOOKUP(A99,Dividende_je_Aktie!A$3:AM$103,10,FALSE)/VLOOKUP(A99,Ergebnis_je_Aktie_verwässert!A$3:AK$103,10,FALSE)&gt;=2,2,VLOOKUP(A99,Dividende_je_Aktie!A$3:AM$103,10,FALSE)/VLOOKUP(A99,Ergebnis_je_Aktie_verwässert!A$3:AK$103,10,FALSE))),""),"")</f>
        <v>#N/A</v>
      </c>
      <c r="Y99" s="71" t="e">
        <f>IF(VLOOKUP(A99,Dividende_je_Aktie!A$3:AM$103,11,FALSE)&lt;&gt;"",IF(VLOOKUP(A99,Ergebnis_je_Aktie_verwässert!A$3:AK$103,11,FALSE)&lt;&gt;"",IF(VLOOKUP(A99,Ergebnis_je_Aktie_verwässert!A$3:AK$103,11,FALSE)&lt;=0,2,IF(VLOOKUP(A99,Dividende_je_Aktie!A$3:AM$103,11,FALSE)/VLOOKUP(A99,Ergebnis_je_Aktie_verwässert!A$3:AK$103,11,FALSE)&gt;=2,2,VLOOKUP(A99,Dividende_je_Aktie!A$3:AM$103,11,FALSE)/VLOOKUP(A99,Ergebnis_je_Aktie_verwässert!A$3:AK$103,11,FALSE))),""),"")</f>
        <v>#N/A</v>
      </c>
      <c r="Z99" s="71" t="e">
        <f>IF(VLOOKUP(A99,Dividende_je_Aktie!A$3:AM$103,12,FALSE)&lt;&gt;"",IF(VLOOKUP(A99,Ergebnis_je_Aktie_verwässert!A$3:AK$103,12,FALSE)&lt;&gt;"",IF(VLOOKUP(A99,Ergebnis_je_Aktie_verwässert!A$3:AK$103,12,FALSE)&lt;=0,2,IF(VLOOKUP(A99,Dividende_je_Aktie!A$3:AM$103,12,FALSE)/VLOOKUP(A99,Ergebnis_je_Aktie_verwässert!A$3:AK$103,12,FALSE)&gt;=2,2,VLOOKUP(A99,Dividende_je_Aktie!A$3:AM$103,12,FALSE)/VLOOKUP(A99,Ergebnis_je_Aktie_verwässert!A$3:AK$103,12,FALSE))),""),"")</f>
        <v>#N/A</v>
      </c>
      <c r="AA99" s="71" t="e">
        <f>IF(VLOOKUP(A99,Dividende_je_Aktie!A$3:AM$103,13,FALSE)&lt;&gt;"",IF(VLOOKUP(A99,Ergebnis_je_Aktie_verwässert!A$3:AK$103,13,FALSE)&lt;&gt;"",IF(VLOOKUP(A99,Ergebnis_je_Aktie_verwässert!A$3:AK$103,13,FALSE)&lt;=0,2,IF(VLOOKUP(A99,Dividende_je_Aktie!A$3:AM$103,13,FALSE)/VLOOKUP(A99,Ergebnis_je_Aktie_verwässert!A$3:AK$103,13,FALSE)&gt;=2,2,VLOOKUP(A99,Dividende_je_Aktie!A$3:AM$103,13,FALSE)/VLOOKUP(A99,Ergebnis_je_Aktie_verwässert!A$3:AK$103,13,FALSE))),""),"")</f>
        <v>#N/A</v>
      </c>
      <c r="AB99" s="71" t="e">
        <f>IF(VLOOKUP(A99,Dividende_je_Aktie!A$3:AM$103,14,FALSE)&lt;&gt;"",IF(VLOOKUP(A99,Ergebnis_je_Aktie_verwässert!A$3:AK$103,14,FALSE)&lt;&gt;"",IF(VLOOKUP(A99,Ergebnis_je_Aktie_verwässert!A$3:AK$103,14,FALSE)&lt;=0,2,IF(VLOOKUP(A99,Dividende_je_Aktie!A$3:AM$103,14,FALSE)/VLOOKUP(A99,Ergebnis_je_Aktie_verwässert!A$3:AK$103,14,FALSE)&gt;=2,2,VLOOKUP(A99,Dividende_je_Aktie!A$3:AM$103,14,FALSE)/VLOOKUP(A99,Ergebnis_je_Aktie_verwässert!A$3:AK$103,14,FALSE))),""),"")</f>
        <v>#N/A</v>
      </c>
      <c r="AC99" s="71" t="e">
        <f>IF(VLOOKUP(A99,Dividende_je_Aktie!A$3:AM$103,15,FALSE)&lt;&gt;"",IF(VLOOKUP(A99,Ergebnis_je_Aktie_verwässert!A$3:AK$103,15,FALSE)&lt;&gt;"",IF(VLOOKUP(A99,Ergebnis_je_Aktie_verwässert!A$3:AK$103,15,FALSE)&lt;=0,2,IF(VLOOKUP(A99,Dividende_je_Aktie!A$3:AM$103,15,FALSE)/VLOOKUP(A99,Ergebnis_je_Aktie_verwässert!A$3:AK$103,15,FALSE)&gt;=2,2,VLOOKUP(A99,Dividende_je_Aktie!A$3:AM$103,15,FALSE)/VLOOKUP(A99,Ergebnis_je_Aktie_verwässert!A$3:AK$103,15,FALSE))),""),"")</f>
        <v>#N/A</v>
      </c>
      <c r="AD99" s="71" t="e">
        <f>IF(VLOOKUP(A99,Dividende_je_Aktie!A$3:AM$103,16,FALSE)&lt;&gt;"",IF(VLOOKUP(A99,Ergebnis_je_Aktie_verwässert!A$3:AK$103,16,FALSE)&lt;&gt;"",IF(VLOOKUP(A99,Ergebnis_je_Aktie_verwässert!A$3:AK$103,16,FALSE)&lt;=0,2,IF(VLOOKUP(A99,Dividende_je_Aktie!A$3:AM$103,16,FALSE)/VLOOKUP(A99,Ergebnis_je_Aktie_verwässert!A$3:AK$103,16,FALSE)&gt;=2,2,VLOOKUP(A99,Dividende_je_Aktie!A$3:AM$103,16,FALSE)/VLOOKUP(A99,Ergebnis_je_Aktie_verwässert!A$3:AK$103,16,FALSE))),""),"")</f>
        <v>#N/A</v>
      </c>
      <c r="AE99" s="71" t="e">
        <f>IF(VLOOKUP(A99,Dividende_je_Aktie!A$3:AM$103,17,FALSE)&lt;&gt;"",IF(VLOOKUP(A99,Ergebnis_je_Aktie_verwässert!A$3:AK$103,17,FALSE)&lt;&gt;"",IF(VLOOKUP(A99,Ergebnis_je_Aktie_verwässert!A$3:AK$103,17,FALSE)&lt;=0,2,IF(VLOOKUP(A99,Dividende_je_Aktie!A$3:AM$103,17,FALSE)/VLOOKUP(A99,Ergebnis_je_Aktie_verwässert!A$3:AK$103,17,FALSE)&gt;=2,2,VLOOKUP(A99,Dividende_je_Aktie!A$3:AM$103,17,FALSE)/VLOOKUP(A99,Ergebnis_je_Aktie_verwässert!A$3:AK$103,17,FALSE))),""),"")</f>
        <v>#N/A</v>
      </c>
      <c r="AF99" s="71" t="e">
        <f>IF(VLOOKUP(A99,Dividende_je_Aktie!A$3:AM$103,18,FALSE)&lt;&gt;"",IF(VLOOKUP(A99,Ergebnis_je_Aktie_verwässert!A$3:AK$103,18,FALSE)&lt;&gt;"",IF(VLOOKUP(A99,Ergebnis_je_Aktie_verwässert!A$3:AK$103,18,FALSE)&lt;=0,2,IF(VLOOKUP(A99,Dividende_je_Aktie!A$3:AM$103,18,FALSE)/VLOOKUP(A99,Ergebnis_je_Aktie_verwässert!A$3:AK$103,18,FALSE)&gt;=2,2,VLOOKUP(A99,Dividende_je_Aktie!A$3:AM$103,18,FALSE)/VLOOKUP(A99,Ergebnis_je_Aktie_verwässert!A$3:AK$103,18,FALSE))),""),"")</f>
        <v>#N/A</v>
      </c>
      <c r="AG99" s="105" t="e">
        <f t="shared" si="15"/>
        <v>#N/A</v>
      </c>
      <c r="AH99" s="4">
        <f t="shared" ca="1" si="16"/>
        <v>41899</v>
      </c>
      <c r="AI99" s="4">
        <f t="shared" ca="1" si="17"/>
        <v>-41539</v>
      </c>
      <c r="AJ99" s="4" t="e">
        <f t="shared" ca="1" si="18"/>
        <v>#NUM!</v>
      </c>
      <c r="AK99" s="10" t="e">
        <f t="shared" ca="1" si="19"/>
        <v>#N/A</v>
      </c>
      <c r="AL99" s="5" t="e">
        <f t="shared" si="20"/>
        <v>#N/A</v>
      </c>
    </row>
    <row r="100" spans="3:38">
      <c r="C100" s="60"/>
      <c r="D100" s="60"/>
      <c r="E100" s="60"/>
      <c r="F100" s="71" t="e">
        <f>IF(VLOOKUP(A100,Dividende_je_Aktie!A$3:AM$103,6,FALSE)&lt;&gt;"",IF(VLOOKUP(A100,Ergebnis_je_Aktie_verwässert!A$3:AK$103,6,FALSE)&lt;&gt;"",IF(VLOOKUP(A100,Ergebnis_je_Aktie_verwässert!A$3:AK$103,6,FALSE)&lt;=0,2,IF(VLOOKUP(A100,Dividende_je_Aktie!A$3:AM$103,6,FALSE)/VLOOKUP(A100,Ergebnis_je_Aktie_verwässert!A$3:AK$103,6,FALSE)&gt;=2,2,VLOOKUP(A100,Dividende_je_Aktie!A$3:AM$103,6,FALSE)/VLOOKUP(A100,Ergebnis_je_Aktie_verwässert!A$3:AK$103,6,FALSE))),""),"")</f>
        <v>#N/A</v>
      </c>
      <c r="G100" s="71" t="e">
        <f>IF(VLOOKUP(A100,Dividende_je_Aktie!A$3:AM$103,7,FALSE)&lt;&gt;"",IF(VLOOKUP(A100,Ergebnis_je_Aktie_verwässert!A$3:AK$103,7,FALSE)&lt;&gt;"",IF(VLOOKUP(A100,Ergebnis_je_Aktie_verwässert!A$3:AK$103,7,FALSE)&lt;=0,2,IF(VLOOKUP(A100,Dividende_je_Aktie!A$3:AM$103,7,FALSE)/VLOOKUP(A100,Ergebnis_je_Aktie_verwässert!A$3:AK$103,7,FALSE)&gt;=2,2,VLOOKUP(A100,Dividende_je_Aktie!A$3:AM$103,7,FALSE)/VLOOKUP(A100,Ergebnis_je_Aktie_verwässert!A$3:AK$103,7,FALSE))),""),"")</f>
        <v>#N/A</v>
      </c>
      <c r="H100" s="71" t="e">
        <f>IF(VLOOKUP(A100,Fiktive_Dividende!A$3:AM$103,14,FALSE)&lt;&gt;"",IF(VLOOKUP(A100,Ergebnis_je_Aktie_verwässert!A$3:AK$103,8,FALSE)&lt;&gt;"",IF(VLOOKUP(A100,Ergebnis_je_Aktie_verwässert!A$3:AK$103,8,FALSE)&lt;=0,2,IF(VLOOKUP(A100,Fiktive_Dividende!A$3:AM$103,14,FALSE)/VLOOKUP(A100,Ergebnis_je_Aktie_verwässert!A$3:AK$103,8,FALSE)&gt;=2,2,VLOOKUP(A100,Fiktive_Dividende!A$3:AM$103,14,FALSE)/VLOOKUP(A100,Ergebnis_je_Aktie_verwässert!A$3:AK$103,8,FALSE))),""),"")</f>
        <v>#N/A</v>
      </c>
      <c r="I100" s="71" t="e">
        <f>IF(VLOOKUP(A100,Fiktive_Dividende!A$3:AM$103,15,FALSE)&lt;&gt;"",IF(VLOOKUP(A100,Ergebnis_je_Aktie_verwässert!A$3:AK$103,9,FALSE)&lt;&gt;"",IF(VLOOKUP(A100,Ergebnis_je_Aktie_verwässert!A$3:AK$103,9,FALSE)&lt;=0,2,IF(VLOOKUP(A100,Fiktive_Dividende!A$3:AM$103,15,FALSE)/VLOOKUP(A100,Ergebnis_je_Aktie_verwässert!A$3:AK$103,9,FALSE)&gt;=2,2,VLOOKUP(A100,Fiktive_Dividende!A$3:AM$103,15,FALSE)/VLOOKUP(A100,Ergebnis_je_Aktie_verwässert!A$3:AK$103,9,FALSE))),""),"")</f>
        <v>#N/A</v>
      </c>
      <c r="J100" s="71" t="e">
        <f>IF(VLOOKUP(A100,Fiktive_Dividende!A$3:AM$103,16,FALSE)&lt;&gt;"",IF(VLOOKUP(A100,Ergebnis_je_Aktie_verwässert!A$3:AK$103,10,FALSE)&lt;&gt;"",IF(VLOOKUP(A100,Ergebnis_je_Aktie_verwässert!A$3:AK$103,10,FALSE)&lt;=0,2,IF(VLOOKUP(A100,Fiktive_Dividende!A$3:AM$103,16,FALSE)/VLOOKUP(A100,Ergebnis_je_Aktie_verwässert!A$3:AK$103,10,FALSE)&gt;=2,2,VLOOKUP(A100,Fiktive_Dividende!A$3:AM$103,16,FALSE)/VLOOKUP(A100,Ergebnis_je_Aktie_verwässert!A$3:AK$103,10,FALSE))),""),"")</f>
        <v>#N/A</v>
      </c>
      <c r="K100" s="71" t="e">
        <f>IF(VLOOKUP(A100,Fiktive_Dividende!A$3:AM$103,17,FALSE)&lt;&gt;"",IF(VLOOKUP(A100,Ergebnis_je_Aktie_verwässert!A$3:AK$103,11,FALSE)&lt;&gt;"",IF(VLOOKUP(A100,Ergebnis_je_Aktie_verwässert!A$3:AK$103,11,FALSE)&lt;=0,2,IF(VLOOKUP(A100,Fiktive_Dividende!A$3:AM$103,17,FALSE)/VLOOKUP(A100,Ergebnis_je_Aktie_verwässert!A$3:AK$103,11,FALSE)&gt;=2,2,VLOOKUP(A100,Fiktive_Dividende!A$3:AM$103,17,FALSE)/VLOOKUP(A100,Ergebnis_je_Aktie_verwässert!A$3:AK$103,11,FALSE))),""),"")</f>
        <v>#N/A</v>
      </c>
      <c r="L100" s="71" t="e">
        <f>IF(VLOOKUP(A100,Fiktive_Dividende!A$3:AM$103,18,FALSE)&lt;&gt;"",IF(VLOOKUP(A100,Ergebnis_je_Aktie_verwässert!A$3:AK$103,12,FALSE)&lt;&gt;"",IF(VLOOKUP(A100,Ergebnis_je_Aktie_verwässert!A$3:AK$103,12,FALSE)&lt;=0,2,IF(VLOOKUP(A100,Fiktive_Dividende!A$3:AM$103,18,FALSE)/VLOOKUP(A100,Ergebnis_je_Aktie_verwässert!A$3:AK$103,12,FALSE)&gt;=2,2,VLOOKUP(A100,Fiktive_Dividende!A$3:AM$103,18,FALSE)/VLOOKUP(A100,Ergebnis_je_Aktie_verwässert!A$3:AK$103,12,FALSE))),""),"")</f>
        <v>#N/A</v>
      </c>
      <c r="M100" s="71" t="e">
        <f>IF(VLOOKUP(A100,Fiktive_Dividende!A$3:AM$103,19,FALSE)&lt;&gt;"",IF(VLOOKUP(A100,Ergebnis_je_Aktie_verwässert!A$3:AK$103,13,FALSE)&lt;&gt;"",IF(VLOOKUP(A100,Ergebnis_je_Aktie_verwässert!A$3:AK$103,13,FALSE)&lt;=0,2,IF(VLOOKUP(A100,Fiktive_Dividende!A$3:AM$103,19,FALSE)/VLOOKUP(A100,Ergebnis_je_Aktie_verwässert!A$3:AK$103,13,FALSE)&gt;=2,2,VLOOKUP(A100,Fiktive_Dividende!A$3:AM$103,19,FALSE)/VLOOKUP(A100,Ergebnis_je_Aktie_verwässert!A$3:AK$103,13,FALSE))),""),"")</f>
        <v>#N/A</v>
      </c>
      <c r="N100" s="71" t="e">
        <f>IF(VLOOKUP(A100,Fiktive_Dividende!A$3:AM$103,20,FALSE)&lt;&gt;"",IF(VLOOKUP(A100,Ergebnis_je_Aktie_verwässert!A$3:AK$103,14,FALSE)&lt;&gt;"",IF(VLOOKUP(A100,Ergebnis_je_Aktie_verwässert!A$3:AK$103,14,FALSE)&lt;=0,2,IF(VLOOKUP(A100,Fiktive_Dividende!A$3:AM$103,20,FALSE)/VLOOKUP(A100,Ergebnis_je_Aktie_verwässert!A$3:AK$103,14,FALSE)&gt;=2,2,VLOOKUP(A100,Fiktive_Dividende!A$3:AM$103,20,FALSE)/VLOOKUP(A100,Ergebnis_je_Aktie_verwässert!A$3:AK$103,14,FALSE))),""),"")</f>
        <v>#N/A</v>
      </c>
      <c r="O100" s="71" t="e">
        <f>IF(VLOOKUP(A100,Fiktive_Dividende!A$3:AM$103,21,FALSE)&lt;&gt;"",IF(VLOOKUP(A100,Ergebnis_je_Aktie_verwässert!A$3:AK$103,15,FALSE)&lt;&gt;"",IF(VLOOKUP(A100,Ergebnis_je_Aktie_verwässert!A$3:AK$103,15,FALSE)&lt;=0,2,IF(VLOOKUP(A100,Fiktive_Dividende!A$3:AM$103,21,FALSE)/VLOOKUP(A100,Ergebnis_je_Aktie_verwässert!A$3:AK$103,15,FALSE)&gt;=2,2,VLOOKUP(A100,Fiktive_Dividende!A$3:AM$103,21,FALSE)/VLOOKUP(A100,Ergebnis_je_Aktie_verwässert!A$3:AK$103,15,FALSE))),""),"")</f>
        <v>#N/A</v>
      </c>
      <c r="P100" s="71" t="e">
        <f>IF(VLOOKUP(A100,Fiktive_Dividende!A$3:AM$103,22,FALSE)&lt;&gt;"",IF(VLOOKUP(A100,Ergebnis_je_Aktie_verwässert!A$3:AK$103,16,FALSE)&lt;&gt;"",IF(VLOOKUP(A100,Ergebnis_je_Aktie_verwässert!A$3:AK$103,16,FALSE)&lt;=0,2,IF(VLOOKUP(A100,Fiktive_Dividende!A$3:AM$103,22,FALSE)/VLOOKUP(A100,Ergebnis_je_Aktie_verwässert!A$3:AK$103,16,FALSE)&gt;=2,2,VLOOKUP(A100,Fiktive_Dividende!A$3:AM$103,22,FALSE)/VLOOKUP(A100,Ergebnis_je_Aktie_verwässert!A$3:AK$103,16,FALSE))),""),"")</f>
        <v>#N/A</v>
      </c>
      <c r="Q100" s="71" t="e">
        <f>IF(VLOOKUP(A100,Fiktive_Dividende!A$3:AM$103,23,FALSE)&lt;&gt;"",IF(VLOOKUP(A100,Ergebnis_je_Aktie_verwässert!A$3:AK$103,17,FALSE)&lt;&gt;"",IF(VLOOKUP(A100,Ergebnis_je_Aktie_verwässert!A$3:AK$103,17,FALSE)&lt;=0,2,IF(VLOOKUP(A100,Fiktive_Dividende!A$3:AM$103,23,FALSE)/VLOOKUP(A100,Ergebnis_je_Aktie_verwässert!A$3:AK$103,17,FALSE)&gt;=2,2,VLOOKUP(A100,Fiktive_Dividende!A$3:AM$103,23,FALSE)/VLOOKUP(A100,Ergebnis_je_Aktie_verwässert!A$3:AK$103,17,FALSE))),""),"")</f>
        <v>#N/A</v>
      </c>
      <c r="R100" s="71" t="e">
        <f>IF(VLOOKUP(A100,Fiktive_Dividende!A$3:AM$103,24,FALSE)&lt;&gt;"",IF(VLOOKUP(A100,Ergebnis_je_Aktie_verwässert!A$3:AK$103,18,FALSE)&lt;&gt;"",IF(VLOOKUP(A100,Ergebnis_je_Aktie_verwässert!A$3:AK$103,18,FALSE)&lt;=0,2,IF(VLOOKUP(A100,Fiktive_Dividende!A$3:AM$103,24,FALSE)/VLOOKUP(A100,Ergebnis_je_Aktie_verwässert!A$3:AK$103,18,FALSE)&gt;=2,2,VLOOKUP(A100,Fiktive_Dividende!A$3:AM$103,24,FALSE)/VLOOKUP(A100,Ergebnis_je_Aktie_verwässert!A$3:AK$103,18,FALSE))),""),"")</f>
        <v>#N/A</v>
      </c>
      <c r="S100" s="105" t="e">
        <f t="shared" ref="S100:S103" si="21">AVERAGE(F100:R100)</f>
        <v>#N/A</v>
      </c>
      <c r="T100" s="71" t="e">
        <f>IF(VLOOKUP(A100,Dividende_je_Aktie!A$3:AM$103,6,FALSE)&lt;&gt;"",IF(VLOOKUP(A100,Ergebnis_je_Aktie_verwässert!A$3:AK$103,6,FALSE)&lt;&gt;"",IF(VLOOKUP(A100,Ergebnis_je_Aktie_verwässert!A$3:AK$103,6,FALSE)&lt;=0,2,IF(VLOOKUP(A100,Dividende_je_Aktie!A$3:AM$103,6,FALSE)/VLOOKUP(A100,Ergebnis_je_Aktie_verwässert!A$3:AK$103,6,FALSE)&gt;=2,2,VLOOKUP(A100,Dividende_je_Aktie!A$3:AM$103,6,FALSE)/VLOOKUP(A100,Ergebnis_je_Aktie_verwässert!A$3:AK$103,6,FALSE))),""),"")</f>
        <v>#N/A</v>
      </c>
      <c r="U100" s="71" t="e">
        <f>IF(VLOOKUP(A100,Dividende_je_Aktie!A$3:AM$103,7,FALSE)&lt;&gt;"",IF(VLOOKUP(A100,Ergebnis_je_Aktie_verwässert!A$3:AK$103,7,FALSE)&lt;&gt;"",IF(VLOOKUP(A100,Ergebnis_je_Aktie_verwässert!A$3:AK$103,7,FALSE)&lt;=0,2,IF(VLOOKUP(A100,Dividende_je_Aktie!A$3:AM$103,7,FALSE)/VLOOKUP(A100,Ergebnis_je_Aktie_verwässert!A$3:AK$103,7,FALSE)&gt;=2,2,VLOOKUP(A100,Dividende_je_Aktie!A$3:AM$103,7,FALSE)/VLOOKUP(A100,Ergebnis_je_Aktie_verwässert!A$3:AK$103,7,FALSE))),""),"")</f>
        <v>#N/A</v>
      </c>
      <c r="V100" s="71" t="e">
        <f>IF(VLOOKUP(A100,Dividende_je_Aktie!A$3:AM$103,8,FALSE)&lt;&gt;"",IF(VLOOKUP(A100,Ergebnis_je_Aktie_verwässert!A$3:AK$103,8,FALSE)&lt;&gt;"",IF(VLOOKUP(A100,Ergebnis_je_Aktie_verwässert!A$3:AK$103,8,FALSE)&lt;=0,2,IF(VLOOKUP(A100,Dividende_je_Aktie!A$3:AM$103,8,FALSE)/VLOOKUP(A100,Ergebnis_je_Aktie_verwässert!A$3:AK$103,8,FALSE)&gt;=2,2,VLOOKUP(A100,Dividende_je_Aktie!A$3:AM$103,8,FALSE)/VLOOKUP(A100,Ergebnis_je_Aktie_verwässert!A$3:AK$103,8,FALSE))),""),"")</f>
        <v>#N/A</v>
      </c>
      <c r="W100" s="71" t="e">
        <f>IF(VLOOKUP(A100,Dividende_je_Aktie!A$3:AM$103,9,FALSE)&lt;&gt;"",IF(VLOOKUP(A100,Ergebnis_je_Aktie_verwässert!A$3:AK$103,9,FALSE)&lt;&gt;"",IF(VLOOKUP(A100,Ergebnis_je_Aktie_verwässert!A$3:AK$103,9,FALSE)&lt;=0,2,IF(VLOOKUP(A100,Dividende_je_Aktie!A$3:AM$103,9,FALSE)/VLOOKUP(A100,Ergebnis_je_Aktie_verwässert!A$3:AK$103,9,FALSE)&gt;=2,2,VLOOKUP(A100,Dividende_je_Aktie!A$3:AM$103,9,FALSE)/VLOOKUP(A100,Ergebnis_je_Aktie_verwässert!A$3:AK$103,9,FALSE))),""),"")</f>
        <v>#N/A</v>
      </c>
      <c r="X100" s="71" t="e">
        <f>IF(VLOOKUP(A100,Dividende_je_Aktie!A$3:AM$103,10,FALSE)&lt;&gt;"",IF(VLOOKUP(A100,Ergebnis_je_Aktie_verwässert!A$3:AK$103,10,FALSE)&lt;&gt;"",IF(VLOOKUP(A100,Ergebnis_je_Aktie_verwässert!A$3:AK$103,10,FALSE)&lt;=0,2,IF(VLOOKUP(A100,Dividende_je_Aktie!A$3:AM$103,10,FALSE)/VLOOKUP(A100,Ergebnis_je_Aktie_verwässert!A$3:AK$103,10,FALSE)&gt;=2,2,VLOOKUP(A100,Dividende_je_Aktie!A$3:AM$103,10,FALSE)/VLOOKUP(A100,Ergebnis_je_Aktie_verwässert!A$3:AK$103,10,FALSE))),""),"")</f>
        <v>#N/A</v>
      </c>
      <c r="Y100" s="71" t="e">
        <f>IF(VLOOKUP(A100,Dividende_je_Aktie!A$3:AM$103,11,FALSE)&lt;&gt;"",IF(VLOOKUP(A100,Ergebnis_je_Aktie_verwässert!A$3:AK$103,11,FALSE)&lt;&gt;"",IF(VLOOKUP(A100,Ergebnis_je_Aktie_verwässert!A$3:AK$103,11,FALSE)&lt;=0,2,IF(VLOOKUP(A100,Dividende_je_Aktie!A$3:AM$103,11,FALSE)/VLOOKUP(A100,Ergebnis_je_Aktie_verwässert!A$3:AK$103,11,FALSE)&gt;=2,2,VLOOKUP(A100,Dividende_je_Aktie!A$3:AM$103,11,FALSE)/VLOOKUP(A100,Ergebnis_je_Aktie_verwässert!A$3:AK$103,11,FALSE))),""),"")</f>
        <v>#N/A</v>
      </c>
      <c r="Z100" s="71" t="e">
        <f>IF(VLOOKUP(A100,Dividende_je_Aktie!A$3:AM$103,12,FALSE)&lt;&gt;"",IF(VLOOKUP(A100,Ergebnis_je_Aktie_verwässert!A$3:AK$103,12,FALSE)&lt;&gt;"",IF(VLOOKUP(A100,Ergebnis_je_Aktie_verwässert!A$3:AK$103,12,FALSE)&lt;=0,2,IF(VLOOKUP(A100,Dividende_je_Aktie!A$3:AM$103,12,FALSE)/VLOOKUP(A100,Ergebnis_je_Aktie_verwässert!A$3:AK$103,12,FALSE)&gt;=2,2,VLOOKUP(A100,Dividende_je_Aktie!A$3:AM$103,12,FALSE)/VLOOKUP(A100,Ergebnis_je_Aktie_verwässert!A$3:AK$103,12,FALSE))),""),"")</f>
        <v>#N/A</v>
      </c>
      <c r="AA100" s="71" t="e">
        <f>IF(VLOOKUP(A100,Dividende_je_Aktie!A$3:AM$103,13,FALSE)&lt;&gt;"",IF(VLOOKUP(A100,Ergebnis_je_Aktie_verwässert!A$3:AK$103,13,FALSE)&lt;&gt;"",IF(VLOOKUP(A100,Ergebnis_je_Aktie_verwässert!A$3:AK$103,13,FALSE)&lt;=0,2,IF(VLOOKUP(A100,Dividende_je_Aktie!A$3:AM$103,13,FALSE)/VLOOKUP(A100,Ergebnis_je_Aktie_verwässert!A$3:AK$103,13,FALSE)&gt;=2,2,VLOOKUP(A100,Dividende_je_Aktie!A$3:AM$103,13,FALSE)/VLOOKUP(A100,Ergebnis_je_Aktie_verwässert!A$3:AK$103,13,FALSE))),""),"")</f>
        <v>#N/A</v>
      </c>
      <c r="AB100" s="71" t="e">
        <f>IF(VLOOKUP(A100,Dividende_je_Aktie!A$3:AM$103,14,FALSE)&lt;&gt;"",IF(VLOOKUP(A100,Ergebnis_je_Aktie_verwässert!A$3:AK$103,14,FALSE)&lt;&gt;"",IF(VLOOKUP(A100,Ergebnis_je_Aktie_verwässert!A$3:AK$103,14,FALSE)&lt;=0,2,IF(VLOOKUP(A100,Dividende_je_Aktie!A$3:AM$103,14,FALSE)/VLOOKUP(A100,Ergebnis_je_Aktie_verwässert!A$3:AK$103,14,FALSE)&gt;=2,2,VLOOKUP(A100,Dividende_je_Aktie!A$3:AM$103,14,FALSE)/VLOOKUP(A100,Ergebnis_je_Aktie_verwässert!A$3:AK$103,14,FALSE))),""),"")</f>
        <v>#N/A</v>
      </c>
      <c r="AC100" s="71" t="e">
        <f>IF(VLOOKUP(A100,Dividende_je_Aktie!A$3:AM$103,15,FALSE)&lt;&gt;"",IF(VLOOKUP(A100,Ergebnis_je_Aktie_verwässert!A$3:AK$103,15,FALSE)&lt;&gt;"",IF(VLOOKUP(A100,Ergebnis_je_Aktie_verwässert!A$3:AK$103,15,FALSE)&lt;=0,2,IF(VLOOKUP(A100,Dividende_je_Aktie!A$3:AM$103,15,FALSE)/VLOOKUP(A100,Ergebnis_je_Aktie_verwässert!A$3:AK$103,15,FALSE)&gt;=2,2,VLOOKUP(A100,Dividende_je_Aktie!A$3:AM$103,15,FALSE)/VLOOKUP(A100,Ergebnis_je_Aktie_verwässert!A$3:AK$103,15,FALSE))),""),"")</f>
        <v>#N/A</v>
      </c>
      <c r="AD100" s="71" t="e">
        <f>IF(VLOOKUP(A100,Dividende_je_Aktie!A$3:AM$103,16,FALSE)&lt;&gt;"",IF(VLOOKUP(A100,Ergebnis_je_Aktie_verwässert!A$3:AK$103,16,FALSE)&lt;&gt;"",IF(VLOOKUP(A100,Ergebnis_je_Aktie_verwässert!A$3:AK$103,16,FALSE)&lt;=0,2,IF(VLOOKUP(A100,Dividende_je_Aktie!A$3:AM$103,16,FALSE)/VLOOKUP(A100,Ergebnis_je_Aktie_verwässert!A$3:AK$103,16,FALSE)&gt;=2,2,VLOOKUP(A100,Dividende_je_Aktie!A$3:AM$103,16,FALSE)/VLOOKUP(A100,Ergebnis_je_Aktie_verwässert!A$3:AK$103,16,FALSE))),""),"")</f>
        <v>#N/A</v>
      </c>
      <c r="AE100" s="71" t="e">
        <f>IF(VLOOKUP(A100,Dividende_je_Aktie!A$3:AM$103,17,FALSE)&lt;&gt;"",IF(VLOOKUP(A100,Ergebnis_je_Aktie_verwässert!A$3:AK$103,17,FALSE)&lt;&gt;"",IF(VLOOKUP(A100,Ergebnis_je_Aktie_verwässert!A$3:AK$103,17,FALSE)&lt;=0,2,IF(VLOOKUP(A100,Dividende_je_Aktie!A$3:AM$103,17,FALSE)/VLOOKUP(A100,Ergebnis_je_Aktie_verwässert!A$3:AK$103,17,FALSE)&gt;=2,2,VLOOKUP(A100,Dividende_je_Aktie!A$3:AM$103,17,FALSE)/VLOOKUP(A100,Ergebnis_je_Aktie_verwässert!A$3:AK$103,17,FALSE))),""),"")</f>
        <v>#N/A</v>
      </c>
      <c r="AF100" s="71" t="e">
        <f>IF(VLOOKUP(A100,Dividende_je_Aktie!A$3:AM$103,18,FALSE)&lt;&gt;"",IF(VLOOKUP(A100,Ergebnis_je_Aktie_verwässert!A$3:AK$103,18,FALSE)&lt;&gt;"",IF(VLOOKUP(A100,Ergebnis_je_Aktie_verwässert!A$3:AK$103,18,FALSE)&lt;=0,2,IF(VLOOKUP(A100,Dividende_je_Aktie!A$3:AM$103,18,FALSE)/VLOOKUP(A100,Ergebnis_je_Aktie_verwässert!A$3:AK$103,18,FALSE)&gt;=2,2,VLOOKUP(A100,Dividende_je_Aktie!A$3:AM$103,18,FALSE)/VLOOKUP(A100,Ergebnis_je_Aktie_verwässert!A$3:AK$103,18,FALSE))),""),"")</f>
        <v>#N/A</v>
      </c>
      <c r="AG100" s="105" t="e">
        <f t="shared" ref="AG100:AG103" si="22">AVERAGE(T100:AF100)</f>
        <v>#N/A</v>
      </c>
      <c r="AH100" s="4">
        <f t="shared" ref="AH100:AH103" ca="1" si="23">IF(DAYS360(TODAY(),DATE(E100+2,D100,C100))&gt;=720,0,360-AI100)</f>
        <v>41899</v>
      </c>
      <c r="AI100" s="4">
        <f t="shared" ref="AI100:AI103" ca="1" si="24">IF(DAYS360(TODAY(),DATE(E100+1,D100,C100))&lt;=360,DAYS360(TODAY(),DATE(E100+1,D100,C100)),360-AJ100)</f>
        <v>-41539</v>
      </c>
      <c r="AJ100" s="4" t="e">
        <f t="shared" ca="1" si="18"/>
        <v>#NUM!</v>
      </c>
      <c r="AK100" s="10" t="e">
        <f t="shared" ref="AK100:AK103" ca="1" si="25">IF(AH100&gt;0,(T100/360*AH100)+(U100/360*AI100)+(V100/360*AJ100),(U100/360*AI100)+(V100/360*AJ100))</f>
        <v>#N/A</v>
      </c>
      <c r="AL100" s="5" t="e">
        <f t="shared" ref="AL100:AL103" si="26">IF(AG100=0,0,(AK100/AG100)-1)</f>
        <v>#N/A</v>
      </c>
    </row>
    <row r="101" spans="3:38">
      <c r="C101" s="60"/>
      <c r="D101" s="60"/>
      <c r="E101" s="60"/>
      <c r="F101" s="71" t="e">
        <f>IF(VLOOKUP(A101,Dividende_je_Aktie!A$3:AM$103,6,FALSE)&lt;&gt;"",IF(VLOOKUP(A101,Ergebnis_je_Aktie_verwässert!A$3:AK$103,6,FALSE)&lt;&gt;"",IF(VLOOKUP(A101,Ergebnis_je_Aktie_verwässert!A$3:AK$103,6,FALSE)&lt;=0,2,IF(VLOOKUP(A101,Dividende_je_Aktie!A$3:AM$103,6,FALSE)/VLOOKUP(A101,Ergebnis_je_Aktie_verwässert!A$3:AK$103,6,FALSE)&gt;=2,2,VLOOKUP(A101,Dividende_je_Aktie!A$3:AM$103,6,FALSE)/VLOOKUP(A101,Ergebnis_je_Aktie_verwässert!A$3:AK$103,6,FALSE))),""),"")</f>
        <v>#N/A</v>
      </c>
      <c r="G101" s="71" t="e">
        <f>IF(VLOOKUP(A101,Dividende_je_Aktie!A$3:AM$103,7,FALSE)&lt;&gt;"",IF(VLOOKUP(A101,Ergebnis_je_Aktie_verwässert!A$3:AK$103,7,FALSE)&lt;&gt;"",IF(VLOOKUP(A101,Ergebnis_je_Aktie_verwässert!A$3:AK$103,7,FALSE)&lt;=0,2,IF(VLOOKUP(A101,Dividende_je_Aktie!A$3:AM$103,7,FALSE)/VLOOKUP(A101,Ergebnis_je_Aktie_verwässert!A$3:AK$103,7,FALSE)&gt;=2,2,VLOOKUP(A101,Dividende_je_Aktie!A$3:AM$103,7,FALSE)/VLOOKUP(A101,Ergebnis_je_Aktie_verwässert!A$3:AK$103,7,FALSE))),""),"")</f>
        <v>#N/A</v>
      </c>
      <c r="H101" s="71" t="e">
        <f>IF(VLOOKUP(A101,Fiktive_Dividende!A$3:AM$103,14,FALSE)&lt;&gt;"",IF(VLOOKUP(A101,Ergebnis_je_Aktie_verwässert!A$3:AK$103,8,FALSE)&lt;&gt;"",IF(VLOOKUP(A101,Ergebnis_je_Aktie_verwässert!A$3:AK$103,8,FALSE)&lt;=0,2,IF(VLOOKUP(A101,Fiktive_Dividende!A$3:AM$103,14,FALSE)/VLOOKUP(A101,Ergebnis_je_Aktie_verwässert!A$3:AK$103,8,FALSE)&gt;=2,2,VLOOKUP(A101,Fiktive_Dividende!A$3:AM$103,14,FALSE)/VLOOKUP(A101,Ergebnis_je_Aktie_verwässert!A$3:AK$103,8,FALSE))),""),"")</f>
        <v>#N/A</v>
      </c>
      <c r="I101" s="71" t="e">
        <f>IF(VLOOKUP(A101,Fiktive_Dividende!A$3:AM$103,15,FALSE)&lt;&gt;"",IF(VLOOKUP(A101,Ergebnis_je_Aktie_verwässert!A$3:AK$103,9,FALSE)&lt;&gt;"",IF(VLOOKUP(A101,Ergebnis_je_Aktie_verwässert!A$3:AK$103,9,FALSE)&lt;=0,2,IF(VLOOKUP(A101,Fiktive_Dividende!A$3:AM$103,15,FALSE)/VLOOKUP(A101,Ergebnis_je_Aktie_verwässert!A$3:AK$103,9,FALSE)&gt;=2,2,VLOOKUP(A101,Fiktive_Dividende!A$3:AM$103,15,FALSE)/VLOOKUP(A101,Ergebnis_je_Aktie_verwässert!A$3:AK$103,9,FALSE))),""),"")</f>
        <v>#N/A</v>
      </c>
      <c r="J101" s="71" t="e">
        <f>IF(VLOOKUP(A101,Fiktive_Dividende!A$3:AM$103,16,FALSE)&lt;&gt;"",IF(VLOOKUP(A101,Ergebnis_je_Aktie_verwässert!A$3:AK$103,10,FALSE)&lt;&gt;"",IF(VLOOKUP(A101,Ergebnis_je_Aktie_verwässert!A$3:AK$103,10,FALSE)&lt;=0,2,IF(VLOOKUP(A101,Fiktive_Dividende!A$3:AM$103,16,FALSE)/VLOOKUP(A101,Ergebnis_je_Aktie_verwässert!A$3:AK$103,10,FALSE)&gt;=2,2,VLOOKUP(A101,Fiktive_Dividende!A$3:AM$103,16,FALSE)/VLOOKUP(A101,Ergebnis_je_Aktie_verwässert!A$3:AK$103,10,FALSE))),""),"")</f>
        <v>#N/A</v>
      </c>
      <c r="K101" s="71" t="e">
        <f>IF(VLOOKUP(A101,Fiktive_Dividende!A$3:AM$103,17,FALSE)&lt;&gt;"",IF(VLOOKUP(A101,Ergebnis_je_Aktie_verwässert!A$3:AK$103,11,FALSE)&lt;&gt;"",IF(VLOOKUP(A101,Ergebnis_je_Aktie_verwässert!A$3:AK$103,11,FALSE)&lt;=0,2,IF(VLOOKUP(A101,Fiktive_Dividende!A$3:AM$103,17,FALSE)/VLOOKUP(A101,Ergebnis_je_Aktie_verwässert!A$3:AK$103,11,FALSE)&gt;=2,2,VLOOKUP(A101,Fiktive_Dividende!A$3:AM$103,17,FALSE)/VLOOKUP(A101,Ergebnis_je_Aktie_verwässert!A$3:AK$103,11,FALSE))),""),"")</f>
        <v>#N/A</v>
      </c>
      <c r="L101" s="71" t="e">
        <f>IF(VLOOKUP(A101,Fiktive_Dividende!A$3:AM$103,18,FALSE)&lt;&gt;"",IF(VLOOKUP(A101,Ergebnis_je_Aktie_verwässert!A$3:AK$103,12,FALSE)&lt;&gt;"",IF(VLOOKUP(A101,Ergebnis_je_Aktie_verwässert!A$3:AK$103,12,FALSE)&lt;=0,2,IF(VLOOKUP(A101,Fiktive_Dividende!A$3:AM$103,18,FALSE)/VLOOKUP(A101,Ergebnis_je_Aktie_verwässert!A$3:AK$103,12,FALSE)&gt;=2,2,VLOOKUP(A101,Fiktive_Dividende!A$3:AM$103,18,FALSE)/VLOOKUP(A101,Ergebnis_je_Aktie_verwässert!A$3:AK$103,12,FALSE))),""),"")</f>
        <v>#N/A</v>
      </c>
      <c r="M101" s="71" t="e">
        <f>IF(VLOOKUP(A101,Fiktive_Dividende!A$3:AM$103,19,FALSE)&lt;&gt;"",IF(VLOOKUP(A101,Ergebnis_je_Aktie_verwässert!A$3:AK$103,13,FALSE)&lt;&gt;"",IF(VLOOKUP(A101,Ergebnis_je_Aktie_verwässert!A$3:AK$103,13,FALSE)&lt;=0,2,IF(VLOOKUP(A101,Fiktive_Dividende!A$3:AM$103,19,FALSE)/VLOOKUP(A101,Ergebnis_je_Aktie_verwässert!A$3:AK$103,13,FALSE)&gt;=2,2,VLOOKUP(A101,Fiktive_Dividende!A$3:AM$103,19,FALSE)/VLOOKUP(A101,Ergebnis_je_Aktie_verwässert!A$3:AK$103,13,FALSE))),""),"")</f>
        <v>#N/A</v>
      </c>
      <c r="N101" s="71" t="e">
        <f>IF(VLOOKUP(A101,Fiktive_Dividende!A$3:AM$103,20,FALSE)&lt;&gt;"",IF(VLOOKUP(A101,Ergebnis_je_Aktie_verwässert!A$3:AK$103,14,FALSE)&lt;&gt;"",IF(VLOOKUP(A101,Ergebnis_je_Aktie_verwässert!A$3:AK$103,14,FALSE)&lt;=0,2,IF(VLOOKUP(A101,Fiktive_Dividende!A$3:AM$103,20,FALSE)/VLOOKUP(A101,Ergebnis_je_Aktie_verwässert!A$3:AK$103,14,FALSE)&gt;=2,2,VLOOKUP(A101,Fiktive_Dividende!A$3:AM$103,20,FALSE)/VLOOKUP(A101,Ergebnis_je_Aktie_verwässert!A$3:AK$103,14,FALSE))),""),"")</f>
        <v>#N/A</v>
      </c>
      <c r="O101" s="71" t="e">
        <f>IF(VLOOKUP(A101,Fiktive_Dividende!A$3:AM$103,21,FALSE)&lt;&gt;"",IF(VLOOKUP(A101,Ergebnis_je_Aktie_verwässert!A$3:AK$103,15,FALSE)&lt;&gt;"",IF(VLOOKUP(A101,Ergebnis_je_Aktie_verwässert!A$3:AK$103,15,FALSE)&lt;=0,2,IF(VLOOKUP(A101,Fiktive_Dividende!A$3:AM$103,21,FALSE)/VLOOKUP(A101,Ergebnis_je_Aktie_verwässert!A$3:AK$103,15,FALSE)&gt;=2,2,VLOOKUP(A101,Fiktive_Dividende!A$3:AM$103,21,FALSE)/VLOOKUP(A101,Ergebnis_je_Aktie_verwässert!A$3:AK$103,15,FALSE))),""),"")</f>
        <v>#N/A</v>
      </c>
      <c r="P101" s="71" t="e">
        <f>IF(VLOOKUP(A101,Fiktive_Dividende!A$3:AM$103,22,FALSE)&lt;&gt;"",IF(VLOOKUP(A101,Ergebnis_je_Aktie_verwässert!A$3:AK$103,16,FALSE)&lt;&gt;"",IF(VLOOKUP(A101,Ergebnis_je_Aktie_verwässert!A$3:AK$103,16,FALSE)&lt;=0,2,IF(VLOOKUP(A101,Fiktive_Dividende!A$3:AM$103,22,FALSE)/VLOOKUP(A101,Ergebnis_je_Aktie_verwässert!A$3:AK$103,16,FALSE)&gt;=2,2,VLOOKUP(A101,Fiktive_Dividende!A$3:AM$103,22,FALSE)/VLOOKUP(A101,Ergebnis_je_Aktie_verwässert!A$3:AK$103,16,FALSE))),""),"")</f>
        <v>#N/A</v>
      </c>
      <c r="Q101" s="71" t="e">
        <f>IF(VLOOKUP(A101,Fiktive_Dividende!A$3:AM$103,23,FALSE)&lt;&gt;"",IF(VLOOKUP(A101,Ergebnis_je_Aktie_verwässert!A$3:AK$103,17,FALSE)&lt;&gt;"",IF(VLOOKUP(A101,Ergebnis_je_Aktie_verwässert!A$3:AK$103,17,FALSE)&lt;=0,2,IF(VLOOKUP(A101,Fiktive_Dividende!A$3:AM$103,23,FALSE)/VLOOKUP(A101,Ergebnis_je_Aktie_verwässert!A$3:AK$103,17,FALSE)&gt;=2,2,VLOOKUP(A101,Fiktive_Dividende!A$3:AM$103,23,FALSE)/VLOOKUP(A101,Ergebnis_je_Aktie_verwässert!A$3:AK$103,17,FALSE))),""),"")</f>
        <v>#N/A</v>
      </c>
      <c r="R101" s="71" t="e">
        <f>IF(VLOOKUP(A101,Fiktive_Dividende!A$3:AM$103,24,FALSE)&lt;&gt;"",IF(VLOOKUP(A101,Ergebnis_je_Aktie_verwässert!A$3:AK$103,18,FALSE)&lt;&gt;"",IF(VLOOKUP(A101,Ergebnis_je_Aktie_verwässert!A$3:AK$103,18,FALSE)&lt;=0,2,IF(VLOOKUP(A101,Fiktive_Dividende!A$3:AM$103,24,FALSE)/VLOOKUP(A101,Ergebnis_je_Aktie_verwässert!A$3:AK$103,18,FALSE)&gt;=2,2,VLOOKUP(A101,Fiktive_Dividende!A$3:AM$103,24,FALSE)/VLOOKUP(A101,Ergebnis_je_Aktie_verwässert!A$3:AK$103,18,FALSE))),""),"")</f>
        <v>#N/A</v>
      </c>
      <c r="S101" s="105" t="e">
        <f t="shared" si="21"/>
        <v>#N/A</v>
      </c>
      <c r="T101" s="71" t="e">
        <f>IF(VLOOKUP(A101,Dividende_je_Aktie!A$3:AM$103,6,FALSE)&lt;&gt;"",IF(VLOOKUP(A101,Ergebnis_je_Aktie_verwässert!A$3:AK$103,6,FALSE)&lt;&gt;"",IF(VLOOKUP(A101,Ergebnis_je_Aktie_verwässert!A$3:AK$103,6,FALSE)&lt;=0,2,IF(VLOOKUP(A101,Dividende_je_Aktie!A$3:AM$103,6,FALSE)/VLOOKUP(A101,Ergebnis_je_Aktie_verwässert!A$3:AK$103,6,FALSE)&gt;=2,2,VLOOKUP(A101,Dividende_je_Aktie!A$3:AM$103,6,FALSE)/VLOOKUP(A101,Ergebnis_je_Aktie_verwässert!A$3:AK$103,6,FALSE))),""),"")</f>
        <v>#N/A</v>
      </c>
      <c r="U101" s="71" t="e">
        <f>IF(VLOOKUP(A101,Dividende_je_Aktie!A$3:AM$103,7,FALSE)&lt;&gt;"",IF(VLOOKUP(A101,Ergebnis_je_Aktie_verwässert!A$3:AK$103,7,FALSE)&lt;&gt;"",IF(VLOOKUP(A101,Ergebnis_je_Aktie_verwässert!A$3:AK$103,7,FALSE)&lt;=0,2,IF(VLOOKUP(A101,Dividende_je_Aktie!A$3:AM$103,7,FALSE)/VLOOKUP(A101,Ergebnis_je_Aktie_verwässert!A$3:AK$103,7,FALSE)&gt;=2,2,VLOOKUP(A101,Dividende_je_Aktie!A$3:AM$103,7,FALSE)/VLOOKUP(A101,Ergebnis_je_Aktie_verwässert!A$3:AK$103,7,FALSE))),""),"")</f>
        <v>#N/A</v>
      </c>
      <c r="V101" s="71" t="e">
        <f>IF(VLOOKUP(A101,Dividende_je_Aktie!A$3:AM$103,8,FALSE)&lt;&gt;"",IF(VLOOKUP(A101,Ergebnis_je_Aktie_verwässert!A$3:AK$103,8,FALSE)&lt;&gt;"",IF(VLOOKUP(A101,Ergebnis_je_Aktie_verwässert!A$3:AK$103,8,FALSE)&lt;=0,2,IF(VLOOKUP(A101,Dividende_je_Aktie!A$3:AM$103,8,FALSE)/VLOOKUP(A101,Ergebnis_je_Aktie_verwässert!A$3:AK$103,8,FALSE)&gt;=2,2,VLOOKUP(A101,Dividende_je_Aktie!A$3:AM$103,8,FALSE)/VLOOKUP(A101,Ergebnis_je_Aktie_verwässert!A$3:AK$103,8,FALSE))),""),"")</f>
        <v>#N/A</v>
      </c>
      <c r="W101" s="71" t="e">
        <f>IF(VLOOKUP(A101,Dividende_je_Aktie!A$3:AM$103,9,FALSE)&lt;&gt;"",IF(VLOOKUP(A101,Ergebnis_je_Aktie_verwässert!A$3:AK$103,9,FALSE)&lt;&gt;"",IF(VLOOKUP(A101,Ergebnis_je_Aktie_verwässert!A$3:AK$103,9,FALSE)&lt;=0,2,IF(VLOOKUP(A101,Dividende_je_Aktie!A$3:AM$103,9,FALSE)/VLOOKUP(A101,Ergebnis_je_Aktie_verwässert!A$3:AK$103,9,FALSE)&gt;=2,2,VLOOKUP(A101,Dividende_je_Aktie!A$3:AM$103,9,FALSE)/VLOOKUP(A101,Ergebnis_je_Aktie_verwässert!A$3:AK$103,9,FALSE))),""),"")</f>
        <v>#N/A</v>
      </c>
      <c r="X101" s="71" t="e">
        <f>IF(VLOOKUP(A101,Dividende_je_Aktie!A$3:AM$103,10,FALSE)&lt;&gt;"",IF(VLOOKUP(A101,Ergebnis_je_Aktie_verwässert!A$3:AK$103,10,FALSE)&lt;&gt;"",IF(VLOOKUP(A101,Ergebnis_je_Aktie_verwässert!A$3:AK$103,10,FALSE)&lt;=0,2,IF(VLOOKUP(A101,Dividende_je_Aktie!A$3:AM$103,10,FALSE)/VLOOKUP(A101,Ergebnis_je_Aktie_verwässert!A$3:AK$103,10,FALSE)&gt;=2,2,VLOOKUP(A101,Dividende_je_Aktie!A$3:AM$103,10,FALSE)/VLOOKUP(A101,Ergebnis_je_Aktie_verwässert!A$3:AK$103,10,FALSE))),""),"")</f>
        <v>#N/A</v>
      </c>
      <c r="Y101" s="71" t="e">
        <f>IF(VLOOKUP(A101,Dividende_je_Aktie!A$3:AM$103,11,FALSE)&lt;&gt;"",IF(VLOOKUP(A101,Ergebnis_je_Aktie_verwässert!A$3:AK$103,11,FALSE)&lt;&gt;"",IF(VLOOKUP(A101,Ergebnis_je_Aktie_verwässert!A$3:AK$103,11,FALSE)&lt;=0,2,IF(VLOOKUP(A101,Dividende_je_Aktie!A$3:AM$103,11,FALSE)/VLOOKUP(A101,Ergebnis_je_Aktie_verwässert!A$3:AK$103,11,FALSE)&gt;=2,2,VLOOKUP(A101,Dividende_je_Aktie!A$3:AM$103,11,FALSE)/VLOOKUP(A101,Ergebnis_je_Aktie_verwässert!A$3:AK$103,11,FALSE))),""),"")</f>
        <v>#N/A</v>
      </c>
      <c r="Z101" s="71" t="e">
        <f>IF(VLOOKUP(A101,Dividende_je_Aktie!A$3:AM$103,12,FALSE)&lt;&gt;"",IF(VLOOKUP(A101,Ergebnis_je_Aktie_verwässert!A$3:AK$103,12,FALSE)&lt;&gt;"",IF(VLOOKUP(A101,Ergebnis_je_Aktie_verwässert!A$3:AK$103,12,FALSE)&lt;=0,2,IF(VLOOKUP(A101,Dividende_je_Aktie!A$3:AM$103,12,FALSE)/VLOOKUP(A101,Ergebnis_je_Aktie_verwässert!A$3:AK$103,12,FALSE)&gt;=2,2,VLOOKUP(A101,Dividende_je_Aktie!A$3:AM$103,12,FALSE)/VLOOKUP(A101,Ergebnis_je_Aktie_verwässert!A$3:AK$103,12,FALSE))),""),"")</f>
        <v>#N/A</v>
      </c>
      <c r="AA101" s="71" t="e">
        <f>IF(VLOOKUP(A101,Dividende_je_Aktie!A$3:AM$103,13,FALSE)&lt;&gt;"",IF(VLOOKUP(A101,Ergebnis_je_Aktie_verwässert!A$3:AK$103,13,FALSE)&lt;&gt;"",IF(VLOOKUP(A101,Ergebnis_je_Aktie_verwässert!A$3:AK$103,13,FALSE)&lt;=0,2,IF(VLOOKUP(A101,Dividende_je_Aktie!A$3:AM$103,13,FALSE)/VLOOKUP(A101,Ergebnis_je_Aktie_verwässert!A$3:AK$103,13,FALSE)&gt;=2,2,VLOOKUP(A101,Dividende_je_Aktie!A$3:AM$103,13,FALSE)/VLOOKUP(A101,Ergebnis_je_Aktie_verwässert!A$3:AK$103,13,FALSE))),""),"")</f>
        <v>#N/A</v>
      </c>
      <c r="AB101" s="71" t="e">
        <f>IF(VLOOKUP(A101,Dividende_je_Aktie!A$3:AM$103,14,FALSE)&lt;&gt;"",IF(VLOOKUP(A101,Ergebnis_je_Aktie_verwässert!A$3:AK$103,14,FALSE)&lt;&gt;"",IF(VLOOKUP(A101,Ergebnis_je_Aktie_verwässert!A$3:AK$103,14,FALSE)&lt;=0,2,IF(VLOOKUP(A101,Dividende_je_Aktie!A$3:AM$103,14,FALSE)/VLOOKUP(A101,Ergebnis_je_Aktie_verwässert!A$3:AK$103,14,FALSE)&gt;=2,2,VLOOKUP(A101,Dividende_je_Aktie!A$3:AM$103,14,FALSE)/VLOOKUP(A101,Ergebnis_je_Aktie_verwässert!A$3:AK$103,14,FALSE))),""),"")</f>
        <v>#N/A</v>
      </c>
      <c r="AC101" s="71" t="e">
        <f>IF(VLOOKUP(A101,Dividende_je_Aktie!A$3:AM$103,15,FALSE)&lt;&gt;"",IF(VLOOKUP(A101,Ergebnis_je_Aktie_verwässert!A$3:AK$103,15,FALSE)&lt;&gt;"",IF(VLOOKUP(A101,Ergebnis_je_Aktie_verwässert!A$3:AK$103,15,FALSE)&lt;=0,2,IF(VLOOKUP(A101,Dividende_je_Aktie!A$3:AM$103,15,FALSE)/VLOOKUP(A101,Ergebnis_je_Aktie_verwässert!A$3:AK$103,15,FALSE)&gt;=2,2,VLOOKUP(A101,Dividende_je_Aktie!A$3:AM$103,15,FALSE)/VLOOKUP(A101,Ergebnis_je_Aktie_verwässert!A$3:AK$103,15,FALSE))),""),"")</f>
        <v>#N/A</v>
      </c>
      <c r="AD101" s="71" t="e">
        <f>IF(VLOOKUP(A101,Dividende_je_Aktie!A$3:AM$103,16,FALSE)&lt;&gt;"",IF(VLOOKUP(A101,Ergebnis_je_Aktie_verwässert!A$3:AK$103,16,FALSE)&lt;&gt;"",IF(VLOOKUP(A101,Ergebnis_je_Aktie_verwässert!A$3:AK$103,16,FALSE)&lt;=0,2,IF(VLOOKUP(A101,Dividende_je_Aktie!A$3:AM$103,16,FALSE)/VLOOKUP(A101,Ergebnis_je_Aktie_verwässert!A$3:AK$103,16,FALSE)&gt;=2,2,VLOOKUP(A101,Dividende_je_Aktie!A$3:AM$103,16,FALSE)/VLOOKUP(A101,Ergebnis_je_Aktie_verwässert!A$3:AK$103,16,FALSE))),""),"")</f>
        <v>#N/A</v>
      </c>
      <c r="AE101" s="71" t="e">
        <f>IF(VLOOKUP(A101,Dividende_je_Aktie!A$3:AM$103,17,FALSE)&lt;&gt;"",IF(VLOOKUP(A101,Ergebnis_je_Aktie_verwässert!A$3:AK$103,17,FALSE)&lt;&gt;"",IF(VLOOKUP(A101,Ergebnis_je_Aktie_verwässert!A$3:AK$103,17,FALSE)&lt;=0,2,IF(VLOOKUP(A101,Dividende_je_Aktie!A$3:AM$103,17,FALSE)/VLOOKUP(A101,Ergebnis_je_Aktie_verwässert!A$3:AK$103,17,FALSE)&gt;=2,2,VLOOKUP(A101,Dividende_je_Aktie!A$3:AM$103,17,FALSE)/VLOOKUP(A101,Ergebnis_je_Aktie_verwässert!A$3:AK$103,17,FALSE))),""),"")</f>
        <v>#N/A</v>
      </c>
      <c r="AF101" s="71" t="e">
        <f>IF(VLOOKUP(A101,Dividende_je_Aktie!A$3:AM$103,18,FALSE)&lt;&gt;"",IF(VLOOKUP(A101,Ergebnis_je_Aktie_verwässert!A$3:AK$103,18,FALSE)&lt;&gt;"",IF(VLOOKUP(A101,Ergebnis_je_Aktie_verwässert!A$3:AK$103,18,FALSE)&lt;=0,2,IF(VLOOKUP(A101,Dividende_je_Aktie!A$3:AM$103,18,FALSE)/VLOOKUP(A101,Ergebnis_je_Aktie_verwässert!A$3:AK$103,18,FALSE)&gt;=2,2,VLOOKUP(A101,Dividende_je_Aktie!A$3:AM$103,18,FALSE)/VLOOKUP(A101,Ergebnis_je_Aktie_verwässert!A$3:AK$103,18,FALSE))),""),"")</f>
        <v>#N/A</v>
      </c>
      <c r="AG101" s="105" t="e">
        <f t="shared" si="22"/>
        <v>#N/A</v>
      </c>
      <c r="AH101" s="4">
        <f t="shared" ca="1" si="23"/>
        <v>41899</v>
      </c>
      <c r="AI101" s="4">
        <f t="shared" ca="1" si="24"/>
        <v>-41539</v>
      </c>
      <c r="AJ101" s="4" t="e">
        <f t="shared" ca="1" si="18"/>
        <v>#NUM!</v>
      </c>
      <c r="AK101" s="10" t="e">
        <f t="shared" ca="1" si="25"/>
        <v>#N/A</v>
      </c>
      <c r="AL101" s="5" t="e">
        <f t="shared" si="26"/>
        <v>#N/A</v>
      </c>
    </row>
    <row r="102" spans="3:38">
      <c r="C102" s="60"/>
      <c r="D102" s="60"/>
      <c r="E102" s="60"/>
      <c r="F102" s="71" t="e">
        <f>IF(VLOOKUP(A102,Dividende_je_Aktie!A$3:AM$103,6,FALSE)&lt;&gt;"",IF(VLOOKUP(A102,Ergebnis_je_Aktie_verwässert!A$3:AK$103,6,FALSE)&lt;&gt;"",IF(VLOOKUP(A102,Ergebnis_je_Aktie_verwässert!A$3:AK$103,6,FALSE)&lt;=0,2,IF(VLOOKUP(A102,Dividende_je_Aktie!A$3:AM$103,6,FALSE)/VLOOKUP(A102,Ergebnis_je_Aktie_verwässert!A$3:AK$103,6,FALSE)&gt;=2,2,VLOOKUP(A102,Dividende_je_Aktie!A$3:AM$103,6,FALSE)/VLOOKUP(A102,Ergebnis_je_Aktie_verwässert!A$3:AK$103,6,FALSE))),""),"")</f>
        <v>#N/A</v>
      </c>
      <c r="G102" s="71" t="e">
        <f>IF(VLOOKUP(A102,Dividende_je_Aktie!A$3:AM$103,7,FALSE)&lt;&gt;"",IF(VLOOKUP(A102,Ergebnis_je_Aktie_verwässert!A$3:AK$103,7,FALSE)&lt;&gt;"",IF(VLOOKUP(A102,Ergebnis_je_Aktie_verwässert!A$3:AK$103,7,FALSE)&lt;=0,2,IF(VLOOKUP(A102,Dividende_je_Aktie!A$3:AM$103,7,FALSE)/VLOOKUP(A102,Ergebnis_je_Aktie_verwässert!A$3:AK$103,7,FALSE)&gt;=2,2,VLOOKUP(A102,Dividende_je_Aktie!A$3:AM$103,7,FALSE)/VLOOKUP(A102,Ergebnis_je_Aktie_verwässert!A$3:AK$103,7,FALSE))),""),"")</f>
        <v>#N/A</v>
      </c>
      <c r="H102" s="71" t="e">
        <f>IF(VLOOKUP(A102,Fiktive_Dividende!A$3:AM$103,14,FALSE)&lt;&gt;"",IF(VLOOKUP(A102,Ergebnis_je_Aktie_verwässert!A$3:AK$103,8,FALSE)&lt;&gt;"",IF(VLOOKUP(A102,Ergebnis_je_Aktie_verwässert!A$3:AK$103,8,FALSE)&lt;=0,2,IF(VLOOKUP(A102,Fiktive_Dividende!A$3:AM$103,14,FALSE)/VLOOKUP(A102,Ergebnis_je_Aktie_verwässert!A$3:AK$103,8,FALSE)&gt;=2,2,VLOOKUP(A102,Fiktive_Dividende!A$3:AM$103,14,FALSE)/VLOOKUP(A102,Ergebnis_je_Aktie_verwässert!A$3:AK$103,8,FALSE))),""),"")</f>
        <v>#N/A</v>
      </c>
      <c r="I102" s="71" t="e">
        <f>IF(VLOOKUP(A102,Fiktive_Dividende!A$3:AM$103,15,FALSE)&lt;&gt;"",IF(VLOOKUP(A102,Ergebnis_je_Aktie_verwässert!A$3:AK$103,9,FALSE)&lt;&gt;"",IF(VLOOKUP(A102,Ergebnis_je_Aktie_verwässert!A$3:AK$103,9,FALSE)&lt;=0,2,IF(VLOOKUP(A102,Fiktive_Dividende!A$3:AM$103,15,FALSE)/VLOOKUP(A102,Ergebnis_je_Aktie_verwässert!A$3:AK$103,9,FALSE)&gt;=2,2,VLOOKUP(A102,Fiktive_Dividende!A$3:AM$103,15,FALSE)/VLOOKUP(A102,Ergebnis_je_Aktie_verwässert!A$3:AK$103,9,FALSE))),""),"")</f>
        <v>#N/A</v>
      </c>
      <c r="J102" s="71" t="e">
        <f>IF(VLOOKUP(A102,Fiktive_Dividende!A$3:AM$103,16,FALSE)&lt;&gt;"",IF(VLOOKUP(A102,Ergebnis_je_Aktie_verwässert!A$3:AK$103,10,FALSE)&lt;&gt;"",IF(VLOOKUP(A102,Ergebnis_je_Aktie_verwässert!A$3:AK$103,10,FALSE)&lt;=0,2,IF(VLOOKUP(A102,Fiktive_Dividende!A$3:AM$103,16,FALSE)/VLOOKUP(A102,Ergebnis_je_Aktie_verwässert!A$3:AK$103,10,FALSE)&gt;=2,2,VLOOKUP(A102,Fiktive_Dividende!A$3:AM$103,16,FALSE)/VLOOKUP(A102,Ergebnis_je_Aktie_verwässert!A$3:AK$103,10,FALSE))),""),"")</f>
        <v>#N/A</v>
      </c>
      <c r="K102" s="71" t="e">
        <f>IF(VLOOKUP(A102,Fiktive_Dividende!A$3:AM$103,17,FALSE)&lt;&gt;"",IF(VLOOKUP(A102,Ergebnis_je_Aktie_verwässert!A$3:AK$103,11,FALSE)&lt;&gt;"",IF(VLOOKUP(A102,Ergebnis_je_Aktie_verwässert!A$3:AK$103,11,FALSE)&lt;=0,2,IF(VLOOKUP(A102,Fiktive_Dividende!A$3:AM$103,17,FALSE)/VLOOKUP(A102,Ergebnis_je_Aktie_verwässert!A$3:AK$103,11,FALSE)&gt;=2,2,VLOOKUP(A102,Fiktive_Dividende!A$3:AM$103,17,FALSE)/VLOOKUP(A102,Ergebnis_je_Aktie_verwässert!A$3:AK$103,11,FALSE))),""),"")</f>
        <v>#N/A</v>
      </c>
      <c r="L102" s="71" t="e">
        <f>IF(VLOOKUP(A102,Fiktive_Dividende!A$3:AM$103,18,FALSE)&lt;&gt;"",IF(VLOOKUP(A102,Ergebnis_je_Aktie_verwässert!A$3:AK$103,12,FALSE)&lt;&gt;"",IF(VLOOKUP(A102,Ergebnis_je_Aktie_verwässert!A$3:AK$103,12,FALSE)&lt;=0,2,IF(VLOOKUP(A102,Fiktive_Dividende!A$3:AM$103,18,FALSE)/VLOOKUP(A102,Ergebnis_je_Aktie_verwässert!A$3:AK$103,12,FALSE)&gt;=2,2,VLOOKUP(A102,Fiktive_Dividende!A$3:AM$103,18,FALSE)/VLOOKUP(A102,Ergebnis_je_Aktie_verwässert!A$3:AK$103,12,FALSE))),""),"")</f>
        <v>#N/A</v>
      </c>
      <c r="M102" s="71" t="e">
        <f>IF(VLOOKUP(A102,Fiktive_Dividende!A$3:AM$103,19,FALSE)&lt;&gt;"",IF(VLOOKUP(A102,Ergebnis_je_Aktie_verwässert!A$3:AK$103,13,FALSE)&lt;&gt;"",IF(VLOOKUP(A102,Ergebnis_je_Aktie_verwässert!A$3:AK$103,13,FALSE)&lt;=0,2,IF(VLOOKUP(A102,Fiktive_Dividende!A$3:AM$103,19,FALSE)/VLOOKUP(A102,Ergebnis_je_Aktie_verwässert!A$3:AK$103,13,FALSE)&gt;=2,2,VLOOKUP(A102,Fiktive_Dividende!A$3:AM$103,19,FALSE)/VLOOKUP(A102,Ergebnis_je_Aktie_verwässert!A$3:AK$103,13,FALSE))),""),"")</f>
        <v>#N/A</v>
      </c>
      <c r="N102" s="71" t="e">
        <f>IF(VLOOKUP(A102,Fiktive_Dividende!A$3:AM$103,20,FALSE)&lt;&gt;"",IF(VLOOKUP(A102,Ergebnis_je_Aktie_verwässert!A$3:AK$103,14,FALSE)&lt;&gt;"",IF(VLOOKUP(A102,Ergebnis_je_Aktie_verwässert!A$3:AK$103,14,FALSE)&lt;=0,2,IF(VLOOKUP(A102,Fiktive_Dividende!A$3:AM$103,20,FALSE)/VLOOKUP(A102,Ergebnis_je_Aktie_verwässert!A$3:AK$103,14,FALSE)&gt;=2,2,VLOOKUP(A102,Fiktive_Dividende!A$3:AM$103,20,FALSE)/VLOOKUP(A102,Ergebnis_je_Aktie_verwässert!A$3:AK$103,14,FALSE))),""),"")</f>
        <v>#N/A</v>
      </c>
      <c r="O102" s="71" t="e">
        <f>IF(VLOOKUP(A102,Fiktive_Dividende!A$3:AM$103,21,FALSE)&lt;&gt;"",IF(VLOOKUP(A102,Ergebnis_je_Aktie_verwässert!A$3:AK$103,15,FALSE)&lt;&gt;"",IF(VLOOKUP(A102,Ergebnis_je_Aktie_verwässert!A$3:AK$103,15,FALSE)&lt;=0,2,IF(VLOOKUP(A102,Fiktive_Dividende!A$3:AM$103,21,FALSE)/VLOOKUP(A102,Ergebnis_je_Aktie_verwässert!A$3:AK$103,15,FALSE)&gt;=2,2,VLOOKUP(A102,Fiktive_Dividende!A$3:AM$103,21,FALSE)/VLOOKUP(A102,Ergebnis_je_Aktie_verwässert!A$3:AK$103,15,FALSE))),""),"")</f>
        <v>#N/A</v>
      </c>
      <c r="P102" s="71" t="e">
        <f>IF(VLOOKUP(A102,Fiktive_Dividende!A$3:AM$103,22,FALSE)&lt;&gt;"",IF(VLOOKUP(A102,Ergebnis_je_Aktie_verwässert!A$3:AK$103,16,FALSE)&lt;&gt;"",IF(VLOOKUP(A102,Ergebnis_je_Aktie_verwässert!A$3:AK$103,16,FALSE)&lt;=0,2,IF(VLOOKUP(A102,Fiktive_Dividende!A$3:AM$103,22,FALSE)/VLOOKUP(A102,Ergebnis_je_Aktie_verwässert!A$3:AK$103,16,FALSE)&gt;=2,2,VLOOKUP(A102,Fiktive_Dividende!A$3:AM$103,22,FALSE)/VLOOKUP(A102,Ergebnis_je_Aktie_verwässert!A$3:AK$103,16,FALSE))),""),"")</f>
        <v>#N/A</v>
      </c>
      <c r="Q102" s="71" t="e">
        <f>IF(VLOOKUP(A102,Fiktive_Dividende!A$3:AM$103,23,FALSE)&lt;&gt;"",IF(VLOOKUP(A102,Ergebnis_je_Aktie_verwässert!A$3:AK$103,17,FALSE)&lt;&gt;"",IF(VLOOKUP(A102,Ergebnis_je_Aktie_verwässert!A$3:AK$103,17,FALSE)&lt;=0,2,IF(VLOOKUP(A102,Fiktive_Dividende!A$3:AM$103,23,FALSE)/VLOOKUP(A102,Ergebnis_je_Aktie_verwässert!A$3:AK$103,17,FALSE)&gt;=2,2,VLOOKUP(A102,Fiktive_Dividende!A$3:AM$103,23,FALSE)/VLOOKUP(A102,Ergebnis_je_Aktie_verwässert!A$3:AK$103,17,FALSE))),""),"")</f>
        <v>#N/A</v>
      </c>
      <c r="R102" s="71" t="e">
        <f>IF(VLOOKUP(A102,Fiktive_Dividende!A$3:AM$103,24,FALSE)&lt;&gt;"",IF(VLOOKUP(A102,Ergebnis_je_Aktie_verwässert!A$3:AK$103,18,FALSE)&lt;&gt;"",IF(VLOOKUP(A102,Ergebnis_je_Aktie_verwässert!A$3:AK$103,18,FALSE)&lt;=0,2,IF(VLOOKUP(A102,Fiktive_Dividende!A$3:AM$103,24,FALSE)/VLOOKUP(A102,Ergebnis_je_Aktie_verwässert!A$3:AK$103,18,FALSE)&gt;=2,2,VLOOKUP(A102,Fiktive_Dividende!A$3:AM$103,24,FALSE)/VLOOKUP(A102,Ergebnis_je_Aktie_verwässert!A$3:AK$103,18,FALSE))),""),"")</f>
        <v>#N/A</v>
      </c>
      <c r="S102" s="105" t="e">
        <f t="shared" si="21"/>
        <v>#N/A</v>
      </c>
      <c r="T102" s="71" t="e">
        <f>IF(VLOOKUP(A102,Dividende_je_Aktie!A$3:AM$103,6,FALSE)&lt;&gt;"",IF(VLOOKUP(A102,Ergebnis_je_Aktie_verwässert!A$3:AK$103,6,FALSE)&lt;&gt;"",IF(VLOOKUP(A102,Ergebnis_je_Aktie_verwässert!A$3:AK$103,6,FALSE)&lt;=0,2,IF(VLOOKUP(A102,Dividende_je_Aktie!A$3:AM$103,6,FALSE)/VLOOKUP(A102,Ergebnis_je_Aktie_verwässert!A$3:AK$103,6,FALSE)&gt;=2,2,VLOOKUP(A102,Dividende_je_Aktie!A$3:AM$103,6,FALSE)/VLOOKUP(A102,Ergebnis_je_Aktie_verwässert!A$3:AK$103,6,FALSE))),""),"")</f>
        <v>#N/A</v>
      </c>
      <c r="U102" s="71" t="e">
        <f>IF(VLOOKUP(A102,Dividende_je_Aktie!A$3:AM$103,7,FALSE)&lt;&gt;"",IF(VLOOKUP(A102,Ergebnis_je_Aktie_verwässert!A$3:AK$103,7,FALSE)&lt;&gt;"",IF(VLOOKUP(A102,Ergebnis_je_Aktie_verwässert!A$3:AK$103,7,FALSE)&lt;=0,2,IF(VLOOKUP(A102,Dividende_je_Aktie!A$3:AM$103,7,FALSE)/VLOOKUP(A102,Ergebnis_je_Aktie_verwässert!A$3:AK$103,7,FALSE)&gt;=2,2,VLOOKUP(A102,Dividende_je_Aktie!A$3:AM$103,7,FALSE)/VLOOKUP(A102,Ergebnis_je_Aktie_verwässert!A$3:AK$103,7,FALSE))),""),"")</f>
        <v>#N/A</v>
      </c>
      <c r="V102" s="71" t="e">
        <f>IF(VLOOKUP(A102,Dividende_je_Aktie!A$3:AM$103,8,FALSE)&lt;&gt;"",IF(VLOOKUP(A102,Ergebnis_je_Aktie_verwässert!A$3:AK$103,8,FALSE)&lt;&gt;"",IF(VLOOKUP(A102,Ergebnis_je_Aktie_verwässert!A$3:AK$103,8,FALSE)&lt;=0,2,IF(VLOOKUP(A102,Dividende_je_Aktie!A$3:AM$103,8,FALSE)/VLOOKUP(A102,Ergebnis_je_Aktie_verwässert!A$3:AK$103,8,FALSE)&gt;=2,2,VLOOKUP(A102,Dividende_je_Aktie!A$3:AM$103,8,FALSE)/VLOOKUP(A102,Ergebnis_je_Aktie_verwässert!A$3:AK$103,8,FALSE))),""),"")</f>
        <v>#N/A</v>
      </c>
      <c r="W102" s="71" t="e">
        <f>IF(VLOOKUP(A102,Dividende_je_Aktie!A$3:AM$103,9,FALSE)&lt;&gt;"",IF(VLOOKUP(A102,Ergebnis_je_Aktie_verwässert!A$3:AK$103,9,FALSE)&lt;&gt;"",IF(VLOOKUP(A102,Ergebnis_je_Aktie_verwässert!A$3:AK$103,9,FALSE)&lt;=0,2,IF(VLOOKUP(A102,Dividende_je_Aktie!A$3:AM$103,9,FALSE)/VLOOKUP(A102,Ergebnis_je_Aktie_verwässert!A$3:AK$103,9,FALSE)&gt;=2,2,VLOOKUP(A102,Dividende_je_Aktie!A$3:AM$103,9,FALSE)/VLOOKUP(A102,Ergebnis_je_Aktie_verwässert!A$3:AK$103,9,FALSE))),""),"")</f>
        <v>#N/A</v>
      </c>
      <c r="X102" s="71" t="e">
        <f>IF(VLOOKUP(A102,Dividende_je_Aktie!A$3:AM$103,10,FALSE)&lt;&gt;"",IF(VLOOKUP(A102,Ergebnis_je_Aktie_verwässert!A$3:AK$103,10,FALSE)&lt;&gt;"",IF(VLOOKUP(A102,Ergebnis_je_Aktie_verwässert!A$3:AK$103,10,FALSE)&lt;=0,2,IF(VLOOKUP(A102,Dividende_je_Aktie!A$3:AM$103,10,FALSE)/VLOOKUP(A102,Ergebnis_je_Aktie_verwässert!A$3:AK$103,10,FALSE)&gt;=2,2,VLOOKUP(A102,Dividende_je_Aktie!A$3:AM$103,10,FALSE)/VLOOKUP(A102,Ergebnis_je_Aktie_verwässert!A$3:AK$103,10,FALSE))),""),"")</f>
        <v>#N/A</v>
      </c>
      <c r="Y102" s="71" t="e">
        <f>IF(VLOOKUP(A102,Dividende_je_Aktie!A$3:AM$103,11,FALSE)&lt;&gt;"",IF(VLOOKUP(A102,Ergebnis_je_Aktie_verwässert!A$3:AK$103,11,FALSE)&lt;&gt;"",IF(VLOOKUP(A102,Ergebnis_je_Aktie_verwässert!A$3:AK$103,11,FALSE)&lt;=0,2,IF(VLOOKUP(A102,Dividende_je_Aktie!A$3:AM$103,11,FALSE)/VLOOKUP(A102,Ergebnis_je_Aktie_verwässert!A$3:AK$103,11,FALSE)&gt;=2,2,VLOOKUP(A102,Dividende_je_Aktie!A$3:AM$103,11,FALSE)/VLOOKUP(A102,Ergebnis_je_Aktie_verwässert!A$3:AK$103,11,FALSE))),""),"")</f>
        <v>#N/A</v>
      </c>
      <c r="Z102" s="71" t="e">
        <f>IF(VLOOKUP(A102,Dividende_je_Aktie!A$3:AM$103,12,FALSE)&lt;&gt;"",IF(VLOOKUP(A102,Ergebnis_je_Aktie_verwässert!A$3:AK$103,12,FALSE)&lt;&gt;"",IF(VLOOKUP(A102,Ergebnis_je_Aktie_verwässert!A$3:AK$103,12,FALSE)&lt;=0,2,IF(VLOOKUP(A102,Dividende_je_Aktie!A$3:AM$103,12,FALSE)/VLOOKUP(A102,Ergebnis_je_Aktie_verwässert!A$3:AK$103,12,FALSE)&gt;=2,2,VLOOKUP(A102,Dividende_je_Aktie!A$3:AM$103,12,FALSE)/VLOOKUP(A102,Ergebnis_je_Aktie_verwässert!A$3:AK$103,12,FALSE))),""),"")</f>
        <v>#N/A</v>
      </c>
      <c r="AA102" s="71" t="e">
        <f>IF(VLOOKUP(A102,Dividende_je_Aktie!A$3:AM$103,13,FALSE)&lt;&gt;"",IF(VLOOKUP(A102,Ergebnis_je_Aktie_verwässert!A$3:AK$103,13,FALSE)&lt;&gt;"",IF(VLOOKUP(A102,Ergebnis_je_Aktie_verwässert!A$3:AK$103,13,FALSE)&lt;=0,2,IF(VLOOKUP(A102,Dividende_je_Aktie!A$3:AM$103,13,FALSE)/VLOOKUP(A102,Ergebnis_je_Aktie_verwässert!A$3:AK$103,13,FALSE)&gt;=2,2,VLOOKUP(A102,Dividende_je_Aktie!A$3:AM$103,13,FALSE)/VLOOKUP(A102,Ergebnis_je_Aktie_verwässert!A$3:AK$103,13,FALSE))),""),"")</f>
        <v>#N/A</v>
      </c>
      <c r="AB102" s="71" t="e">
        <f>IF(VLOOKUP(A102,Dividende_je_Aktie!A$3:AM$103,14,FALSE)&lt;&gt;"",IF(VLOOKUP(A102,Ergebnis_je_Aktie_verwässert!A$3:AK$103,14,FALSE)&lt;&gt;"",IF(VLOOKUP(A102,Ergebnis_je_Aktie_verwässert!A$3:AK$103,14,FALSE)&lt;=0,2,IF(VLOOKUP(A102,Dividende_je_Aktie!A$3:AM$103,14,FALSE)/VLOOKUP(A102,Ergebnis_je_Aktie_verwässert!A$3:AK$103,14,FALSE)&gt;=2,2,VLOOKUP(A102,Dividende_je_Aktie!A$3:AM$103,14,FALSE)/VLOOKUP(A102,Ergebnis_je_Aktie_verwässert!A$3:AK$103,14,FALSE))),""),"")</f>
        <v>#N/A</v>
      </c>
      <c r="AC102" s="71" t="e">
        <f>IF(VLOOKUP(A102,Dividende_je_Aktie!A$3:AM$103,15,FALSE)&lt;&gt;"",IF(VLOOKUP(A102,Ergebnis_je_Aktie_verwässert!A$3:AK$103,15,FALSE)&lt;&gt;"",IF(VLOOKUP(A102,Ergebnis_je_Aktie_verwässert!A$3:AK$103,15,FALSE)&lt;=0,2,IF(VLOOKUP(A102,Dividende_je_Aktie!A$3:AM$103,15,FALSE)/VLOOKUP(A102,Ergebnis_je_Aktie_verwässert!A$3:AK$103,15,FALSE)&gt;=2,2,VLOOKUP(A102,Dividende_je_Aktie!A$3:AM$103,15,FALSE)/VLOOKUP(A102,Ergebnis_je_Aktie_verwässert!A$3:AK$103,15,FALSE))),""),"")</f>
        <v>#N/A</v>
      </c>
      <c r="AD102" s="71" t="e">
        <f>IF(VLOOKUP(A102,Dividende_je_Aktie!A$3:AM$103,16,FALSE)&lt;&gt;"",IF(VLOOKUP(A102,Ergebnis_je_Aktie_verwässert!A$3:AK$103,16,FALSE)&lt;&gt;"",IF(VLOOKUP(A102,Ergebnis_je_Aktie_verwässert!A$3:AK$103,16,FALSE)&lt;=0,2,IF(VLOOKUP(A102,Dividende_je_Aktie!A$3:AM$103,16,FALSE)/VLOOKUP(A102,Ergebnis_je_Aktie_verwässert!A$3:AK$103,16,FALSE)&gt;=2,2,VLOOKUP(A102,Dividende_je_Aktie!A$3:AM$103,16,FALSE)/VLOOKUP(A102,Ergebnis_je_Aktie_verwässert!A$3:AK$103,16,FALSE))),""),"")</f>
        <v>#N/A</v>
      </c>
      <c r="AE102" s="71" t="e">
        <f>IF(VLOOKUP(A102,Dividende_je_Aktie!A$3:AM$103,17,FALSE)&lt;&gt;"",IF(VLOOKUP(A102,Ergebnis_je_Aktie_verwässert!A$3:AK$103,17,FALSE)&lt;&gt;"",IF(VLOOKUP(A102,Ergebnis_je_Aktie_verwässert!A$3:AK$103,17,FALSE)&lt;=0,2,IF(VLOOKUP(A102,Dividende_je_Aktie!A$3:AM$103,17,FALSE)/VLOOKUP(A102,Ergebnis_je_Aktie_verwässert!A$3:AK$103,17,FALSE)&gt;=2,2,VLOOKUP(A102,Dividende_je_Aktie!A$3:AM$103,17,FALSE)/VLOOKUP(A102,Ergebnis_je_Aktie_verwässert!A$3:AK$103,17,FALSE))),""),"")</f>
        <v>#N/A</v>
      </c>
      <c r="AF102" s="71" t="e">
        <f>IF(VLOOKUP(A102,Dividende_je_Aktie!A$3:AM$103,18,FALSE)&lt;&gt;"",IF(VLOOKUP(A102,Ergebnis_je_Aktie_verwässert!A$3:AK$103,18,FALSE)&lt;&gt;"",IF(VLOOKUP(A102,Ergebnis_je_Aktie_verwässert!A$3:AK$103,18,FALSE)&lt;=0,2,IF(VLOOKUP(A102,Dividende_je_Aktie!A$3:AM$103,18,FALSE)/VLOOKUP(A102,Ergebnis_je_Aktie_verwässert!A$3:AK$103,18,FALSE)&gt;=2,2,VLOOKUP(A102,Dividende_je_Aktie!A$3:AM$103,18,FALSE)/VLOOKUP(A102,Ergebnis_je_Aktie_verwässert!A$3:AK$103,18,FALSE))),""),"")</f>
        <v>#N/A</v>
      </c>
      <c r="AG102" s="105" t="e">
        <f t="shared" si="22"/>
        <v>#N/A</v>
      </c>
      <c r="AH102" s="4">
        <f t="shared" ca="1" si="23"/>
        <v>41899</v>
      </c>
      <c r="AI102" s="4">
        <f t="shared" ca="1" si="24"/>
        <v>-41539</v>
      </c>
      <c r="AJ102" s="4" t="e">
        <f t="shared" ca="1" si="18"/>
        <v>#NUM!</v>
      </c>
      <c r="AK102" s="10" t="e">
        <f t="shared" ca="1" si="25"/>
        <v>#N/A</v>
      </c>
      <c r="AL102" s="5" t="e">
        <f t="shared" si="26"/>
        <v>#N/A</v>
      </c>
    </row>
    <row r="103" spans="3:38">
      <c r="C103" s="60"/>
      <c r="D103" s="60"/>
      <c r="E103" s="60"/>
      <c r="F103" s="71" t="e">
        <f>IF(VLOOKUP(A103,Dividende_je_Aktie!A$3:AM$103,6,FALSE)&lt;&gt;"",IF(VLOOKUP(A103,Ergebnis_je_Aktie_verwässert!A$3:AK$103,6,FALSE)&lt;&gt;"",IF(VLOOKUP(A103,Ergebnis_je_Aktie_verwässert!A$3:AK$103,6,FALSE)&lt;=0,2,IF(VLOOKUP(A103,Dividende_je_Aktie!A$3:AM$103,6,FALSE)/VLOOKUP(A103,Ergebnis_je_Aktie_verwässert!A$3:AK$103,6,FALSE)&gt;=2,2,VLOOKUP(A103,Dividende_je_Aktie!A$3:AM$103,6,FALSE)/VLOOKUP(A103,Ergebnis_je_Aktie_verwässert!A$3:AK$103,6,FALSE))),""),"")</f>
        <v>#N/A</v>
      </c>
      <c r="G103" s="71" t="e">
        <f>IF(VLOOKUP(A103,Dividende_je_Aktie!A$3:AM$103,7,FALSE)&lt;&gt;"",IF(VLOOKUP(A103,Ergebnis_je_Aktie_verwässert!A$3:AK$103,7,FALSE)&lt;&gt;"",IF(VLOOKUP(A103,Ergebnis_je_Aktie_verwässert!A$3:AK$103,7,FALSE)&lt;=0,2,IF(VLOOKUP(A103,Dividende_je_Aktie!A$3:AM$103,7,FALSE)/VLOOKUP(A103,Ergebnis_je_Aktie_verwässert!A$3:AK$103,7,FALSE)&gt;=2,2,VLOOKUP(A103,Dividende_je_Aktie!A$3:AM$103,7,FALSE)/VLOOKUP(A103,Ergebnis_je_Aktie_verwässert!A$3:AK$103,7,FALSE))),""),"")</f>
        <v>#N/A</v>
      </c>
      <c r="H103" s="71" t="e">
        <f>IF(VLOOKUP(A103,Fiktive_Dividende!A$3:AM$103,14,FALSE)&lt;&gt;"",IF(VLOOKUP(A103,Ergebnis_je_Aktie_verwässert!A$3:AK$103,8,FALSE)&lt;&gt;"",IF(VLOOKUP(A103,Ergebnis_je_Aktie_verwässert!A$3:AK$103,8,FALSE)&lt;=0,2,IF(VLOOKUP(A103,Fiktive_Dividende!A$3:AM$103,14,FALSE)/VLOOKUP(A103,Ergebnis_je_Aktie_verwässert!A$3:AK$103,8,FALSE)&gt;=2,2,VLOOKUP(A103,Fiktive_Dividende!A$3:AM$103,14,FALSE)/VLOOKUP(A103,Ergebnis_je_Aktie_verwässert!A$3:AK$103,8,FALSE))),""),"")</f>
        <v>#N/A</v>
      </c>
      <c r="I103" s="71" t="e">
        <f>IF(VLOOKUP(A103,Fiktive_Dividende!A$3:AM$103,15,FALSE)&lt;&gt;"",IF(VLOOKUP(A103,Ergebnis_je_Aktie_verwässert!A$3:AK$103,9,FALSE)&lt;&gt;"",IF(VLOOKUP(A103,Ergebnis_je_Aktie_verwässert!A$3:AK$103,9,FALSE)&lt;=0,2,IF(VLOOKUP(A103,Fiktive_Dividende!A$3:AM$103,15,FALSE)/VLOOKUP(A103,Ergebnis_je_Aktie_verwässert!A$3:AK$103,9,FALSE)&gt;=2,2,VLOOKUP(A103,Fiktive_Dividende!A$3:AM$103,15,FALSE)/VLOOKUP(A103,Ergebnis_je_Aktie_verwässert!A$3:AK$103,9,FALSE))),""),"")</f>
        <v>#N/A</v>
      </c>
      <c r="J103" s="71" t="e">
        <f>IF(VLOOKUP(A103,Fiktive_Dividende!A$3:AM$103,16,FALSE)&lt;&gt;"",IF(VLOOKUP(A103,Ergebnis_je_Aktie_verwässert!A$3:AK$103,10,FALSE)&lt;&gt;"",IF(VLOOKUP(A103,Ergebnis_je_Aktie_verwässert!A$3:AK$103,10,FALSE)&lt;=0,2,IF(VLOOKUP(A103,Fiktive_Dividende!A$3:AM$103,16,FALSE)/VLOOKUP(A103,Ergebnis_je_Aktie_verwässert!A$3:AK$103,10,FALSE)&gt;=2,2,VLOOKUP(A103,Fiktive_Dividende!A$3:AM$103,16,FALSE)/VLOOKUP(A103,Ergebnis_je_Aktie_verwässert!A$3:AK$103,10,FALSE))),""),"")</f>
        <v>#N/A</v>
      </c>
      <c r="K103" s="71" t="e">
        <f>IF(VLOOKUP(A103,Fiktive_Dividende!A$3:AM$103,17,FALSE)&lt;&gt;"",IF(VLOOKUP(A103,Ergebnis_je_Aktie_verwässert!A$3:AK$103,11,FALSE)&lt;&gt;"",IF(VLOOKUP(A103,Ergebnis_je_Aktie_verwässert!A$3:AK$103,11,FALSE)&lt;=0,2,IF(VLOOKUP(A103,Fiktive_Dividende!A$3:AM$103,17,FALSE)/VLOOKUP(A103,Ergebnis_je_Aktie_verwässert!A$3:AK$103,11,FALSE)&gt;=2,2,VLOOKUP(A103,Fiktive_Dividende!A$3:AM$103,17,FALSE)/VLOOKUP(A103,Ergebnis_je_Aktie_verwässert!A$3:AK$103,11,FALSE))),""),"")</f>
        <v>#N/A</v>
      </c>
      <c r="L103" s="71" t="e">
        <f>IF(VLOOKUP(A103,Fiktive_Dividende!A$3:AM$103,18,FALSE)&lt;&gt;"",IF(VLOOKUP(A103,Ergebnis_je_Aktie_verwässert!A$3:AK$103,12,FALSE)&lt;&gt;"",IF(VLOOKUP(A103,Ergebnis_je_Aktie_verwässert!A$3:AK$103,12,FALSE)&lt;=0,2,IF(VLOOKUP(A103,Fiktive_Dividende!A$3:AM$103,18,FALSE)/VLOOKUP(A103,Ergebnis_je_Aktie_verwässert!A$3:AK$103,12,FALSE)&gt;=2,2,VLOOKUP(A103,Fiktive_Dividende!A$3:AM$103,18,FALSE)/VLOOKUP(A103,Ergebnis_je_Aktie_verwässert!A$3:AK$103,12,FALSE))),""),"")</f>
        <v>#N/A</v>
      </c>
      <c r="M103" s="71" t="e">
        <f>IF(VLOOKUP(A103,Fiktive_Dividende!A$3:AM$103,19,FALSE)&lt;&gt;"",IF(VLOOKUP(A103,Ergebnis_je_Aktie_verwässert!A$3:AK$103,13,FALSE)&lt;&gt;"",IF(VLOOKUP(A103,Ergebnis_je_Aktie_verwässert!A$3:AK$103,13,FALSE)&lt;=0,2,IF(VLOOKUP(A103,Fiktive_Dividende!A$3:AM$103,19,FALSE)/VLOOKUP(A103,Ergebnis_je_Aktie_verwässert!A$3:AK$103,13,FALSE)&gt;=2,2,VLOOKUP(A103,Fiktive_Dividende!A$3:AM$103,19,FALSE)/VLOOKUP(A103,Ergebnis_je_Aktie_verwässert!A$3:AK$103,13,FALSE))),""),"")</f>
        <v>#N/A</v>
      </c>
      <c r="N103" s="71" t="e">
        <f>IF(VLOOKUP(A103,Fiktive_Dividende!A$3:AM$103,20,FALSE)&lt;&gt;"",IF(VLOOKUP(A103,Ergebnis_je_Aktie_verwässert!A$3:AK$103,14,FALSE)&lt;&gt;"",IF(VLOOKUP(A103,Ergebnis_je_Aktie_verwässert!A$3:AK$103,14,FALSE)&lt;=0,2,IF(VLOOKUP(A103,Fiktive_Dividende!A$3:AM$103,20,FALSE)/VLOOKUP(A103,Ergebnis_je_Aktie_verwässert!A$3:AK$103,14,FALSE)&gt;=2,2,VLOOKUP(A103,Fiktive_Dividende!A$3:AM$103,20,FALSE)/VLOOKUP(A103,Ergebnis_je_Aktie_verwässert!A$3:AK$103,14,FALSE))),""),"")</f>
        <v>#N/A</v>
      </c>
      <c r="O103" s="71" t="e">
        <f>IF(VLOOKUP(A103,Fiktive_Dividende!A$3:AM$103,21,FALSE)&lt;&gt;"",IF(VLOOKUP(A103,Ergebnis_je_Aktie_verwässert!A$3:AK$103,15,FALSE)&lt;&gt;"",IF(VLOOKUP(A103,Ergebnis_je_Aktie_verwässert!A$3:AK$103,15,FALSE)&lt;=0,2,IF(VLOOKUP(A103,Fiktive_Dividende!A$3:AM$103,21,FALSE)/VLOOKUP(A103,Ergebnis_je_Aktie_verwässert!A$3:AK$103,15,FALSE)&gt;=2,2,VLOOKUP(A103,Fiktive_Dividende!A$3:AM$103,21,FALSE)/VLOOKUP(A103,Ergebnis_je_Aktie_verwässert!A$3:AK$103,15,FALSE))),""),"")</f>
        <v>#N/A</v>
      </c>
      <c r="P103" s="71" t="e">
        <f>IF(VLOOKUP(A103,Fiktive_Dividende!A$3:AM$103,22,FALSE)&lt;&gt;"",IF(VLOOKUP(A103,Ergebnis_je_Aktie_verwässert!A$3:AK$103,16,FALSE)&lt;&gt;"",IF(VLOOKUP(A103,Ergebnis_je_Aktie_verwässert!A$3:AK$103,16,FALSE)&lt;=0,2,IF(VLOOKUP(A103,Fiktive_Dividende!A$3:AM$103,22,FALSE)/VLOOKUP(A103,Ergebnis_je_Aktie_verwässert!A$3:AK$103,16,FALSE)&gt;=2,2,VLOOKUP(A103,Fiktive_Dividende!A$3:AM$103,22,FALSE)/VLOOKUP(A103,Ergebnis_je_Aktie_verwässert!A$3:AK$103,16,FALSE))),""),"")</f>
        <v>#N/A</v>
      </c>
      <c r="Q103" s="71" t="e">
        <f>IF(VLOOKUP(A103,Fiktive_Dividende!A$3:AM$103,23,FALSE)&lt;&gt;"",IF(VLOOKUP(A103,Ergebnis_je_Aktie_verwässert!A$3:AK$103,17,FALSE)&lt;&gt;"",IF(VLOOKUP(A103,Ergebnis_je_Aktie_verwässert!A$3:AK$103,17,FALSE)&lt;=0,2,IF(VLOOKUP(A103,Fiktive_Dividende!A$3:AM$103,23,FALSE)/VLOOKUP(A103,Ergebnis_je_Aktie_verwässert!A$3:AK$103,17,FALSE)&gt;=2,2,VLOOKUP(A103,Fiktive_Dividende!A$3:AM$103,23,FALSE)/VLOOKUP(A103,Ergebnis_je_Aktie_verwässert!A$3:AK$103,17,FALSE))),""),"")</f>
        <v>#N/A</v>
      </c>
      <c r="R103" s="71" t="e">
        <f>IF(VLOOKUP(A103,Fiktive_Dividende!A$3:AM$103,24,FALSE)&lt;&gt;"",IF(VLOOKUP(A103,Ergebnis_je_Aktie_verwässert!A$3:AK$103,18,FALSE)&lt;&gt;"",IF(VLOOKUP(A103,Ergebnis_je_Aktie_verwässert!A$3:AK$103,18,FALSE)&lt;=0,2,IF(VLOOKUP(A103,Fiktive_Dividende!A$3:AM$103,24,FALSE)/VLOOKUP(A103,Ergebnis_je_Aktie_verwässert!A$3:AK$103,18,FALSE)&gt;=2,2,VLOOKUP(A103,Fiktive_Dividende!A$3:AM$103,24,FALSE)/VLOOKUP(A103,Ergebnis_je_Aktie_verwässert!A$3:AK$103,18,FALSE))),""),"")</f>
        <v>#N/A</v>
      </c>
      <c r="S103" s="105" t="e">
        <f t="shared" si="21"/>
        <v>#N/A</v>
      </c>
      <c r="T103" s="71" t="e">
        <f>IF(VLOOKUP(A103,Dividende_je_Aktie!A$3:AM$103,6,FALSE)&lt;&gt;"",IF(VLOOKUP(A103,Ergebnis_je_Aktie_verwässert!A$3:AK$103,6,FALSE)&lt;&gt;"",IF(VLOOKUP(A103,Ergebnis_je_Aktie_verwässert!A$3:AK$103,6,FALSE)&lt;=0,2,IF(VLOOKUP(A103,Dividende_je_Aktie!A$3:AM$103,6,FALSE)/VLOOKUP(A103,Ergebnis_je_Aktie_verwässert!A$3:AK$103,6,FALSE)&gt;=2,2,VLOOKUP(A103,Dividende_je_Aktie!A$3:AM$103,6,FALSE)/VLOOKUP(A103,Ergebnis_je_Aktie_verwässert!A$3:AK$103,6,FALSE))),""),"")</f>
        <v>#N/A</v>
      </c>
      <c r="U103" s="71" t="e">
        <f>IF(VLOOKUP(A103,Dividende_je_Aktie!A$3:AM$103,7,FALSE)&lt;&gt;"",IF(VLOOKUP(A103,Ergebnis_je_Aktie_verwässert!A$3:AK$103,7,FALSE)&lt;&gt;"",IF(VLOOKUP(A103,Ergebnis_je_Aktie_verwässert!A$3:AK$103,7,FALSE)&lt;=0,2,IF(VLOOKUP(A103,Dividende_je_Aktie!A$3:AM$103,7,FALSE)/VLOOKUP(A103,Ergebnis_je_Aktie_verwässert!A$3:AK$103,7,FALSE)&gt;=2,2,VLOOKUP(A103,Dividende_je_Aktie!A$3:AM$103,7,FALSE)/VLOOKUP(A103,Ergebnis_je_Aktie_verwässert!A$3:AK$103,7,FALSE))),""),"")</f>
        <v>#N/A</v>
      </c>
      <c r="V103" s="71" t="e">
        <f>IF(VLOOKUP(A103,Dividende_je_Aktie!A$3:AM$103,8,FALSE)&lt;&gt;"",IF(VLOOKUP(A103,Ergebnis_je_Aktie_verwässert!A$3:AK$103,8,FALSE)&lt;&gt;"",IF(VLOOKUP(A103,Ergebnis_je_Aktie_verwässert!A$3:AK$103,8,FALSE)&lt;=0,2,IF(VLOOKUP(A103,Dividende_je_Aktie!A$3:AM$103,8,FALSE)/VLOOKUP(A103,Ergebnis_je_Aktie_verwässert!A$3:AK$103,8,FALSE)&gt;=2,2,VLOOKUP(A103,Dividende_je_Aktie!A$3:AM$103,8,FALSE)/VLOOKUP(A103,Ergebnis_je_Aktie_verwässert!A$3:AK$103,8,FALSE))),""),"")</f>
        <v>#N/A</v>
      </c>
      <c r="W103" s="71" t="e">
        <f>IF(VLOOKUP(A103,Dividende_je_Aktie!A$3:AM$103,9,FALSE)&lt;&gt;"",IF(VLOOKUP(A103,Ergebnis_je_Aktie_verwässert!A$3:AK$103,9,FALSE)&lt;&gt;"",IF(VLOOKUP(A103,Ergebnis_je_Aktie_verwässert!A$3:AK$103,9,FALSE)&lt;=0,2,IF(VLOOKUP(A103,Dividende_je_Aktie!A$3:AM$103,9,FALSE)/VLOOKUP(A103,Ergebnis_je_Aktie_verwässert!A$3:AK$103,9,FALSE)&gt;=2,2,VLOOKUP(A103,Dividende_je_Aktie!A$3:AM$103,9,FALSE)/VLOOKUP(A103,Ergebnis_je_Aktie_verwässert!A$3:AK$103,9,FALSE))),""),"")</f>
        <v>#N/A</v>
      </c>
      <c r="X103" s="71" t="e">
        <f>IF(VLOOKUP(A103,Dividende_je_Aktie!A$3:AM$103,10,FALSE)&lt;&gt;"",IF(VLOOKUP(A103,Ergebnis_je_Aktie_verwässert!A$3:AK$103,10,FALSE)&lt;&gt;"",IF(VLOOKUP(A103,Ergebnis_je_Aktie_verwässert!A$3:AK$103,10,FALSE)&lt;=0,2,IF(VLOOKUP(A103,Dividende_je_Aktie!A$3:AM$103,10,FALSE)/VLOOKUP(A103,Ergebnis_je_Aktie_verwässert!A$3:AK$103,10,FALSE)&gt;=2,2,VLOOKUP(A103,Dividende_je_Aktie!A$3:AM$103,10,FALSE)/VLOOKUP(A103,Ergebnis_je_Aktie_verwässert!A$3:AK$103,10,FALSE))),""),"")</f>
        <v>#N/A</v>
      </c>
      <c r="Y103" s="71" t="e">
        <f>IF(VLOOKUP(A103,Dividende_je_Aktie!A$3:AM$103,11,FALSE)&lt;&gt;"",IF(VLOOKUP(A103,Ergebnis_je_Aktie_verwässert!A$3:AK$103,11,FALSE)&lt;&gt;"",IF(VLOOKUP(A103,Ergebnis_je_Aktie_verwässert!A$3:AK$103,11,FALSE)&lt;=0,2,IF(VLOOKUP(A103,Dividende_je_Aktie!A$3:AM$103,11,FALSE)/VLOOKUP(A103,Ergebnis_je_Aktie_verwässert!A$3:AK$103,11,FALSE)&gt;=2,2,VLOOKUP(A103,Dividende_je_Aktie!A$3:AM$103,11,FALSE)/VLOOKUP(A103,Ergebnis_je_Aktie_verwässert!A$3:AK$103,11,FALSE))),""),"")</f>
        <v>#N/A</v>
      </c>
      <c r="Z103" s="71" t="e">
        <f>IF(VLOOKUP(A103,Dividende_je_Aktie!A$3:AM$103,12,FALSE)&lt;&gt;"",IF(VLOOKUP(A103,Ergebnis_je_Aktie_verwässert!A$3:AK$103,12,FALSE)&lt;&gt;"",IF(VLOOKUP(A103,Ergebnis_je_Aktie_verwässert!A$3:AK$103,12,FALSE)&lt;=0,2,IF(VLOOKUP(A103,Dividende_je_Aktie!A$3:AM$103,12,FALSE)/VLOOKUP(A103,Ergebnis_je_Aktie_verwässert!A$3:AK$103,12,FALSE)&gt;=2,2,VLOOKUP(A103,Dividende_je_Aktie!A$3:AM$103,12,FALSE)/VLOOKUP(A103,Ergebnis_je_Aktie_verwässert!A$3:AK$103,12,FALSE))),""),"")</f>
        <v>#N/A</v>
      </c>
      <c r="AA103" s="71" t="e">
        <f>IF(VLOOKUP(A103,Dividende_je_Aktie!A$3:AM$103,13,FALSE)&lt;&gt;"",IF(VLOOKUP(A103,Ergebnis_je_Aktie_verwässert!A$3:AK$103,13,FALSE)&lt;&gt;"",IF(VLOOKUP(A103,Ergebnis_je_Aktie_verwässert!A$3:AK$103,13,FALSE)&lt;=0,2,IF(VLOOKUP(A103,Dividende_je_Aktie!A$3:AM$103,13,FALSE)/VLOOKUP(A103,Ergebnis_je_Aktie_verwässert!A$3:AK$103,13,FALSE)&gt;=2,2,VLOOKUP(A103,Dividende_je_Aktie!A$3:AM$103,13,FALSE)/VLOOKUP(A103,Ergebnis_je_Aktie_verwässert!A$3:AK$103,13,FALSE))),""),"")</f>
        <v>#N/A</v>
      </c>
      <c r="AB103" s="71" t="e">
        <f>IF(VLOOKUP(A103,Dividende_je_Aktie!A$3:AM$103,14,FALSE)&lt;&gt;"",IF(VLOOKUP(A103,Ergebnis_je_Aktie_verwässert!A$3:AK$103,14,FALSE)&lt;&gt;"",IF(VLOOKUP(A103,Ergebnis_je_Aktie_verwässert!A$3:AK$103,14,FALSE)&lt;=0,2,IF(VLOOKUP(A103,Dividende_je_Aktie!A$3:AM$103,14,FALSE)/VLOOKUP(A103,Ergebnis_je_Aktie_verwässert!A$3:AK$103,14,FALSE)&gt;=2,2,VLOOKUP(A103,Dividende_je_Aktie!A$3:AM$103,14,FALSE)/VLOOKUP(A103,Ergebnis_je_Aktie_verwässert!A$3:AK$103,14,FALSE))),""),"")</f>
        <v>#N/A</v>
      </c>
      <c r="AC103" s="71" t="e">
        <f>IF(VLOOKUP(A103,Dividende_je_Aktie!A$3:AM$103,15,FALSE)&lt;&gt;"",IF(VLOOKUP(A103,Ergebnis_je_Aktie_verwässert!A$3:AK$103,15,FALSE)&lt;&gt;"",IF(VLOOKUP(A103,Ergebnis_je_Aktie_verwässert!A$3:AK$103,15,FALSE)&lt;=0,2,IF(VLOOKUP(A103,Dividende_je_Aktie!A$3:AM$103,15,FALSE)/VLOOKUP(A103,Ergebnis_je_Aktie_verwässert!A$3:AK$103,15,FALSE)&gt;=2,2,VLOOKUP(A103,Dividende_je_Aktie!A$3:AM$103,15,FALSE)/VLOOKUP(A103,Ergebnis_je_Aktie_verwässert!A$3:AK$103,15,FALSE))),""),"")</f>
        <v>#N/A</v>
      </c>
      <c r="AD103" s="71" t="e">
        <f>IF(VLOOKUP(A103,Dividende_je_Aktie!A$3:AM$103,16,FALSE)&lt;&gt;"",IF(VLOOKUP(A103,Ergebnis_je_Aktie_verwässert!A$3:AK$103,16,FALSE)&lt;&gt;"",IF(VLOOKUP(A103,Ergebnis_je_Aktie_verwässert!A$3:AK$103,16,FALSE)&lt;=0,2,IF(VLOOKUP(A103,Dividende_je_Aktie!A$3:AM$103,16,FALSE)/VLOOKUP(A103,Ergebnis_je_Aktie_verwässert!A$3:AK$103,16,FALSE)&gt;=2,2,VLOOKUP(A103,Dividende_je_Aktie!A$3:AM$103,16,FALSE)/VLOOKUP(A103,Ergebnis_je_Aktie_verwässert!A$3:AK$103,16,FALSE))),""),"")</f>
        <v>#N/A</v>
      </c>
      <c r="AE103" s="71" t="e">
        <f>IF(VLOOKUP(A103,Dividende_je_Aktie!A$3:AM$103,17,FALSE)&lt;&gt;"",IF(VLOOKUP(A103,Ergebnis_je_Aktie_verwässert!A$3:AK$103,17,FALSE)&lt;&gt;"",IF(VLOOKUP(A103,Ergebnis_je_Aktie_verwässert!A$3:AK$103,17,FALSE)&lt;=0,2,IF(VLOOKUP(A103,Dividende_je_Aktie!A$3:AM$103,17,FALSE)/VLOOKUP(A103,Ergebnis_je_Aktie_verwässert!A$3:AK$103,17,FALSE)&gt;=2,2,VLOOKUP(A103,Dividende_je_Aktie!A$3:AM$103,17,FALSE)/VLOOKUP(A103,Ergebnis_je_Aktie_verwässert!A$3:AK$103,17,FALSE))),""),"")</f>
        <v>#N/A</v>
      </c>
      <c r="AF103" s="71" t="e">
        <f>IF(VLOOKUP(A103,Dividende_je_Aktie!A$3:AM$103,18,FALSE)&lt;&gt;"",IF(VLOOKUP(A103,Ergebnis_je_Aktie_verwässert!A$3:AK$103,18,FALSE)&lt;&gt;"",IF(VLOOKUP(A103,Ergebnis_je_Aktie_verwässert!A$3:AK$103,18,FALSE)&lt;=0,2,IF(VLOOKUP(A103,Dividende_je_Aktie!A$3:AM$103,18,FALSE)/VLOOKUP(A103,Ergebnis_je_Aktie_verwässert!A$3:AK$103,18,FALSE)&gt;=2,2,VLOOKUP(A103,Dividende_je_Aktie!A$3:AM$103,18,FALSE)/VLOOKUP(A103,Ergebnis_je_Aktie_verwässert!A$3:AK$103,18,FALSE))),""),"")</f>
        <v>#N/A</v>
      </c>
      <c r="AG103" s="105" t="e">
        <f t="shared" si="22"/>
        <v>#N/A</v>
      </c>
      <c r="AH103" s="4">
        <f t="shared" ca="1" si="23"/>
        <v>41899</v>
      </c>
      <c r="AI103" s="4">
        <f t="shared" ca="1" si="24"/>
        <v>-41539</v>
      </c>
      <c r="AJ103" s="4" t="e">
        <f t="shared" ca="1" si="18"/>
        <v>#NUM!</v>
      </c>
      <c r="AK103" s="10" t="e">
        <f t="shared" ca="1" si="25"/>
        <v>#N/A</v>
      </c>
      <c r="AL103" s="5" t="e">
        <f t="shared" si="26"/>
        <v>#N/A</v>
      </c>
    </row>
  </sheetData>
  <autoFilter ref="A3:AL3">
    <sortState ref="A4:AL103">
      <sortCondition ref="B3"/>
    </sortState>
  </autoFilter>
  <mergeCells count="4">
    <mergeCell ref="AH1:AJ1"/>
    <mergeCell ref="C2:E2"/>
    <mergeCell ref="F1:S1"/>
    <mergeCell ref="T1:AG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9"/>
  <sheetViews>
    <sheetView workbookViewId="0">
      <selection activeCell="K7" sqref="K7"/>
    </sheetView>
  </sheetViews>
  <sheetFormatPr baseColWidth="10" defaultRowHeight="15"/>
  <cols>
    <col min="1" max="1" width="10.7109375" customWidth="1"/>
    <col min="2" max="3" width="20.7109375" customWidth="1"/>
    <col min="4" max="4" width="5.7109375" customWidth="1"/>
    <col min="5" max="5" width="10.7109375" customWidth="1"/>
    <col min="6" max="7" width="20.7109375" customWidth="1"/>
    <col min="8" max="8" width="5.7109375" customWidth="1"/>
    <col min="9" max="9" width="10.7109375" customWidth="1"/>
    <col min="10" max="11" width="20.7109375" customWidth="1"/>
  </cols>
  <sheetData>
    <row r="1" spans="1:11">
      <c r="A1" s="110" t="s">
        <v>127</v>
      </c>
      <c r="B1" s="110"/>
    </row>
    <row r="2" spans="1:11" ht="15" customHeight="1">
      <c r="A2" s="1" t="s">
        <v>125</v>
      </c>
      <c r="B2" s="1" t="s">
        <v>126</v>
      </c>
      <c r="E2" s="107" t="s">
        <v>310</v>
      </c>
      <c r="F2" s="107"/>
      <c r="G2" s="107"/>
      <c r="H2" s="107"/>
      <c r="I2" s="107"/>
      <c r="J2" s="99"/>
      <c r="K2" s="99"/>
    </row>
    <row r="3" spans="1:11">
      <c r="A3" s="17">
        <v>0.5</v>
      </c>
      <c r="B3" s="17">
        <v>120</v>
      </c>
      <c r="D3" s="98"/>
      <c r="E3" s="115" t="s">
        <v>311</v>
      </c>
      <c r="F3" s="115"/>
      <c r="G3" s="115"/>
      <c r="H3" s="115"/>
      <c r="I3" s="115"/>
      <c r="J3" s="98"/>
      <c r="K3" s="98"/>
    </row>
    <row r="4" spans="1:11">
      <c r="A4" s="20">
        <v>120.5</v>
      </c>
      <c r="B4" s="20">
        <v>150</v>
      </c>
      <c r="D4" s="99"/>
      <c r="E4" s="99"/>
      <c r="F4" s="99"/>
      <c r="G4" s="99"/>
      <c r="H4" s="99"/>
      <c r="I4" s="99"/>
      <c r="J4" s="99"/>
      <c r="K4" s="99"/>
    </row>
    <row r="5" spans="1:11">
      <c r="A5" s="23">
        <v>150.5</v>
      </c>
      <c r="B5" s="23">
        <v>180</v>
      </c>
      <c r="D5" s="98"/>
      <c r="E5" s="107" t="s">
        <v>317</v>
      </c>
      <c r="F5" s="107"/>
      <c r="G5" s="107"/>
      <c r="H5" s="107"/>
      <c r="I5" s="107"/>
      <c r="J5" s="98"/>
      <c r="K5" s="98"/>
    </row>
    <row r="6" spans="1:11" ht="15" customHeight="1">
      <c r="A6" s="28">
        <v>180.5</v>
      </c>
      <c r="B6" s="28">
        <v>210</v>
      </c>
      <c r="C6" s="72" t="s">
        <v>146</v>
      </c>
      <c r="D6" s="94"/>
      <c r="E6" s="114" t="s">
        <v>316</v>
      </c>
      <c r="F6" s="114"/>
      <c r="G6" s="114"/>
      <c r="H6" s="114"/>
      <c r="I6" s="114"/>
      <c r="J6" s="94"/>
      <c r="K6" s="94"/>
    </row>
    <row r="7" spans="1:11">
      <c r="A7" s="31">
        <v>210.5</v>
      </c>
      <c r="B7" s="31">
        <v>300</v>
      </c>
      <c r="C7" s="92">
        <f>A9+A22+A35+A48+A61+A74+A87</f>
        <v>300</v>
      </c>
      <c r="D7" s="94"/>
      <c r="E7" s="114"/>
      <c r="F7" s="114"/>
      <c r="G7" s="114"/>
      <c r="H7" s="114"/>
      <c r="I7" s="114"/>
      <c r="J7" s="94"/>
      <c r="K7" s="94"/>
    </row>
    <row r="9" spans="1:11" ht="15" customHeight="1">
      <c r="A9" s="88">
        <f>A12+E12</f>
        <v>85</v>
      </c>
      <c r="B9" s="107" t="s">
        <v>292</v>
      </c>
      <c r="C9" s="107"/>
      <c r="D9" s="107"/>
      <c r="E9" s="107"/>
      <c r="F9" s="107"/>
      <c r="G9" s="107"/>
      <c r="H9" s="107"/>
      <c r="I9" s="107"/>
      <c r="J9" s="107"/>
      <c r="K9" s="107"/>
    </row>
    <row r="10" spans="1:11" ht="15" customHeight="1">
      <c r="A10" s="113" t="s">
        <v>293</v>
      </c>
      <c r="B10" s="113"/>
      <c r="C10" s="113"/>
      <c r="D10" s="90"/>
      <c r="E10" s="112" t="s">
        <v>296</v>
      </c>
      <c r="F10" s="112"/>
      <c r="G10" s="112"/>
      <c r="H10" s="87"/>
      <c r="I10" s="100"/>
      <c r="J10" s="100"/>
      <c r="K10" s="100"/>
    </row>
    <row r="11" spans="1:11">
      <c r="A11" s="66" t="s">
        <v>128</v>
      </c>
      <c r="B11" s="66" t="s">
        <v>294</v>
      </c>
      <c r="C11" s="66" t="s">
        <v>295</v>
      </c>
      <c r="D11" s="66"/>
      <c r="E11" s="66" t="s">
        <v>128</v>
      </c>
      <c r="F11" s="66" t="s">
        <v>294</v>
      </c>
      <c r="G11" s="66" t="s">
        <v>295</v>
      </c>
      <c r="H11" s="1"/>
      <c r="I11" s="100"/>
      <c r="J11" s="100"/>
      <c r="K11" s="100"/>
    </row>
    <row r="12" spans="1:11">
      <c r="A12" s="29">
        <v>60</v>
      </c>
      <c r="B12" s="30">
        <v>-0.15</v>
      </c>
      <c r="C12" s="30">
        <v>-0.35</v>
      </c>
      <c r="D12" s="89"/>
      <c r="E12" s="29">
        <v>25</v>
      </c>
      <c r="F12" s="30">
        <v>0</v>
      </c>
      <c r="G12" s="30">
        <v>-0.2</v>
      </c>
      <c r="H12" s="89"/>
      <c r="I12" s="100"/>
      <c r="J12" s="100"/>
      <c r="K12" s="100"/>
    </row>
    <row r="13" spans="1:11">
      <c r="A13" s="29">
        <v>54</v>
      </c>
      <c r="B13" s="30">
        <v>-0.1</v>
      </c>
      <c r="C13" s="30">
        <v>-0.30000000000000004</v>
      </c>
      <c r="D13" s="89"/>
      <c r="E13" s="29">
        <v>22.5</v>
      </c>
      <c r="F13" s="30">
        <v>0.05</v>
      </c>
      <c r="G13" s="30">
        <v>-0.15000000000000002</v>
      </c>
      <c r="H13" s="89"/>
      <c r="I13" s="100"/>
      <c r="J13" s="100"/>
      <c r="K13" s="100"/>
    </row>
    <row r="14" spans="1:11">
      <c r="A14" s="26">
        <v>48</v>
      </c>
      <c r="B14" s="27">
        <v>-0.05</v>
      </c>
      <c r="C14" s="27">
        <v>-0.25</v>
      </c>
      <c r="D14" s="89"/>
      <c r="E14" s="26">
        <v>20</v>
      </c>
      <c r="F14" s="27">
        <v>0.1</v>
      </c>
      <c r="G14" s="27">
        <v>-0.1</v>
      </c>
      <c r="H14" s="89"/>
      <c r="I14" s="100"/>
      <c r="J14" s="100"/>
      <c r="K14" s="100"/>
    </row>
    <row r="15" spans="1:11">
      <c r="A15" s="26">
        <v>42</v>
      </c>
      <c r="B15" s="27">
        <v>0</v>
      </c>
      <c r="C15" s="27">
        <v>-0.2</v>
      </c>
      <c r="D15" s="89"/>
      <c r="E15" s="26">
        <v>17.5</v>
      </c>
      <c r="F15" s="27">
        <v>0.15</v>
      </c>
      <c r="G15" s="27">
        <v>-5.0000000000000017E-2</v>
      </c>
      <c r="H15" s="89"/>
      <c r="I15" s="100"/>
      <c r="J15" s="100"/>
      <c r="K15" s="100"/>
    </row>
    <row r="16" spans="1:11">
      <c r="A16" s="24">
        <v>36</v>
      </c>
      <c r="B16" s="25">
        <v>0.05</v>
      </c>
      <c r="C16" s="25">
        <v>-0.15000000000000002</v>
      </c>
      <c r="D16" s="89"/>
      <c r="E16" s="24">
        <v>15</v>
      </c>
      <c r="F16" s="25">
        <v>0.2</v>
      </c>
      <c r="G16" s="25">
        <v>0</v>
      </c>
      <c r="H16" s="89"/>
      <c r="I16" s="100"/>
      <c r="J16" s="100"/>
      <c r="K16" s="100"/>
    </row>
    <row r="17" spans="1:11">
      <c r="A17" s="24">
        <v>30</v>
      </c>
      <c r="B17" s="25">
        <v>0.1</v>
      </c>
      <c r="C17" s="25">
        <v>-0.1</v>
      </c>
      <c r="D17" s="89"/>
      <c r="E17" s="24">
        <v>12.5</v>
      </c>
      <c r="F17" s="25">
        <v>0.25</v>
      </c>
      <c r="G17" s="25">
        <v>4.9999999999999989E-2</v>
      </c>
      <c r="H17" s="89"/>
      <c r="I17" s="100"/>
      <c r="J17" s="100"/>
      <c r="K17" s="100"/>
    </row>
    <row r="18" spans="1:11">
      <c r="A18" s="21">
        <v>24</v>
      </c>
      <c r="B18" s="22">
        <v>0.15</v>
      </c>
      <c r="C18" s="22">
        <v>-5.0000000000000017E-2</v>
      </c>
      <c r="D18" s="89"/>
      <c r="E18" s="21">
        <v>10</v>
      </c>
      <c r="F18" s="22">
        <v>0.3</v>
      </c>
      <c r="G18" s="22">
        <v>9.9999999999999978E-2</v>
      </c>
      <c r="H18" s="89"/>
      <c r="I18" s="100"/>
      <c r="J18" s="100"/>
      <c r="K18" s="100"/>
    </row>
    <row r="19" spans="1:11">
      <c r="A19" s="21">
        <v>18</v>
      </c>
      <c r="B19" s="22">
        <v>0.2</v>
      </c>
      <c r="C19" s="22">
        <v>0</v>
      </c>
      <c r="D19" s="89"/>
      <c r="E19" s="21">
        <v>7.5</v>
      </c>
      <c r="F19" s="22">
        <v>0.35</v>
      </c>
      <c r="G19" s="22">
        <v>0.14999999999999997</v>
      </c>
      <c r="H19" s="89"/>
      <c r="I19" s="100"/>
      <c r="J19" s="100"/>
      <c r="K19" s="100"/>
    </row>
    <row r="20" spans="1:11">
      <c r="A20" s="18">
        <v>12</v>
      </c>
      <c r="B20" s="19">
        <v>0.25</v>
      </c>
      <c r="C20" s="19">
        <v>4.9999999999999989E-2</v>
      </c>
      <c r="D20" s="89"/>
      <c r="E20" s="18">
        <v>5</v>
      </c>
      <c r="F20" s="19">
        <v>0.4</v>
      </c>
      <c r="G20" s="19">
        <v>0.2</v>
      </c>
      <c r="H20" s="89"/>
      <c r="I20" s="100"/>
      <c r="J20" s="100"/>
      <c r="K20" s="100"/>
    </row>
    <row r="21" spans="1:11">
      <c r="A21" s="18">
        <v>6</v>
      </c>
      <c r="B21" s="19"/>
      <c r="C21" s="19"/>
      <c r="D21" s="89"/>
      <c r="E21" s="18">
        <v>2.5</v>
      </c>
      <c r="F21" s="19"/>
      <c r="G21" s="19"/>
      <c r="H21" s="89"/>
      <c r="I21" s="100"/>
      <c r="J21" s="100"/>
      <c r="K21" s="100"/>
    </row>
    <row r="22" spans="1:11" ht="15" customHeight="1">
      <c r="A22" s="88">
        <f>A34+E34+I34</f>
        <v>40</v>
      </c>
      <c r="B22" s="107" t="s">
        <v>297</v>
      </c>
      <c r="C22" s="107"/>
      <c r="D22" s="107"/>
      <c r="E22" s="107"/>
      <c r="F22" s="107"/>
      <c r="G22" s="107"/>
      <c r="H22" s="107"/>
      <c r="I22" s="107"/>
      <c r="J22" s="107"/>
      <c r="K22" s="107"/>
    </row>
    <row r="23" spans="1:11" ht="15" customHeight="1">
      <c r="A23" s="113" t="s">
        <v>144</v>
      </c>
      <c r="B23" s="113"/>
      <c r="C23" s="113"/>
      <c r="D23" s="90"/>
      <c r="E23" s="113" t="s">
        <v>225</v>
      </c>
      <c r="F23" s="113"/>
      <c r="G23" s="113"/>
      <c r="H23" s="90"/>
      <c r="I23" s="113" t="s">
        <v>302</v>
      </c>
      <c r="J23" s="113"/>
      <c r="K23" s="113"/>
    </row>
    <row r="24" spans="1:11">
      <c r="A24" s="66" t="s">
        <v>128</v>
      </c>
      <c r="B24" s="66" t="s">
        <v>129</v>
      </c>
      <c r="C24" s="66"/>
      <c r="D24" s="66"/>
      <c r="E24" s="66" t="s">
        <v>128</v>
      </c>
      <c r="F24" s="66" t="s">
        <v>129</v>
      </c>
      <c r="G24" s="66"/>
      <c r="H24" s="66"/>
      <c r="I24" s="66" t="s">
        <v>128</v>
      </c>
      <c r="J24" s="66" t="s">
        <v>129</v>
      </c>
      <c r="K24" s="66"/>
    </row>
    <row r="25" spans="1:11">
      <c r="A25" s="18">
        <v>1.5</v>
      </c>
      <c r="B25" s="19">
        <v>-0.1</v>
      </c>
      <c r="E25" s="18">
        <v>1.5</v>
      </c>
      <c r="F25" s="19">
        <v>-0.3</v>
      </c>
      <c r="I25" s="18">
        <v>1</v>
      </c>
      <c r="J25" s="19">
        <v>-0.1</v>
      </c>
    </row>
    <row r="26" spans="1:11">
      <c r="A26" s="18">
        <v>3</v>
      </c>
      <c r="B26" s="19">
        <v>0</v>
      </c>
      <c r="E26" s="18">
        <v>3</v>
      </c>
      <c r="F26" s="19">
        <v>-0.25</v>
      </c>
      <c r="I26" s="18">
        <v>2</v>
      </c>
      <c r="J26" s="19">
        <v>0</v>
      </c>
    </row>
    <row r="27" spans="1:11">
      <c r="A27" s="21">
        <v>4.5</v>
      </c>
      <c r="B27" s="22">
        <v>0.1</v>
      </c>
      <c r="E27" s="21">
        <v>4.5</v>
      </c>
      <c r="F27" s="22">
        <v>-0.2</v>
      </c>
      <c r="I27" s="21">
        <v>3</v>
      </c>
      <c r="J27" s="22">
        <v>0.1</v>
      </c>
    </row>
    <row r="28" spans="1:11">
      <c r="A28" s="21">
        <v>6</v>
      </c>
      <c r="B28" s="22">
        <v>0.2</v>
      </c>
      <c r="E28" s="21">
        <v>6</v>
      </c>
      <c r="F28" s="22">
        <v>-0.15</v>
      </c>
      <c r="I28" s="21">
        <v>4</v>
      </c>
      <c r="J28" s="22">
        <v>0.2</v>
      </c>
    </row>
    <row r="29" spans="1:11">
      <c r="A29" s="24">
        <v>7.5</v>
      </c>
      <c r="B29" s="25">
        <v>0.3</v>
      </c>
      <c r="E29" s="24">
        <v>7.5</v>
      </c>
      <c r="F29" s="25">
        <v>-0.1</v>
      </c>
      <c r="I29" s="24">
        <v>5</v>
      </c>
      <c r="J29" s="25">
        <v>0.3</v>
      </c>
    </row>
    <row r="30" spans="1:11">
      <c r="A30" s="24">
        <v>9</v>
      </c>
      <c r="B30" s="25">
        <v>0.4</v>
      </c>
      <c r="E30" s="24">
        <v>9</v>
      </c>
      <c r="F30" s="25">
        <v>-0.05</v>
      </c>
      <c r="I30" s="24">
        <v>6</v>
      </c>
      <c r="J30" s="25">
        <v>0.4</v>
      </c>
    </row>
    <row r="31" spans="1:11">
      <c r="A31" s="26">
        <v>10.5</v>
      </c>
      <c r="B31" s="27">
        <v>0.5</v>
      </c>
      <c r="E31" s="26">
        <v>10.5</v>
      </c>
      <c r="F31" s="27">
        <v>0</v>
      </c>
      <c r="I31" s="26">
        <v>7</v>
      </c>
      <c r="J31" s="27">
        <v>0.5</v>
      </c>
    </row>
    <row r="32" spans="1:11">
      <c r="A32" s="26">
        <v>12</v>
      </c>
      <c r="B32" s="27">
        <v>0.6</v>
      </c>
      <c r="E32" s="26">
        <v>12</v>
      </c>
      <c r="F32" s="27">
        <v>0.05</v>
      </c>
      <c r="I32" s="26">
        <v>8</v>
      </c>
      <c r="J32" s="27">
        <v>0.6</v>
      </c>
    </row>
    <row r="33" spans="1:11">
      <c r="A33" s="29">
        <v>13.5</v>
      </c>
      <c r="B33" s="30">
        <v>0.7</v>
      </c>
      <c r="E33" s="29">
        <v>13.5</v>
      </c>
      <c r="F33" s="30">
        <v>0.1</v>
      </c>
      <c r="I33" s="29">
        <v>9</v>
      </c>
      <c r="J33" s="30">
        <v>0.7</v>
      </c>
    </row>
    <row r="34" spans="1:11">
      <c r="A34" s="29">
        <v>15</v>
      </c>
      <c r="B34" s="30"/>
      <c r="E34" s="29">
        <v>15</v>
      </c>
      <c r="F34" s="30"/>
      <c r="I34" s="29">
        <v>10</v>
      </c>
      <c r="J34" s="30"/>
    </row>
    <row r="35" spans="1:11">
      <c r="A35" s="88">
        <f>A47+E47+I47</f>
        <v>45</v>
      </c>
      <c r="B35" s="107" t="s">
        <v>298</v>
      </c>
      <c r="C35" s="107"/>
      <c r="D35" s="107"/>
      <c r="E35" s="107"/>
      <c r="F35" s="107"/>
      <c r="G35" s="107"/>
      <c r="H35" s="107"/>
      <c r="I35" s="107"/>
      <c r="J35" s="107"/>
      <c r="K35" s="107"/>
    </row>
    <row r="36" spans="1:11" ht="15" customHeight="1">
      <c r="A36" s="112" t="s">
        <v>124</v>
      </c>
      <c r="B36" s="112"/>
      <c r="C36" s="112"/>
      <c r="D36" s="91"/>
      <c r="E36" s="112" t="s">
        <v>223</v>
      </c>
      <c r="F36" s="112"/>
      <c r="G36" s="112"/>
      <c r="H36" s="91"/>
      <c r="I36" s="112" t="s">
        <v>131</v>
      </c>
      <c r="J36" s="112"/>
      <c r="K36" s="112"/>
    </row>
    <row r="37" spans="1:11">
      <c r="A37" s="66" t="s">
        <v>128</v>
      </c>
      <c r="B37" s="66" t="s">
        <v>129</v>
      </c>
      <c r="C37" s="66"/>
      <c r="D37" s="66"/>
      <c r="E37" s="66" t="s">
        <v>128</v>
      </c>
      <c r="F37" s="66" t="s">
        <v>129</v>
      </c>
      <c r="G37" s="66"/>
      <c r="H37" s="66"/>
      <c r="I37" s="66" t="s">
        <v>128</v>
      </c>
      <c r="J37" s="66" t="s">
        <v>129</v>
      </c>
      <c r="K37" s="66"/>
    </row>
    <row r="38" spans="1:11">
      <c r="A38" s="18">
        <v>2</v>
      </c>
      <c r="B38" s="19">
        <v>-0.2</v>
      </c>
      <c r="E38" s="18">
        <v>1.5</v>
      </c>
      <c r="F38" s="19">
        <v>-0.6</v>
      </c>
      <c r="I38" s="18">
        <v>1</v>
      </c>
      <c r="J38" s="19">
        <v>-0.25</v>
      </c>
    </row>
    <row r="39" spans="1:11">
      <c r="A39" s="18">
        <v>4</v>
      </c>
      <c r="B39" s="19">
        <v>-0.1</v>
      </c>
      <c r="E39" s="18">
        <v>3</v>
      </c>
      <c r="F39" s="19">
        <v>-0.5</v>
      </c>
      <c r="I39" s="18">
        <v>2</v>
      </c>
      <c r="J39" s="19">
        <v>-0.15</v>
      </c>
    </row>
    <row r="40" spans="1:11">
      <c r="A40" s="21">
        <v>6</v>
      </c>
      <c r="B40" s="22">
        <v>0</v>
      </c>
      <c r="E40" s="21">
        <v>4.5</v>
      </c>
      <c r="F40" s="22">
        <v>-0.4</v>
      </c>
      <c r="I40" s="21">
        <v>3</v>
      </c>
      <c r="J40" s="22">
        <v>-0.05</v>
      </c>
    </row>
    <row r="41" spans="1:11">
      <c r="A41" s="21">
        <v>8</v>
      </c>
      <c r="B41" s="22">
        <v>0.1</v>
      </c>
      <c r="E41" s="21">
        <v>6</v>
      </c>
      <c r="F41" s="22">
        <v>-0.3</v>
      </c>
      <c r="I41" s="21">
        <v>4</v>
      </c>
      <c r="J41" s="22">
        <v>0.05</v>
      </c>
    </row>
    <row r="42" spans="1:11">
      <c r="A42" s="24">
        <v>10</v>
      </c>
      <c r="B42" s="25">
        <v>0.2</v>
      </c>
      <c r="E42" s="24">
        <v>7.5</v>
      </c>
      <c r="F42" s="25">
        <v>-0.2</v>
      </c>
      <c r="I42" s="24">
        <v>5</v>
      </c>
      <c r="J42" s="25">
        <v>0.15</v>
      </c>
    </row>
    <row r="43" spans="1:11">
      <c r="A43" s="24">
        <v>12</v>
      </c>
      <c r="B43" s="25">
        <v>0.3</v>
      </c>
      <c r="E43" s="24">
        <v>9</v>
      </c>
      <c r="F43" s="25">
        <v>-0.1</v>
      </c>
      <c r="I43" s="24">
        <v>6</v>
      </c>
      <c r="J43" s="25">
        <v>0.25</v>
      </c>
    </row>
    <row r="44" spans="1:11">
      <c r="A44" s="26">
        <v>14</v>
      </c>
      <c r="B44" s="27">
        <v>0.4</v>
      </c>
      <c r="E44" s="26">
        <v>10.5</v>
      </c>
      <c r="F44" s="27">
        <v>0</v>
      </c>
      <c r="I44" s="26">
        <v>7</v>
      </c>
      <c r="J44" s="27">
        <v>0.35</v>
      </c>
    </row>
    <row r="45" spans="1:11">
      <c r="A45" s="26">
        <v>16</v>
      </c>
      <c r="B45" s="27">
        <v>0.5</v>
      </c>
      <c r="E45" s="26">
        <v>12</v>
      </c>
      <c r="F45" s="27">
        <v>0.1</v>
      </c>
      <c r="I45" s="26">
        <v>8</v>
      </c>
      <c r="J45" s="27">
        <v>0.45</v>
      </c>
    </row>
    <row r="46" spans="1:11">
      <c r="A46" s="29">
        <v>18</v>
      </c>
      <c r="B46" s="30">
        <v>0.6</v>
      </c>
      <c r="E46" s="29">
        <v>13.5</v>
      </c>
      <c r="F46" s="30">
        <v>0.2</v>
      </c>
      <c r="I46" s="29">
        <v>9</v>
      </c>
      <c r="J46" s="30">
        <v>0.55000000000000004</v>
      </c>
    </row>
    <row r="47" spans="1:11">
      <c r="A47" s="29">
        <v>20</v>
      </c>
      <c r="B47" s="30"/>
      <c r="E47" s="29">
        <v>15</v>
      </c>
      <c r="F47" s="30"/>
      <c r="I47" s="29">
        <v>10</v>
      </c>
      <c r="J47" s="30"/>
    </row>
    <row r="48" spans="1:11">
      <c r="A48" s="88">
        <f>A60+E60+I60</f>
        <v>45</v>
      </c>
      <c r="B48" s="107" t="s">
        <v>299</v>
      </c>
      <c r="C48" s="107"/>
      <c r="D48" s="107"/>
      <c r="E48" s="107"/>
      <c r="F48" s="107"/>
      <c r="G48" s="107"/>
      <c r="H48" s="107"/>
      <c r="I48" s="107"/>
      <c r="J48" s="107"/>
      <c r="K48" s="107"/>
    </row>
    <row r="49" spans="1:11" ht="15" customHeight="1">
      <c r="A49" s="112" t="s">
        <v>199</v>
      </c>
      <c r="B49" s="112"/>
      <c r="C49" s="112"/>
      <c r="D49" s="91"/>
      <c r="E49" s="112" t="s">
        <v>226</v>
      </c>
      <c r="F49" s="112"/>
      <c r="G49" s="112"/>
      <c r="H49" s="91"/>
      <c r="I49" s="112" t="s">
        <v>200</v>
      </c>
      <c r="J49" s="112"/>
      <c r="K49" s="112"/>
    </row>
    <row r="50" spans="1:11">
      <c r="A50" s="66" t="s">
        <v>128</v>
      </c>
      <c r="B50" s="66" t="s">
        <v>129</v>
      </c>
      <c r="C50" s="66"/>
      <c r="D50" s="66"/>
      <c r="E50" s="66" t="s">
        <v>128</v>
      </c>
      <c r="F50" s="66" t="s">
        <v>129</v>
      </c>
      <c r="G50" s="66"/>
      <c r="H50" s="66"/>
      <c r="I50" s="66" t="s">
        <v>128</v>
      </c>
      <c r="J50" s="66" t="s">
        <v>129</v>
      </c>
      <c r="K50" s="66"/>
    </row>
    <row r="51" spans="1:11">
      <c r="A51" s="18">
        <v>2</v>
      </c>
      <c r="B51" s="19">
        <v>-0.1</v>
      </c>
      <c r="E51" s="18">
        <v>1.5</v>
      </c>
      <c r="F51" s="19">
        <v>-0.6</v>
      </c>
      <c r="I51" s="18">
        <v>1</v>
      </c>
      <c r="J51" s="19">
        <v>-0.25</v>
      </c>
    </row>
    <row r="52" spans="1:11">
      <c r="A52" s="18">
        <v>4</v>
      </c>
      <c r="B52" s="19">
        <v>0</v>
      </c>
      <c r="E52" s="18">
        <v>3</v>
      </c>
      <c r="F52" s="19">
        <v>-0.5</v>
      </c>
      <c r="I52" s="18">
        <v>2</v>
      </c>
      <c r="J52" s="19">
        <v>-0.15</v>
      </c>
    </row>
    <row r="53" spans="1:11">
      <c r="A53" s="21">
        <v>6</v>
      </c>
      <c r="B53" s="22">
        <v>0.1</v>
      </c>
      <c r="E53" s="21">
        <v>4.5</v>
      </c>
      <c r="F53" s="22">
        <v>-0.4</v>
      </c>
      <c r="I53" s="21">
        <v>3</v>
      </c>
      <c r="J53" s="22">
        <v>-0.05</v>
      </c>
    </row>
    <row r="54" spans="1:11">
      <c r="A54" s="21">
        <v>8</v>
      </c>
      <c r="B54" s="22">
        <v>0.2</v>
      </c>
      <c r="E54" s="21">
        <v>6</v>
      </c>
      <c r="F54" s="22">
        <v>-0.3</v>
      </c>
      <c r="I54" s="21">
        <v>4</v>
      </c>
      <c r="J54" s="22">
        <v>0.05</v>
      </c>
    </row>
    <row r="55" spans="1:11">
      <c r="A55" s="24">
        <v>10</v>
      </c>
      <c r="B55" s="25">
        <v>0.3</v>
      </c>
      <c r="E55" s="24">
        <v>7.5</v>
      </c>
      <c r="F55" s="25">
        <v>-0.2</v>
      </c>
      <c r="I55" s="24">
        <v>5</v>
      </c>
      <c r="J55" s="25">
        <v>0.15</v>
      </c>
    </row>
    <row r="56" spans="1:11">
      <c r="A56" s="24">
        <v>12</v>
      </c>
      <c r="B56" s="25">
        <v>0.4</v>
      </c>
      <c r="E56" s="24">
        <v>9</v>
      </c>
      <c r="F56" s="25">
        <v>-0.1</v>
      </c>
      <c r="I56" s="24">
        <v>6</v>
      </c>
      <c r="J56" s="25">
        <v>0.25</v>
      </c>
    </row>
    <row r="57" spans="1:11">
      <c r="A57" s="26">
        <v>14</v>
      </c>
      <c r="B57" s="27">
        <v>0.5</v>
      </c>
      <c r="E57" s="26">
        <v>10.5</v>
      </c>
      <c r="F57" s="27">
        <v>0</v>
      </c>
      <c r="I57" s="26">
        <v>7</v>
      </c>
      <c r="J57" s="27">
        <v>0.35</v>
      </c>
    </row>
    <row r="58" spans="1:11">
      <c r="A58" s="26">
        <v>16</v>
      </c>
      <c r="B58" s="27">
        <v>0.6</v>
      </c>
      <c r="E58" s="26">
        <v>12</v>
      </c>
      <c r="F58" s="27">
        <v>0.1</v>
      </c>
      <c r="I58" s="26">
        <v>8</v>
      </c>
      <c r="J58" s="27">
        <v>0.45</v>
      </c>
    </row>
    <row r="59" spans="1:11">
      <c r="A59" s="29">
        <v>18</v>
      </c>
      <c r="B59" s="30">
        <v>0.7</v>
      </c>
      <c r="E59" s="29">
        <v>13.5</v>
      </c>
      <c r="F59" s="30">
        <v>0.2</v>
      </c>
      <c r="I59" s="29">
        <v>9</v>
      </c>
      <c r="J59" s="30">
        <v>0.55000000000000004</v>
      </c>
    </row>
    <row r="60" spans="1:11">
      <c r="A60" s="29">
        <v>20</v>
      </c>
      <c r="B60" s="30"/>
      <c r="E60" s="29">
        <v>15</v>
      </c>
      <c r="F60" s="30"/>
      <c r="I60" s="29">
        <v>10</v>
      </c>
      <c r="J60" s="30"/>
    </row>
    <row r="61" spans="1:11">
      <c r="A61" s="88">
        <f>A73+E73+I73</f>
        <v>30</v>
      </c>
      <c r="B61" s="107" t="s">
        <v>300</v>
      </c>
      <c r="C61" s="107"/>
      <c r="D61" s="107"/>
      <c r="E61" s="107"/>
      <c r="F61" s="107"/>
      <c r="G61" s="107"/>
      <c r="H61" s="107"/>
      <c r="I61" s="107"/>
      <c r="J61" s="107"/>
      <c r="K61" s="107"/>
    </row>
    <row r="62" spans="1:11" ht="15" customHeight="1">
      <c r="A62" s="112" t="s">
        <v>121</v>
      </c>
      <c r="B62" s="112"/>
      <c r="C62" s="112"/>
      <c r="D62" s="91"/>
      <c r="E62" s="112" t="s">
        <v>224</v>
      </c>
      <c r="F62" s="112"/>
      <c r="G62" s="112"/>
      <c r="H62" s="91"/>
      <c r="I62" s="112" t="s">
        <v>122</v>
      </c>
      <c r="J62" s="112"/>
      <c r="K62" s="112"/>
    </row>
    <row r="63" spans="1:11">
      <c r="A63" s="66" t="s">
        <v>128</v>
      </c>
      <c r="B63" s="66" t="s">
        <v>129</v>
      </c>
      <c r="C63" s="66"/>
      <c r="D63" s="66"/>
      <c r="E63" s="66" t="s">
        <v>128</v>
      </c>
      <c r="F63" s="66" t="s">
        <v>129</v>
      </c>
      <c r="G63" s="66"/>
      <c r="H63" s="66"/>
      <c r="I63" s="66" t="s">
        <v>128</v>
      </c>
      <c r="J63" s="66" t="s">
        <v>129</v>
      </c>
      <c r="K63" s="66"/>
    </row>
    <row r="64" spans="1:11">
      <c r="A64" s="18">
        <v>1.5</v>
      </c>
      <c r="B64" s="19">
        <v>5.0000000000000001E-3</v>
      </c>
      <c r="E64" s="18">
        <v>1</v>
      </c>
      <c r="F64" s="19">
        <v>5.0000000000000001E-3</v>
      </c>
      <c r="I64" s="18">
        <v>0.5</v>
      </c>
      <c r="J64" s="19">
        <v>-0.2</v>
      </c>
    </row>
    <row r="65" spans="1:11">
      <c r="A65" s="18">
        <v>3</v>
      </c>
      <c r="B65" s="19">
        <v>0.01</v>
      </c>
      <c r="E65" s="18">
        <v>2</v>
      </c>
      <c r="F65" s="19">
        <v>0.01</v>
      </c>
      <c r="I65" s="18">
        <v>1</v>
      </c>
      <c r="J65" s="19">
        <v>-0.15</v>
      </c>
    </row>
    <row r="66" spans="1:11">
      <c r="A66" s="21">
        <v>4.5</v>
      </c>
      <c r="B66" s="22">
        <v>1.4999999999999999E-2</v>
      </c>
      <c r="E66" s="21">
        <v>3</v>
      </c>
      <c r="F66" s="22">
        <v>1.4999999999999999E-2</v>
      </c>
      <c r="I66" s="21">
        <v>1.5</v>
      </c>
      <c r="J66" s="22">
        <v>-0.1</v>
      </c>
    </row>
    <row r="67" spans="1:11">
      <c r="A67" s="21">
        <v>6</v>
      </c>
      <c r="B67" s="22">
        <v>0.02</v>
      </c>
      <c r="E67" s="21">
        <v>4</v>
      </c>
      <c r="F67" s="22">
        <v>0.02</v>
      </c>
      <c r="I67" s="21">
        <v>2</v>
      </c>
      <c r="J67" s="22">
        <v>-0.05</v>
      </c>
    </row>
    <row r="68" spans="1:11">
      <c r="A68" s="24">
        <v>7.5</v>
      </c>
      <c r="B68" s="25">
        <v>2.5000000000000001E-2</v>
      </c>
      <c r="E68" s="24">
        <v>5</v>
      </c>
      <c r="F68" s="25">
        <v>2.5000000000000001E-2</v>
      </c>
      <c r="I68" s="24">
        <v>2.5</v>
      </c>
      <c r="J68" s="25">
        <v>0</v>
      </c>
    </row>
    <row r="69" spans="1:11">
      <c r="A69" s="24">
        <v>9</v>
      </c>
      <c r="B69" s="25">
        <v>0.03</v>
      </c>
      <c r="E69" s="24">
        <v>6</v>
      </c>
      <c r="F69" s="25">
        <v>0.03</v>
      </c>
      <c r="I69" s="24">
        <v>3</v>
      </c>
      <c r="J69" s="25">
        <v>0.05</v>
      </c>
    </row>
    <row r="70" spans="1:11">
      <c r="A70" s="26">
        <v>10.5</v>
      </c>
      <c r="B70" s="27">
        <v>3.5000000000000003E-2</v>
      </c>
      <c r="E70" s="26">
        <v>7</v>
      </c>
      <c r="F70" s="27">
        <v>3.5000000000000003E-2</v>
      </c>
      <c r="I70" s="26">
        <v>3.5</v>
      </c>
      <c r="J70" s="27">
        <v>0.1</v>
      </c>
    </row>
    <row r="71" spans="1:11">
      <c r="A71" s="26">
        <v>12</v>
      </c>
      <c r="B71" s="27">
        <v>0.04</v>
      </c>
      <c r="E71" s="26">
        <v>8</v>
      </c>
      <c r="F71" s="27">
        <v>0.04</v>
      </c>
      <c r="I71" s="26">
        <v>4</v>
      </c>
      <c r="J71" s="27">
        <v>0.15</v>
      </c>
    </row>
    <row r="72" spans="1:11">
      <c r="A72" s="29">
        <v>13.5</v>
      </c>
      <c r="B72" s="30">
        <v>4.4999999999999998E-2</v>
      </c>
      <c r="E72" s="29">
        <v>9</v>
      </c>
      <c r="F72" s="30">
        <v>4.4999999999999998E-2</v>
      </c>
      <c r="I72" s="29">
        <v>4.5</v>
      </c>
      <c r="J72" s="30">
        <v>0.2</v>
      </c>
    </row>
    <row r="73" spans="1:11">
      <c r="A73" s="29">
        <v>15</v>
      </c>
      <c r="B73" s="30"/>
      <c r="E73" s="29">
        <v>10</v>
      </c>
      <c r="F73" s="30"/>
      <c r="I73" s="29">
        <v>5</v>
      </c>
      <c r="J73" s="30"/>
    </row>
    <row r="74" spans="1:11">
      <c r="A74" s="88">
        <f>A77+E77+I86</f>
        <v>25</v>
      </c>
      <c r="B74" s="107" t="s">
        <v>301</v>
      </c>
      <c r="C74" s="107"/>
      <c r="D74" s="107"/>
      <c r="E74" s="107"/>
      <c r="F74" s="107"/>
      <c r="G74" s="107"/>
      <c r="H74" s="107"/>
      <c r="I74" s="107"/>
      <c r="J74" s="107"/>
      <c r="K74" s="107"/>
    </row>
    <row r="75" spans="1:11" ht="15" customHeight="1">
      <c r="A75" s="113" t="s">
        <v>147</v>
      </c>
      <c r="B75" s="113"/>
      <c r="C75" s="113"/>
      <c r="D75" s="93"/>
      <c r="E75" s="113" t="s">
        <v>148</v>
      </c>
      <c r="F75" s="113"/>
      <c r="G75" s="113"/>
      <c r="H75" s="93"/>
      <c r="I75" s="113" t="s">
        <v>149</v>
      </c>
      <c r="J75" s="113"/>
      <c r="K75" s="113"/>
    </row>
    <row r="76" spans="1:11">
      <c r="A76" s="66" t="s">
        <v>128</v>
      </c>
      <c r="B76" s="66" t="s">
        <v>129</v>
      </c>
      <c r="C76" s="66"/>
      <c r="D76" s="66"/>
      <c r="E76" s="66" t="s">
        <v>128</v>
      </c>
      <c r="F76" s="66" t="s">
        <v>129</v>
      </c>
      <c r="G76" s="66"/>
      <c r="H76" s="66"/>
      <c r="I76" s="66" t="s">
        <v>128</v>
      </c>
      <c r="J76" s="66" t="s">
        <v>129</v>
      </c>
      <c r="K76" s="66"/>
    </row>
    <row r="77" spans="1:11">
      <c r="A77" s="29">
        <v>10</v>
      </c>
      <c r="B77" s="30">
        <v>-3.5000000000000003E-2</v>
      </c>
      <c r="E77" s="29">
        <v>10</v>
      </c>
      <c r="F77" s="30">
        <v>-3.5000000000000003E-2</v>
      </c>
      <c r="I77" s="18">
        <v>0.5</v>
      </c>
      <c r="J77" s="46">
        <v>-9.9999990000000007</v>
      </c>
    </row>
    <row r="78" spans="1:11">
      <c r="A78" s="29">
        <v>9</v>
      </c>
      <c r="B78" s="30">
        <v>-0.03</v>
      </c>
      <c r="E78" s="29">
        <v>9</v>
      </c>
      <c r="F78" s="30">
        <v>-0.03</v>
      </c>
      <c r="I78" s="18">
        <v>1</v>
      </c>
      <c r="J78" s="46">
        <v>-0.99999899999999997</v>
      </c>
    </row>
    <row r="79" spans="1:11">
      <c r="A79" s="26">
        <v>8</v>
      </c>
      <c r="B79" s="27">
        <v>-2.5000000000000001E-2</v>
      </c>
      <c r="E79" s="26">
        <v>8</v>
      </c>
      <c r="F79" s="27">
        <v>-2.5000000000000001E-2</v>
      </c>
      <c r="I79" s="21">
        <v>1.5</v>
      </c>
      <c r="J79" s="47">
        <v>-0.5</v>
      </c>
    </row>
    <row r="80" spans="1:11">
      <c r="A80" s="26">
        <v>7</v>
      </c>
      <c r="B80" s="27">
        <v>-0.02</v>
      </c>
      <c r="E80" s="26">
        <v>7</v>
      </c>
      <c r="F80" s="27">
        <v>-0.02</v>
      </c>
      <c r="I80" s="21">
        <v>2</v>
      </c>
      <c r="J80" s="47">
        <v>-0.25</v>
      </c>
    </row>
    <row r="81" spans="1:11">
      <c r="A81" s="24">
        <v>6</v>
      </c>
      <c r="B81" s="25">
        <v>-1.4999999999999999E-2</v>
      </c>
      <c r="E81" s="24">
        <v>6</v>
      </c>
      <c r="F81" s="25">
        <v>-1.4999999999999999E-2</v>
      </c>
      <c r="I81" s="24">
        <v>2.5</v>
      </c>
      <c r="J81" s="48">
        <v>0</v>
      </c>
    </row>
    <row r="82" spans="1:11">
      <c r="A82" s="24">
        <v>5</v>
      </c>
      <c r="B82" s="25">
        <v>-0.01</v>
      </c>
      <c r="E82" s="24">
        <v>5</v>
      </c>
      <c r="F82" s="25">
        <v>-0.01</v>
      </c>
      <c r="I82" s="24">
        <v>3</v>
      </c>
      <c r="J82" s="48">
        <v>0.25</v>
      </c>
    </row>
    <row r="83" spans="1:11">
      <c r="A83" s="21">
        <v>4</v>
      </c>
      <c r="B83" s="22">
        <v>-5.0000000000000001E-3</v>
      </c>
      <c r="E83" s="21">
        <v>4</v>
      </c>
      <c r="F83" s="22">
        <v>-5.0000000000000001E-3</v>
      </c>
      <c r="I83" s="26">
        <v>3.5</v>
      </c>
      <c r="J83" s="49">
        <v>0.5</v>
      </c>
    </row>
    <row r="84" spans="1:11">
      <c r="A84" s="21">
        <v>3</v>
      </c>
      <c r="B84" s="22">
        <v>0</v>
      </c>
      <c r="E84" s="21">
        <v>3</v>
      </c>
      <c r="F84" s="22">
        <v>0</v>
      </c>
      <c r="I84" s="26">
        <v>4</v>
      </c>
      <c r="J84" s="49">
        <v>0.75</v>
      </c>
    </row>
    <row r="85" spans="1:11">
      <c r="A85" s="18">
        <v>2</v>
      </c>
      <c r="B85" s="19">
        <v>5.0000000000000001E-3</v>
      </c>
      <c r="E85" s="18">
        <v>2</v>
      </c>
      <c r="F85" s="19">
        <v>5.0000000000000001E-3</v>
      </c>
      <c r="I85" s="29">
        <v>4.5</v>
      </c>
      <c r="J85" s="50">
        <v>1</v>
      </c>
    </row>
    <row r="86" spans="1:11">
      <c r="A86" s="18">
        <v>1</v>
      </c>
      <c r="B86" s="19"/>
      <c r="E86" s="18">
        <v>1</v>
      </c>
      <c r="F86" s="19"/>
      <c r="I86" s="29">
        <v>5</v>
      </c>
      <c r="J86" s="50"/>
    </row>
    <row r="87" spans="1:11">
      <c r="A87" s="88">
        <f>A90+E90+I90</f>
        <v>30</v>
      </c>
      <c r="B87" s="107" t="s">
        <v>249</v>
      </c>
      <c r="C87" s="107"/>
      <c r="D87" s="107"/>
      <c r="E87" s="107"/>
      <c r="F87" s="107"/>
      <c r="G87" s="107"/>
      <c r="H87" s="107"/>
      <c r="I87" s="107"/>
      <c r="J87" s="107"/>
      <c r="K87" s="107"/>
    </row>
    <row r="88" spans="1:11" ht="15" customHeight="1">
      <c r="A88" s="112" t="s">
        <v>130</v>
      </c>
      <c r="B88" s="112"/>
      <c r="C88" s="112"/>
      <c r="D88" s="91"/>
      <c r="E88" s="113" t="s">
        <v>214</v>
      </c>
      <c r="F88" s="113"/>
      <c r="G88" s="113"/>
      <c r="H88" s="90"/>
      <c r="I88" s="112" t="s">
        <v>123</v>
      </c>
      <c r="J88" s="112"/>
      <c r="K88" s="112"/>
    </row>
    <row r="89" spans="1:11">
      <c r="A89" s="66" t="s">
        <v>128</v>
      </c>
      <c r="B89" s="66" t="s">
        <v>129</v>
      </c>
      <c r="C89" s="66"/>
      <c r="D89" s="66"/>
      <c r="E89" s="66" t="s">
        <v>128</v>
      </c>
      <c r="F89" s="66" t="s">
        <v>129</v>
      </c>
      <c r="G89" s="66"/>
      <c r="H89" s="66"/>
      <c r="I89" s="66" t="s">
        <v>128</v>
      </c>
      <c r="J89" s="66" t="s">
        <v>129</v>
      </c>
      <c r="K89" s="66"/>
    </row>
    <row r="90" spans="1:11">
      <c r="A90" s="29">
        <v>10</v>
      </c>
      <c r="B90" s="30">
        <v>0.4</v>
      </c>
      <c r="E90" s="29">
        <v>10</v>
      </c>
      <c r="F90" s="30">
        <v>0.4</v>
      </c>
      <c r="I90" s="29">
        <v>10</v>
      </c>
      <c r="J90" s="30">
        <v>-0.2</v>
      </c>
    </row>
    <row r="91" spans="1:11">
      <c r="A91" s="29">
        <v>9</v>
      </c>
      <c r="B91" s="30">
        <v>0.45</v>
      </c>
      <c r="E91" s="29">
        <v>9</v>
      </c>
      <c r="F91" s="30">
        <v>0.45</v>
      </c>
      <c r="I91" s="29">
        <v>9</v>
      </c>
      <c r="J91" s="30">
        <v>-0.15</v>
      </c>
    </row>
    <row r="92" spans="1:11">
      <c r="A92" s="26">
        <v>8</v>
      </c>
      <c r="B92" s="27">
        <v>0.5</v>
      </c>
      <c r="E92" s="26">
        <v>8</v>
      </c>
      <c r="F92" s="27">
        <v>0.5</v>
      </c>
      <c r="I92" s="26">
        <v>8</v>
      </c>
      <c r="J92" s="27">
        <v>-0.1</v>
      </c>
    </row>
    <row r="93" spans="1:11">
      <c r="A93" s="26">
        <v>7</v>
      </c>
      <c r="B93" s="27">
        <v>0.55000000000000004</v>
      </c>
      <c r="E93" s="26">
        <v>7</v>
      </c>
      <c r="F93" s="27">
        <v>0.55000000000000004</v>
      </c>
      <c r="I93" s="26">
        <v>7</v>
      </c>
      <c r="J93" s="27">
        <v>-0.05</v>
      </c>
    </row>
    <row r="94" spans="1:11">
      <c r="A94" s="24">
        <v>6</v>
      </c>
      <c r="B94" s="25">
        <v>0.6</v>
      </c>
      <c r="E94" s="24">
        <v>6</v>
      </c>
      <c r="F94" s="25">
        <v>0.6</v>
      </c>
      <c r="I94" s="24">
        <v>6</v>
      </c>
      <c r="J94" s="25">
        <v>0</v>
      </c>
    </row>
    <row r="95" spans="1:11">
      <c r="A95" s="24">
        <v>5</v>
      </c>
      <c r="B95" s="25">
        <v>0.65</v>
      </c>
      <c r="E95" s="24">
        <v>5</v>
      </c>
      <c r="F95" s="25">
        <v>0.65</v>
      </c>
      <c r="I95" s="24">
        <v>5</v>
      </c>
      <c r="J95" s="25">
        <v>0.05</v>
      </c>
    </row>
    <row r="96" spans="1:11">
      <c r="A96" s="21">
        <v>4</v>
      </c>
      <c r="B96" s="22">
        <v>0.7</v>
      </c>
      <c r="E96" s="21">
        <v>4</v>
      </c>
      <c r="F96" s="22">
        <v>0.7</v>
      </c>
      <c r="I96" s="21">
        <v>4</v>
      </c>
      <c r="J96" s="22">
        <v>0.1</v>
      </c>
    </row>
    <row r="97" spans="1:10">
      <c r="A97" s="21">
        <v>3</v>
      </c>
      <c r="B97" s="22">
        <v>0.75</v>
      </c>
      <c r="E97" s="21">
        <v>3</v>
      </c>
      <c r="F97" s="22">
        <v>0.75</v>
      </c>
      <c r="I97" s="21">
        <v>3</v>
      </c>
      <c r="J97" s="22">
        <v>0.15</v>
      </c>
    </row>
    <row r="98" spans="1:10">
      <c r="A98" s="18">
        <v>2</v>
      </c>
      <c r="B98" s="19">
        <v>0.8</v>
      </c>
      <c r="E98" s="18">
        <v>2</v>
      </c>
      <c r="F98" s="19">
        <v>0.8</v>
      </c>
      <c r="I98" s="18">
        <v>2</v>
      </c>
      <c r="J98" s="19">
        <v>0.2</v>
      </c>
    </row>
    <row r="99" spans="1:10">
      <c r="A99" s="18">
        <v>1</v>
      </c>
      <c r="B99" s="19"/>
      <c r="E99" s="18">
        <v>1</v>
      </c>
      <c r="F99" s="19"/>
      <c r="I99" s="18">
        <v>1</v>
      </c>
      <c r="J99" s="19"/>
    </row>
  </sheetData>
  <mergeCells count="32">
    <mergeCell ref="A1:B1"/>
    <mergeCell ref="B9:K9"/>
    <mergeCell ref="A10:C10"/>
    <mergeCell ref="E10:G10"/>
    <mergeCell ref="E6:I7"/>
    <mergeCell ref="E5:I5"/>
    <mergeCell ref="E3:I3"/>
    <mergeCell ref="E2:I2"/>
    <mergeCell ref="B87:K87"/>
    <mergeCell ref="A88:C88"/>
    <mergeCell ref="E88:G88"/>
    <mergeCell ref="I88:K88"/>
    <mergeCell ref="A62:C62"/>
    <mergeCell ref="E62:G62"/>
    <mergeCell ref="I62:K62"/>
    <mergeCell ref="A75:C75"/>
    <mergeCell ref="E75:G75"/>
    <mergeCell ref="I75:K75"/>
    <mergeCell ref="B74:K74"/>
    <mergeCell ref="B22:K22"/>
    <mergeCell ref="B35:K35"/>
    <mergeCell ref="B48:K48"/>
    <mergeCell ref="B61:K61"/>
    <mergeCell ref="A36:C36"/>
    <mergeCell ref="E36:G36"/>
    <mergeCell ref="I36:K36"/>
    <mergeCell ref="A49:C49"/>
    <mergeCell ref="E49:G49"/>
    <mergeCell ref="I49:K49"/>
    <mergeCell ref="A23:C23"/>
    <mergeCell ref="E23:G23"/>
    <mergeCell ref="I23:K23"/>
  </mergeCells>
  <conditionalFormatting sqref="C7">
    <cfRule type="cellIs" dxfId="0" priority="1" operator="notEqual">
      <formula>$B$7</formula>
    </cfRule>
  </conditionalFormatting>
  <hyperlinks>
    <hyperlink ref="E6" r:id="rId1"/>
  </hyperlinks>
  <pageMargins left="0.7" right="0.7" top="0.78740157499999996" bottom="0.78740157499999996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2"/>
  <sheetViews>
    <sheetView zoomScale="60" zoomScaleNormal="60" workbookViewId="0">
      <pane ySplit="2" topLeftCell="A3" activePane="bottomLeft" state="frozenSplit"/>
      <selection pane="bottomLeft"/>
    </sheetView>
  </sheetViews>
  <sheetFormatPr baseColWidth="10" defaultRowHeight="15"/>
  <cols>
    <col min="1" max="1" width="28" bestFit="1" customWidth="1"/>
    <col min="2" max="2" width="20.85546875" bestFit="1" customWidth="1"/>
    <col min="3" max="3" width="14.7109375" bestFit="1" customWidth="1"/>
    <col min="4" max="4" width="15.140625" bestFit="1" customWidth="1"/>
    <col min="5" max="5" width="14.42578125" bestFit="1" customWidth="1"/>
    <col min="6" max="13" width="14.85546875" bestFit="1" customWidth="1"/>
    <col min="14" max="14" width="15.85546875" bestFit="1" customWidth="1"/>
  </cols>
  <sheetData>
    <row r="1" spans="1:15">
      <c r="B1" s="38"/>
      <c r="C1" s="38"/>
      <c r="D1" s="37">
        <v>2016</v>
      </c>
      <c r="E1" s="37">
        <v>2015</v>
      </c>
      <c r="F1" s="37">
        <v>2014</v>
      </c>
      <c r="G1" s="37">
        <v>2013</v>
      </c>
      <c r="H1" s="37">
        <v>2012</v>
      </c>
      <c r="I1" s="37">
        <v>2011</v>
      </c>
      <c r="J1" s="37">
        <v>2010</v>
      </c>
      <c r="K1" s="37">
        <v>2009</v>
      </c>
      <c r="L1" s="37">
        <v>2008</v>
      </c>
      <c r="M1" s="37">
        <v>2007</v>
      </c>
      <c r="N1" s="37">
        <v>2006</v>
      </c>
      <c r="O1" s="38"/>
    </row>
    <row r="2" spans="1:15">
      <c r="A2" s="37" t="s">
        <v>0</v>
      </c>
      <c r="B2" s="37" t="s">
        <v>1</v>
      </c>
      <c r="C2" s="37" t="s">
        <v>166</v>
      </c>
      <c r="D2" s="37" t="s">
        <v>107</v>
      </c>
      <c r="E2" s="37" t="s">
        <v>96</v>
      </c>
      <c r="F2" s="37" t="s">
        <v>97</v>
      </c>
      <c r="G2" s="37" t="s">
        <v>98</v>
      </c>
      <c r="H2" s="37" t="s">
        <v>99</v>
      </c>
      <c r="I2" s="37" t="s">
        <v>100</v>
      </c>
      <c r="J2" s="37" t="s">
        <v>101</v>
      </c>
      <c r="K2" s="37" t="s">
        <v>102</v>
      </c>
      <c r="L2" s="37" t="s">
        <v>103</v>
      </c>
      <c r="M2" s="37" t="s">
        <v>104</v>
      </c>
      <c r="N2" s="37" t="s">
        <v>105</v>
      </c>
      <c r="O2" s="38"/>
    </row>
    <row r="3" spans="1:15">
      <c r="A3" s="38" t="s">
        <v>78</v>
      </c>
      <c r="B3" s="38" t="s">
        <v>159</v>
      </c>
      <c r="C3" s="60">
        <f t="shared" ref="C3:C34" si="0">SUM(D3:N3)</f>
        <v>3</v>
      </c>
      <c r="D3" s="56">
        <v>1</v>
      </c>
      <c r="E3" s="56">
        <v>1</v>
      </c>
      <c r="F3" s="56">
        <v>1</v>
      </c>
      <c r="G3" s="56">
        <v>0</v>
      </c>
      <c r="H3" s="56">
        <v>0</v>
      </c>
      <c r="I3" s="56">
        <v>0</v>
      </c>
      <c r="J3" s="56">
        <v>0</v>
      </c>
      <c r="K3" s="56">
        <v>0</v>
      </c>
      <c r="L3" s="56">
        <v>0</v>
      </c>
      <c r="M3" s="56">
        <v>0</v>
      </c>
      <c r="N3" s="56">
        <v>0</v>
      </c>
    </row>
    <row r="4" spans="1:15">
      <c r="A4" s="38" t="s">
        <v>2</v>
      </c>
      <c r="B4" s="38" t="s">
        <v>3</v>
      </c>
      <c r="C4" s="60">
        <f t="shared" si="0"/>
        <v>10</v>
      </c>
      <c r="D4" s="56">
        <v>1</v>
      </c>
      <c r="E4" s="56">
        <v>1</v>
      </c>
      <c r="F4" s="56">
        <v>1</v>
      </c>
      <c r="G4" s="56">
        <v>1</v>
      </c>
      <c r="H4" s="56">
        <v>1</v>
      </c>
      <c r="I4" s="56">
        <v>1</v>
      </c>
      <c r="J4" s="56">
        <v>1</v>
      </c>
      <c r="K4" s="56">
        <v>1</v>
      </c>
      <c r="L4" s="56">
        <v>1</v>
      </c>
      <c r="M4" s="56">
        <v>0</v>
      </c>
      <c r="N4" s="56">
        <v>1</v>
      </c>
    </row>
    <row r="5" spans="1:15">
      <c r="A5" s="38" t="s">
        <v>4</v>
      </c>
      <c r="B5" s="38" t="s">
        <v>5</v>
      </c>
      <c r="C5" s="60">
        <f t="shared" si="0"/>
        <v>1</v>
      </c>
      <c r="D5" s="56">
        <v>1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</row>
    <row r="6" spans="1:15">
      <c r="A6" s="38" t="s">
        <v>6</v>
      </c>
      <c r="B6" s="38" t="s">
        <v>7</v>
      </c>
      <c r="C6" s="60">
        <f t="shared" si="0"/>
        <v>1</v>
      </c>
      <c r="D6" s="56">
        <v>1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</row>
    <row r="7" spans="1:15">
      <c r="A7" s="38" t="s">
        <v>8</v>
      </c>
      <c r="B7" s="38" t="s">
        <v>9</v>
      </c>
      <c r="C7" s="60">
        <f t="shared" si="0"/>
        <v>1</v>
      </c>
      <c r="D7" s="56">
        <v>1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</row>
    <row r="8" spans="1:15">
      <c r="A8" s="38" t="s">
        <v>10</v>
      </c>
      <c r="B8" s="38" t="s">
        <v>11</v>
      </c>
      <c r="C8" s="60">
        <f t="shared" si="0"/>
        <v>11</v>
      </c>
      <c r="D8" s="56">
        <v>1</v>
      </c>
      <c r="E8" s="56">
        <v>1</v>
      </c>
      <c r="F8" s="56">
        <v>1</v>
      </c>
      <c r="G8" s="56">
        <v>1</v>
      </c>
      <c r="H8" s="56">
        <v>1</v>
      </c>
      <c r="I8" s="56">
        <v>1</v>
      </c>
      <c r="J8" s="56">
        <v>1</v>
      </c>
      <c r="K8" s="56">
        <v>1</v>
      </c>
      <c r="L8" s="56">
        <v>1</v>
      </c>
      <c r="M8" s="56">
        <v>1</v>
      </c>
      <c r="N8" s="56">
        <v>1</v>
      </c>
    </row>
    <row r="9" spans="1:15">
      <c r="A9" s="38" t="s">
        <v>12</v>
      </c>
      <c r="B9" s="38" t="s">
        <v>13</v>
      </c>
      <c r="C9" s="60">
        <f t="shared" si="0"/>
        <v>2</v>
      </c>
      <c r="D9" s="56">
        <v>1</v>
      </c>
      <c r="E9" s="56">
        <v>1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</row>
    <row r="10" spans="1:15">
      <c r="A10" s="38" t="s">
        <v>312</v>
      </c>
      <c r="B10" s="55" t="s">
        <v>313</v>
      </c>
      <c r="C10" s="60">
        <f t="shared" si="0"/>
        <v>3</v>
      </c>
      <c r="D10" s="56">
        <v>1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1</v>
      </c>
      <c r="N10" s="56">
        <v>1</v>
      </c>
    </row>
    <row r="11" spans="1:15">
      <c r="A11" s="38" t="s">
        <v>14</v>
      </c>
      <c r="B11" s="38" t="s">
        <v>15</v>
      </c>
      <c r="C11" s="60">
        <f t="shared" si="0"/>
        <v>8</v>
      </c>
      <c r="D11" s="56">
        <v>1</v>
      </c>
      <c r="E11" s="56">
        <v>1</v>
      </c>
      <c r="F11" s="56">
        <v>0</v>
      </c>
      <c r="G11" s="56">
        <v>1</v>
      </c>
      <c r="H11" s="56">
        <v>1</v>
      </c>
      <c r="I11" s="56">
        <v>0</v>
      </c>
      <c r="J11" s="56">
        <v>0</v>
      </c>
      <c r="K11" s="56">
        <v>1</v>
      </c>
      <c r="L11" s="56">
        <v>1</v>
      </c>
      <c r="M11" s="56">
        <v>1</v>
      </c>
      <c r="N11" s="56">
        <v>1</v>
      </c>
    </row>
    <row r="12" spans="1:15">
      <c r="A12" s="38" t="s">
        <v>16</v>
      </c>
      <c r="B12" s="38" t="s">
        <v>17</v>
      </c>
      <c r="C12" s="60">
        <f t="shared" si="0"/>
        <v>9</v>
      </c>
      <c r="D12" s="56">
        <v>1</v>
      </c>
      <c r="E12" s="56">
        <v>1</v>
      </c>
      <c r="F12" s="56">
        <v>1</v>
      </c>
      <c r="G12" s="56">
        <v>1</v>
      </c>
      <c r="H12" s="56">
        <v>1</v>
      </c>
      <c r="I12" s="56">
        <v>1</v>
      </c>
      <c r="J12" s="56">
        <v>1</v>
      </c>
      <c r="K12" s="56">
        <v>1</v>
      </c>
      <c r="L12" s="56">
        <v>0</v>
      </c>
      <c r="M12" s="56">
        <v>0</v>
      </c>
      <c r="N12" s="56">
        <v>1</v>
      </c>
    </row>
    <row r="13" spans="1:15">
      <c r="A13" s="38" t="s">
        <v>18</v>
      </c>
      <c r="B13" s="38" t="s">
        <v>19</v>
      </c>
      <c r="C13" s="60">
        <f t="shared" si="0"/>
        <v>11</v>
      </c>
      <c r="D13" s="56">
        <v>1</v>
      </c>
      <c r="E13" s="56">
        <v>1</v>
      </c>
      <c r="F13" s="56">
        <v>1</v>
      </c>
      <c r="G13" s="56">
        <v>1</v>
      </c>
      <c r="H13" s="56">
        <v>1</v>
      </c>
      <c r="I13" s="56">
        <v>1</v>
      </c>
      <c r="J13" s="56">
        <v>1</v>
      </c>
      <c r="K13" s="56">
        <v>1</v>
      </c>
      <c r="L13" s="56">
        <v>1</v>
      </c>
      <c r="M13" s="56">
        <v>1</v>
      </c>
      <c r="N13" s="56">
        <v>1</v>
      </c>
    </row>
    <row r="14" spans="1:15">
      <c r="A14" s="38" t="s">
        <v>20</v>
      </c>
      <c r="B14" s="38" t="s">
        <v>21</v>
      </c>
      <c r="C14" s="60">
        <f t="shared" si="0"/>
        <v>10</v>
      </c>
      <c r="D14" s="56">
        <v>1</v>
      </c>
      <c r="E14" s="56">
        <v>1</v>
      </c>
      <c r="F14" s="56">
        <v>1</v>
      </c>
      <c r="G14" s="56">
        <v>1</v>
      </c>
      <c r="H14" s="56">
        <v>1</v>
      </c>
      <c r="I14" s="56">
        <v>0</v>
      </c>
      <c r="J14" s="56">
        <v>1</v>
      </c>
      <c r="K14" s="56">
        <v>1</v>
      </c>
      <c r="L14" s="56">
        <v>1</v>
      </c>
      <c r="M14" s="56">
        <v>1</v>
      </c>
      <c r="N14" s="56">
        <v>1</v>
      </c>
    </row>
    <row r="15" spans="1:15">
      <c r="A15" s="38" t="s">
        <v>22</v>
      </c>
      <c r="B15" s="38" t="s">
        <v>23</v>
      </c>
      <c r="C15" s="60">
        <f t="shared" si="0"/>
        <v>3</v>
      </c>
      <c r="D15" s="56">
        <v>1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1</v>
      </c>
      <c r="N15" s="56">
        <v>1</v>
      </c>
    </row>
    <row r="16" spans="1:15">
      <c r="A16" s="38" t="s">
        <v>24</v>
      </c>
      <c r="B16" s="38" t="s">
        <v>25</v>
      </c>
      <c r="C16" s="60">
        <f t="shared" si="0"/>
        <v>2</v>
      </c>
      <c r="D16" s="56">
        <v>1</v>
      </c>
      <c r="E16" s="56">
        <v>1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</row>
    <row r="17" spans="1:14">
      <c r="A17" s="38" t="s">
        <v>268</v>
      </c>
      <c r="B17" s="55" t="s">
        <v>274</v>
      </c>
      <c r="C17" s="60">
        <f t="shared" si="0"/>
        <v>11</v>
      </c>
      <c r="D17" s="56">
        <v>1</v>
      </c>
      <c r="E17" s="56">
        <v>1</v>
      </c>
      <c r="F17" s="56">
        <v>1</v>
      </c>
      <c r="G17" s="56">
        <v>1</v>
      </c>
      <c r="H17" s="56">
        <v>1</v>
      </c>
      <c r="I17" s="56">
        <v>1</v>
      </c>
      <c r="J17" s="56">
        <v>1</v>
      </c>
      <c r="K17" s="56">
        <v>1</v>
      </c>
      <c r="L17" s="56">
        <v>1</v>
      </c>
      <c r="M17" s="56">
        <v>1</v>
      </c>
      <c r="N17" s="56">
        <v>1</v>
      </c>
    </row>
    <row r="18" spans="1:14">
      <c r="A18" s="38" t="s">
        <v>26</v>
      </c>
      <c r="B18" s="38" t="s">
        <v>27</v>
      </c>
      <c r="C18" s="60">
        <f t="shared" si="0"/>
        <v>11</v>
      </c>
      <c r="D18" s="56">
        <v>1</v>
      </c>
      <c r="E18" s="56">
        <v>1</v>
      </c>
      <c r="F18" s="56">
        <v>1</v>
      </c>
      <c r="G18" s="56">
        <v>1</v>
      </c>
      <c r="H18" s="56">
        <v>1</v>
      </c>
      <c r="I18" s="56">
        <v>1</v>
      </c>
      <c r="J18" s="56">
        <v>1</v>
      </c>
      <c r="K18" s="56">
        <v>1</v>
      </c>
      <c r="L18" s="56">
        <v>1</v>
      </c>
      <c r="M18" s="56">
        <v>1</v>
      </c>
      <c r="N18" s="56">
        <v>1</v>
      </c>
    </row>
    <row r="19" spans="1:14">
      <c r="A19" s="38" t="s">
        <v>81</v>
      </c>
      <c r="B19" s="38" t="s">
        <v>189</v>
      </c>
      <c r="C19" s="60">
        <f t="shared" si="0"/>
        <v>11</v>
      </c>
      <c r="D19" s="56">
        <v>1</v>
      </c>
      <c r="E19" s="56">
        <v>1</v>
      </c>
      <c r="F19" s="56">
        <v>1</v>
      </c>
      <c r="G19" s="56">
        <v>1</v>
      </c>
      <c r="H19" s="56">
        <v>1</v>
      </c>
      <c r="I19" s="56">
        <v>1</v>
      </c>
      <c r="J19" s="56">
        <v>1</v>
      </c>
      <c r="K19" s="56">
        <v>1</v>
      </c>
      <c r="L19" s="56">
        <v>1</v>
      </c>
      <c r="M19" s="56">
        <v>1</v>
      </c>
      <c r="N19" s="56">
        <v>1</v>
      </c>
    </row>
    <row r="20" spans="1:14">
      <c r="A20" s="38" t="s">
        <v>82</v>
      </c>
      <c r="B20" s="38" t="s">
        <v>190</v>
      </c>
      <c r="C20" s="60">
        <f t="shared" si="0"/>
        <v>2</v>
      </c>
      <c r="D20" s="56">
        <v>1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1</v>
      </c>
    </row>
    <row r="21" spans="1:14">
      <c r="A21" s="38" t="s">
        <v>28</v>
      </c>
      <c r="B21" s="38" t="s">
        <v>29</v>
      </c>
      <c r="C21" s="60">
        <f t="shared" si="0"/>
        <v>2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</row>
    <row r="22" spans="1:14">
      <c r="A22" s="38" t="s">
        <v>30</v>
      </c>
      <c r="B22" s="38" t="s">
        <v>31</v>
      </c>
      <c r="C22" s="60">
        <f t="shared" si="0"/>
        <v>10</v>
      </c>
      <c r="D22" s="56">
        <v>1</v>
      </c>
      <c r="E22" s="56">
        <v>1</v>
      </c>
      <c r="F22" s="56">
        <v>1</v>
      </c>
      <c r="G22" s="56">
        <v>1</v>
      </c>
      <c r="H22" s="56">
        <v>1</v>
      </c>
      <c r="I22" s="56">
        <v>1</v>
      </c>
      <c r="J22" s="56">
        <v>1</v>
      </c>
      <c r="K22" s="56">
        <v>1</v>
      </c>
      <c r="L22" s="56">
        <v>1</v>
      </c>
      <c r="M22" s="56">
        <v>1</v>
      </c>
      <c r="N22" s="56">
        <v>0</v>
      </c>
    </row>
    <row r="23" spans="1:14">
      <c r="A23" s="38" t="s">
        <v>32</v>
      </c>
      <c r="B23" s="38" t="s">
        <v>33</v>
      </c>
      <c r="C23" s="60">
        <f t="shared" si="0"/>
        <v>10</v>
      </c>
      <c r="D23" s="56">
        <v>1</v>
      </c>
      <c r="E23" s="56">
        <v>1</v>
      </c>
      <c r="F23" s="56">
        <v>1</v>
      </c>
      <c r="G23" s="56">
        <v>1</v>
      </c>
      <c r="H23" s="56">
        <v>1</v>
      </c>
      <c r="I23" s="56">
        <v>1</v>
      </c>
      <c r="J23" s="56">
        <v>1</v>
      </c>
      <c r="K23" s="56">
        <v>1</v>
      </c>
      <c r="L23" s="56">
        <v>1</v>
      </c>
      <c r="M23" s="56">
        <v>1</v>
      </c>
      <c r="N23" s="56">
        <v>0</v>
      </c>
    </row>
    <row r="24" spans="1:14">
      <c r="A24" s="38" t="s">
        <v>34</v>
      </c>
      <c r="B24" s="38" t="s">
        <v>35</v>
      </c>
      <c r="C24" s="60">
        <f t="shared" si="0"/>
        <v>11</v>
      </c>
      <c r="D24" s="56">
        <v>1</v>
      </c>
      <c r="E24" s="56">
        <v>1</v>
      </c>
      <c r="F24" s="56">
        <v>1</v>
      </c>
      <c r="G24" s="56">
        <v>1</v>
      </c>
      <c r="H24" s="56">
        <v>1</v>
      </c>
      <c r="I24" s="56">
        <v>1</v>
      </c>
      <c r="J24" s="56">
        <v>1</v>
      </c>
      <c r="K24" s="56">
        <v>1</v>
      </c>
      <c r="L24" s="56">
        <v>1</v>
      </c>
      <c r="M24" s="56">
        <v>1</v>
      </c>
      <c r="N24" s="56">
        <v>1</v>
      </c>
    </row>
    <row r="25" spans="1:14">
      <c r="A25" s="38" t="s">
        <v>277</v>
      </c>
      <c r="B25" s="55" t="s">
        <v>278</v>
      </c>
      <c r="C25" s="60">
        <f t="shared" si="0"/>
        <v>1</v>
      </c>
      <c r="D25" s="56">
        <v>1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</row>
    <row r="26" spans="1:14">
      <c r="A26" s="38" t="s">
        <v>36</v>
      </c>
      <c r="B26" s="38" t="s">
        <v>37</v>
      </c>
      <c r="C26" s="60">
        <f t="shared" si="0"/>
        <v>9</v>
      </c>
      <c r="D26" s="56">
        <v>1</v>
      </c>
      <c r="E26" s="56">
        <v>1</v>
      </c>
      <c r="F26" s="56">
        <v>1</v>
      </c>
      <c r="G26" s="56">
        <v>1</v>
      </c>
      <c r="H26" s="56">
        <v>1</v>
      </c>
      <c r="I26" s="56">
        <v>1</v>
      </c>
      <c r="J26" s="56">
        <v>1</v>
      </c>
      <c r="K26" s="56">
        <v>1</v>
      </c>
      <c r="L26" s="56">
        <v>0</v>
      </c>
      <c r="M26" s="56">
        <v>1</v>
      </c>
      <c r="N26" s="56">
        <v>0</v>
      </c>
    </row>
    <row r="27" spans="1:14">
      <c r="A27" s="38" t="s">
        <v>38</v>
      </c>
      <c r="B27" s="38" t="s">
        <v>39</v>
      </c>
      <c r="C27" s="60">
        <f t="shared" si="0"/>
        <v>4</v>
      </c>
      <c r="D27" s="56">
        <v>1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1</v>
      </c>
      <c r="M27" s="56">
        <v>1</v>
      </c>
      <c r="N27" s="56">
        <v>1</v>
      </c>
    </row>
    <row r="28" spans="1:14">
      <c r="A28" s="38" t="s">
        <v>318</v>
      </c>
      <c r="B28" s="55" t="s">
        <v>319</v>
      </c>
      <c r="C28" s="60">
        <f t="shared" si="0"/>
        <v>8</v>
      </c>
      <c r="D28" s="56">
        <v>1</v>
      </c>
      <c r="E28" s="56">
        <v>1</v>
      </c>
      <c r="F28" s="56">
        <v>1</v>
      </c>
      <c r="G28" s="56">
        <v>1</v>
      </c>
      <c r="H28" s="56">
        <v>0</v>
      </c>
      <c r="I28" s="56">
        <v>0</v>
      </c>
      <c r="J28" s="56">
        <v>1</v>
      </c>
      <c r="K28" s="56">
        <v>1</v>
      </c>
      <c r="L28" s="56">
        <v>0</v>
      </c>
      <c r="M28" s="56">
        <v>1</v>
      </c>
      <c r="N28" s="56">
        <v>1</v>
      </c>
    </row>
    <row r="29" spans="1:14">
      <c r="A29" s="38" t="s">
        <v>91</v>
      </c>
      <c r="B29" s="38" t="s">
        <v>194</v>
      </c>
      <c r="C29" s="60">
        <f t="shared" si="0"/>
        <v>1</v>
      </c>
      <c r="D29" s="56">
        <v>1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</row>
    <row r="30" spans="1:14">
      <c r="A30" s="38" t="s">
        <v>267</v>
      </c>
      <c r="B30" s="55" t="s">
        <v>273</v>
      </c>
      <c r="C30" s="60">
        <f t="shared" si="0"/>
        <v>1</v>
      </c>
      <c r="D30" s="56">
        <v>1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</row>
    <row r="31" spans="1:14">
      <c r="A31" s="38" t="s">
        <v>279</v>
      </c>
      <c r="B31" s="55" t="s">
        <v>280</v>
      </c>
      <c r="C31" s="60">
        <f t="shared" si="0"/>
        <v>8</v>
      </c>
      <c r="D31" s="56">
        <v>1</v>
      </c>
      <c r="E31" s="56">
        <v>1</v>
      </c>
      <c r="F31" s="56">
        <v>0</v>
      </c>
      <c r="G31" s="56">
        <v>0</v>
      </c>
      <c r="H31" s="56">
        <v>1</v>
      </c>
      <c r="I31" s="56">
        <v>0</v>
      </c>
      <c r="J31" s="56">
        <v>1</v>
      </c>
      <c r="K31" s="56">
        <v>1</v>
      </c>
      <c r="L31" s="56">
        <v>1</v>
      </c>
      <c r="M31" s="56">
        <v>1</v>
      </c>
      <c r="N31" s="56">
        <v>1</v>
      </c>
    </row>
    <row r="32" spans="1:14">
      <c r="A32" s="38" t="s">
        <v>40</v>
      </c>
      <c r="B32" s="38" t="s">
        <v>41</v>
      </c>
      <c r="C32" s="60">
        <f t="shared" si="0"/>
        <v>1</v>
      </c>
      <c r="D32" s="56">
        <v>1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</row>
    <row r="33" spans="1:14">
      <c r="A33" s="38" t="s">
        <v>42</v>
      </c>
      <c r="B33" s="38" t="s">
        <v>43</v>
      </c>
      <c r="C33" s="60">
        <f t="shared" si="0"/>
        <v>1</v>
      </c>
      <c r="D33" s="56">
        <v>1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</row>
    <row r="34" spans="1:14">
      <c r="A34" s="38" t="s">
        <v>44</v>
      </c>
      <c r="B34" s="38" t="s">
        <v>45</v>
      </c>
      <c r="C34" s="60">
        <f t="shared" si="0"/>
        <v>10</v>
      </c>
      <c r="D34" s="56">
        <v>1</v>
      </c>
      <c r="E34" s="56">
        <v>0</v>
      </c>
      <c r="F34" s="56">
        <v>1</v>
      </c>
      <c r="G34" s="56">
        <v>1</v>
      </c>
      <c r="H34" s="56">
        <v>1</v>
      </c>
      <c r="I34" s="56">
        <v>1</v>
      </c>
      <c r="J34" s="56">
        <v>1</v>
      </c>
      <c r="K34" s="56">
        <v>1</v>
      </c>
      <c r="L34" s="56">
        <v>1</v>
      </c>
      <c r="M34" s="56">
        <v>1</v>
      </c>
      <c r="N34" s="56">
        <v>1</v>
      </c>
    </row>
    <row r="35" spans="1:14">
      <c r="A35" s="38" t="s">
        <v>46</v>
      </c>
      <c r="B35" s="38" t="s">
        <v>47</v>
      </c>
      <c r="C35" s="60">
        <f t="shared" ref="C35:C66" si="1">SUM(D35:N35)</f>
        <v>5</v>
      </c>
      <c r="D35" s="56">
        <v>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1</v>
      </c>
      <c r="L35" s="56">
        <v>1</v>
      </c>
      <c r="M35" s="56">
        <v>1</v>
      </c>
      <c r="N35" s="56">
        <v>1</v>
      </c>
    </row>
    <row r="36" spans="1:14">
      <c r="A36" s="38" t="s">
        <v>48</v>
      </c>
      <c r="B36" s="38" t="s">
        <v>49</v>
      </c>
      <c r="C36" s="60">
        <f t="shared" si="1"/>
        <v>1</v>
      </c>
      <c r="D36" s="56">
        <v>1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</row>
    <row r="37" spans="1:14">
      <c r="A37" s="38" t="s">
        <v>314</v>
      </c>
      <c r="B37" s="38" t="s">
        <v>315</v>
      </c>
      <c r="C37" s="60">
        <f t="shared" si="1"/>
        <v>1</v>
      </c>
      <c r="D37" s="56">
        <v>1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</row>
    <row r="38" spans="1:14">
      <c r="A38" s="38" t="s">
        <v>50</v>
      </c>
      <c r="B38" s="38" t="s">
        <v>51</v>
      </c>
      <c r="C38" s="60">
        <f t="shared" si="1"/>
        <v>1</v>
      </c>
      <c r="D38" s="56">
        <v>1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</row>
    <row r="39" spans="1:14">
      <c r="A39" s="38" t="s">
        <v>52</v>
      </c>
      <c r="B39" s="38" t="s">
        <v>53</v>
      </c>
      <c r="C39" s="60">
        <f t="shared" si="1"/>
        <v>6</v>
      </c>
      <c r="D39" s="56">
        <v>1</v>
      </c>
      <c r="E39" s="56">
        <v>1</v>
      </c>
      <c r="F39" s="56">
        <v>0</v>
      </c>
      <c r="G39" s="56">
        <v>1</v>
      </c>
      <c r="H39" s="56">
        <v>1</v>
      </c>
      <c r="I39" s="56">
        <v>1</v>
      </c>
      <c r="J39" s="56">
        <v>0</v>
      </c>
      <c r="K39" s="56">
        <v>0</v>
      </c>
      <c r="L39" s="56">
        <v>0</v>
      </c>
      <c r="M39" s="56">
        <v>0</v>
      </c>
      <c r="N39" s="56">
        <v>1</v>
      </c>
    </row>
    <row r="40" spans="1:14">
      <c r="A40" s="38" t="s">
        <v>54</v>
      </c>
      <c r="B40" s="38" t="s">
        <v>55</v>
      </c>
      <c r="C40" s="60">
        <f t="shared" si="1"/>
        <v>8</v>
      </c>
      <c r="D40" s="56">
        <v>1</v>
      </c>
      <c r="E40" s="56">
        <v>0</v>
      </c>
      <c r="F40" s="56">
        <v>1</v>
      </c>
      <c r="G40" s="56">
        <v>0</v>
      </c>
      <c r="H40" s="56">
        <v>0</v>
      </c>
      <c r="I40" s="56">
        <v>1</v>
      </c>
      <c r="J40" s="56">
        <v>1</v>
      </c>
      <c r="K40" s="56">
        <v>1</v>
      </c>
      <c r="L40" s="56">
        <v>1</v>
      </c>
      <c r="M40" s="56">
        <v>1</v>
      </c>
      <c r="N40" s="56">
        <v>1</v>
      </c>
    </row>
    <row r="41" spans="1:14">
      <c r="A41" s="38" t="s">
        <v>56</v>
      </c>
      <c r="B41" s="38" t="s">
        <v>57</v>
      </c>
      <c r="C41" s="60">
        <f t="shared" si="1"/>
        <v>1</v>
      </c>
      <c r="D41" s="56">
        <v>1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</row>
    <row r="42" spans="1:14">
      <c r="A42" s="38" t="s">
        <v>58</v>
      </c>
      <c r="B42" s="38" t="s">
        <v>59</v>
      </c>
      <c r="C42" s="60">
        <f t="shared" si="1"/>
        <v>1</v>
      </c>
      <c r="D42" s="56">
        <v>1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</row>
    <row r="43" spans="1:14">
      <c r="A43" s="38" t="s">
        <v>60</v>
      </c>
      <c r="B43" s="38" t="s">
        <v>61</v>
      </c>
      <c r="C43" s="60">
        <f t="shared" si="1"/>
        <v>11</v>
      </c>
      <c r="D43" s="56">
        <v>1</v>
      </c>
      <c r="E43" s="56">
        <v>1</v>
      </c>
      <c r="F43" s="56">
        <v>1</v>
      </c>
      <c r="G43" s="56">
        <v>1</v>
      </c>
      <c r="H43" s="56">
        <v>1</v>
      </c>
      <c r="I43" s="56">
        <v>1</v>
      </c>
      <c r="J43" s="56">
        <v>1</v>
      </c>
      <c r="K43" s="56">
        <v>1</v>
      </c>
      <c r="L43" s="56">
        <v>1</v>
      </c>
      <c r="M43" s="56">
        <v>1</v>
      </c>
      <c r="N43" s="56">
        <v>1</v>
      </c>
    </row>
    <row r="44" spans="1:14">
      <c r="A44" s="38" t="s">
        <v>62</v>
      </c>
      <c r="B44" s="38" t="s">
        <v>63</v>
      </c>
      <c r="C44" s="60">
        <f t="shared" si="1"/>
        <v>1</v>
      </c>
      <c r="D44" s="56">
        <v>1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</row>
    <row r="45" spans="1:14">
      <c r="A45" s="38" t="s">
        <v>64</v>
      </c>
      <c r="B45" s="38" t="s">
        <v>65</v>
      </c>
      <c r="C45" s="60">
        <f t="shared" si="1"/>
        <v>9</v>
      </c>
      <c r="D45" s="56">
        <v>1</v>
      </c>
      <c r="E45" s="56">
        <v>1</v>
      </c>
      <c r="F45" s="56">
        <v>1</v>
      </c>
      <c r="G45" s="56">
        <v>0</v>
      </c>
      <c r="H45" s="56">
        <v>1</v>
      </c>
      <c r="I45" s="56">
        <v>1</v>
      </c>
      <c r="J45" s="56">
        <v>1</v>
      </c>
      <c r="K45" s="56">
        <v>1</v>
      </c>
      <c r="L45" s="56">
        <v>1</v>
      </c>
      <c r="M45" s="56">
        <v>1</v>
      </c>
      <c r="N45" s="56">
        <v>0</v>
      </c>
    </row>
    <row r="46" spans="1:14">
      <c r="A46" s="38" t="s">
        <v>66</v>
      </c>
      <c r="B46" s="38" t="s">
        <v>67</v>
      </c>
      <c r="C46" s="60">
        <f t="shared" si="1"/>
        <v>1</v>
      </c>
      <c r="D46" s="56">
        <v>1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</row>
    <row r="47" spans="1:14">
      <c r="A47" s="38" t="s">
        <v>68</v>
      </c>
      <c r="B47" s="38" t="s">
        <v>69</v>
      </c>
      <c r="C47" s="60">
        <f t="shared" si="1"/>
        <v>1</v>
      </c>
      <c r="D47" s="56">
        <v>1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</row>
    <row r="48" spans="1:14">
      <c r="A48" s="38" t="s">
        <v>70</v>
      </c>
      <c r="B48" s="38" t="s">
        <v>71</v>
      </c>
      <c r="C48" s="60">
        <f t="shared" si="1"/>
        <v>1</v>
      </c>
      <c r="D48" s="56">
        <v>1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</row>
    <row r="49" spans="1:14">
      <c r="A49" s="38" t="s">
        <v>260</v>
      </c>
      <c r="B49" s="55" t="s">
        <v>265</v>
      </c>
      <c r="C49" s="60">
        <f t="shared" si="1"/>
        <v>10</v>
      </c>
      <c r="D49" s="56">
        <v>1</v>
      </c>
      <c r="E49" s="56">
        <v>1</v>
      </c>
      <c r="F49" s="56">
        <v>1</v>
      </c>
      <c r="G49" s="56">
        <v>1</v>
      </c>
      <c r="H49" s="56">
        <v>0</v>
      </c>
      <c r="I49" s="56">
        <v>1</v>
      </c>
      <c r="J49" s="56">
        <v>1</v>
      </c>
      <c r="K49" s="56">
        <v>1</v>
      </c>
      <c r="L49" s="56">
        <v>1</v>
      </c>
      <c r="M49" s="56">
        <v>1</v>
      </c>
      <c r="N49" s="56">
        <v>1</v>
      </c>
    </row>
    <row r="50" spans="1:14">
      <c r="A50" s="38" t="s">
        <v>72</v>
      </c>
      <c r="B50" s="38" t="s">
        <v>73</v>
      </c>
      <c r="C50" s="60">
        <f t="shared" si="1"/>
        <v>3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1</v>
      </c>
      <c r="M50" s="56">
        <v>1</v>
      </c>
      <c r="N50" s="56">
        <v>1</v>
      </c>
    </row>
    <row r="51" spans="1:14">
      <c r="A51" s="38" t="s">
        <v>74</v>
      </c>
      <c r="B51" s="38" t="s">
        <v>75</v>
      </c>
      <c r="C51" s="60">
        <f t="shared" si="1"/>
        <v>10</v>
      </c>
      <c r="D51" s="56">
        <v>1</v>
      </c>
      <c r="E51" s="56">
        <v>1</v>
      </c>
      <c r="F51" s="56">
        <v>1</v>
      </c>
      <c r="G51" s="56">
        <v>0</v>
      </c>
      <c r="H51" s="56">
        <v>1</v>
      </c>
      <c r="I51" s="56">
        <v>1</v>
      </c>
      <c r="J51" s="56">
        <v>1</v>
      </c>
      <c r="K51" s="56">
        <v>1</v>
      </c>
      <c r="L51" s="56">
        <v>1</v>
      </c>
      <c r="M51" s="56">
        <v>1</v>
      </c>
      <c r="N51" s="56">
        <v>1</v>
      </c>
    </row>
    <row r="52" spans="1:14">
      <c r="A52" s="38" t="s">
        <v>76</v>
      </c>
      <c r="B52" s="38" t="s">
        <v>77</v>
      </c>
      <c r="C52" s="60">
        <f t="shared" si="1"/>
        <v>11</v>
      </c>
      <c r="D52" s="56">
        <v>1</v>
      </c>
      <c r="E52" s="56">
        <v>1</v>
      </c>
      <c r="F52" s="56">
        <v>1</v>
      </c>
      <c r="G52" s="56">
        <v>1</v>
      </c>
      <c r="H52" s="56">
        <v>1</v>
      </c>
      <c r="I52" s="56">
        <v>1</v>
      </c>
      <c r="J52" s="56">
        <v>1</v>
      </c>
      <c r="K52" s="56">
        <v>1</v>
      </c>
      <c r="L52" s="56">
        <v>1</v>
      </c>
      <c r="M52" s="56">
        <v>1</v>
      </c>
      <c r="N52" s="56">
        <v>1</v>
      </c>
    </row>
    <row r="53" spans="1:14">
      <c r="A53" s="38" t="s">
        <v>79</v>
      </c>
      <c r="B53" s="38" t="s">
        <v>80</v>
      </c>
      <c r="C53" s="60">
        <f t="shared" si="1"/>
        <v>1</v>
      </c>
      <c r="D53" s="56">
        <v>1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</row>
    <row r="54" spans="1:14">
      <c r="A54" s="38" t="s">
        <v>266</v>
      </c>
      <c r="B54" s="55" t="s">
        <v>270</v>
      </c>
      <c r="C54" s="60">
        <f t="shared" si="1"/>
        <v>2</v>
      </c>
      <c r="D54" s="56">
        <v>1</v>
      </c>
      <c r="E54" s="56">
        <v>1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</row>
    <row r="55" spans="1:14">
      <c r="A55" s="38" t="s">
        <v>320</v>
      </c>
      <c r="B55" s="55" t="s">
        <v>321</v>
      </c>
      <c r="C55" s="60">
        <f t="shared" si="1"/>
        <v>1</v>
      </c>
      <c r="D55" s="56">
        <v>1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</row>
    <row r="56" spans="1:14">
      <c r="A56" s="38" t="s">
        <v>83</v>
      </c>
      <c r="B56" s="38" t="s">
        <v>84</v>
      </c>
      <c r="C56" s="60">
        <f t="shared" si="1"/>
        <v>1</v>
      </c>
      <c r="D56" s="56">
        <v>1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</row>
    <row r="57" spans="1:14">
      <c r="A57" s="38" t="s">
        <v>85</v>
      </c>
      <c r="B57" s="38" t="s">
        <v>86</v>
      </c>
      <c r="C57" s="60">
        <f t="shared" si="1"/>
        <v>11</v>
      </c>
      <c r="D57" s="56">
        <v>1</v>
      </c>
      <c r="E57" s="56">
        <v>1</v>
      </c>
      <c r="F57" s="56">
        <v>1</v>
      </c>
      <c r="G57" s="56">
        <v>1</v>
      </c>
      <c r="H57" s="56">
        <v>1</v>
      </c>
      <c r="I57" s="56">
        <v>1</v>
      </c>
      <c r="J57" s="56">
        <v>1</v>
      </c>
      <c r="K57" s="56">
        <v>1</v>
      </c>
      <c r="L57" s="56">
        <v>1</v>
      </c>
      <c r="M57" s="56">
        <v>1</v>
      </c>
      <c r="N57" s="56">
        <v>1</v>
      </c>
    </row>
    <row r="58" spans="1:14">
      <c r="A58" s="38" t="s">
        <v>87</v>
      </c>
      <c r="B58" s="38" t="s">
        <v>88</v>
      </c>
      <c r="C58" s="60">
        <f t="shared" si="1"/>
        <v>2</v>
      </c>
      <c r="D58" s="56">
        <v>1</v>
      </c>
      <c r="E58" s="56">
        <v>1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</row>
    <row r="59" spans="1:14">
      <c r="A59" s="38" t="s">
        <v>252</v>
      </c>
      <c r="B59" s="55" t="s">
        <v>253</v>
      </c>
      <c r="C59" s="60">
        <f t="shared" si="1"/>
        <v>1</v>
      </c>
      <c r="D59" s="56">
        <v>1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</row>
    <row r="60" spans="1:14">
      <c r="A60" s="38" t="s">
        <v>89</v>
      </c>
      <c r="B60" s="38" t="s">
        <v>90</v>
      </c>
      <c r="C60" s="60">
        <f t="shared" si="1"/>
        <v>1</v>
      </c>
      <c r="D60" s="56">
        <v>1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</row>
    <row r="61" spans="1:14">
      <c r="A61" s="38" t="s">
        <v>92</v>
      </c>
      <c r="B61" s="38" t="s">
        <v>93</v>
      </c>
      <c r="C61" s="60">
        <f t="shared" si="1"/>
        <v>1</v>
      </c>
      <c r="D61" s="56">
        <v>1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</row>
    <row r="62" spans="1:14">
      <c r="A62" s="38" t="s">
        <v>323</v>
      </c>
      <c r="B62" s="55" t="s">
        <v>324</v>
      </c>
      <c r="C62" s="60">
        <f t="shared" si="1"/>
        <v>1</v>
      </c>
      <c r="D62" s="56">
        <v>1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</row>
    <row r="63" spans="1:14">
      <c r="A63" s="38" t="s">
        <v>254</v>
      </c>
      <c r="B63" s="55" t="s">
        <v>255</v>
      </c>
      <c r="C63" s="60">
        <f t="shared" si="1"/>
        <v>1</v>
      </c>
      <c r="D63" s="56">
        <v>1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</row>
    <row r="64" spans="1:14">
      <c r="A64" s="38" t="s">
        <v>94</v>
      </c>
      <c r="B64" s="38" t="s">
        <v>95</v>
      </c>
      <c r="C64" s="60">
        <f t="shared" si="1"/>
        <v>2</v>
      </c>
      <c r="D64" s="56">
        <v>1</v>
      </c>
      <c r="E64" s="56">
        <v>1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</row>
    <row r="65" spans="1:14">
      <c r="A65" s="38" t="s">
        <v>256</v>
      </c>
      <c r="B65" s="55" t="s">
        <v>257</v>
      </c>
      <c r="C65" s="60">
        <f t="shared" si="1"/>
        <v>1</v>
      </c>
      <c r="D65" s="56">
        <v>1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</row>
    <row r="66" spans="1:14">
      <c r="A66" s="38" t="s">
        <v>258</v>
      </c>
      <c r="B66" s="55" t="s">
        <v>259</v>
      </c>
      <c r="C66" s="60">
        <f t="shared" si="1"/>
        <v>1</v>
      </c>
      <c r="D66" s="56">
        <v>1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</row>
    <row r="67" spans="1:14">
      <c r="A67" s="38" t="s">
        <v>269</v>
      </c>
      <c r="B67" s="55" t="s">
        <v>271</v>
      </c>
      <c r="C67" s="60">
        <f t="shared" ref="C67:C98" si="2">SUM(D67:N67)</f>
        <v>1</v>
      </c>
      <c r="D67" s="56">
        <v>1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</row>
    <row r="68" spans="1:14">
      <c r="A68" s="38"/>
      <c r="B68" s="55"/>
      <c r="C68" s="60">
        <f t="shared" si="2"/>
        <v>0</v>
      </c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1:14">
      <c r="A69" s="38"/>
      <c r="B69" s="55"/>
      <c r="C69" s="60">
        <f t="shared" si="2"/>
        <v>0</v>
      </c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</row>
    <row r="70" spans="1:14">
      <c r="A70" s="38"/>
      <c r="B70" s="55"/>
      <c r="C70" s="60">
        <f t="shared" si="2"/>
        <v>0</v>
      </c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1:14">
      <c r="A71" s="38"/>
      <c r="B71" s="55"/>
      <c r="C71" s="60">
        <f t="shared" si="2"/>
        <v>0</v>
      </c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</row>
    <row r="72" spans="1:14">
      <c r="A72" s="38"/>
      <c r="B72" s="55"/>
      <c r="C72" s="60">
        <f t="shared" si="2"/>
        <v>0</v>
      </c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4">
      <c r="A73" s="38"/>
      <c r="B73" s="55"/>
      <c r="C73" s="60">
        <f t="shared" si="2"/>
        <v>0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1:14">
      <c r="A74" s="38"/>
      <c r="B74" s="55"/>
      <c r="C74" s="60">
        <f t="shared" si="2"/>
        <v>0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4">
      <c r="A75" s="38"/>
      <c r="B75" s="55"/>
      <c r="C75" s="60">
        <f t="shared" si="2"/>
        <v>0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</row>
    <row r="76" spans="1:14">
      <c r="A76" s="38"/>
      <c r="B76" s="55"/>
      <c r="C76" s="60">
        <f t="shared" si="2"/>
        <v>0</v>
      </c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</row>
    <row r="77" spans="1:14">
      <c r="A77" s="38"/>
      <c r="B77" s="55"/>
      <c r="C77" s="60">
        <f t="shared" si="2"/>
        <v>0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</row>
    <row r="78" spans="1:14">
      <c r="A78" s="38"/>
      <c r="B78" s="55"/>
      <c r="C78" s="60">
        <f t="shared" si="2"/>
        <v>0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</row>
    <row r="79" spans="1:14">
      <c r="A79" s="38"/>
      <c r="B79" s="55"/>
      <c r="C79" s="60">
        <f t="shared" si="2"/>
        <v>0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</row>
    <row r="80" spans="1:14">
      <c r="A80" s="38"/>
      <c r="B80" s="55"/>
      <c r="C80" s="60">
        <f t="shared" si="2"/>
        <v>0</v>
      </c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</row>
    <row r="81" spans="1:14">
      <c r="A81" s="38"/>
      <c r="B81" s="55"/>
      <c r="C81" s="60">
        <f t="shared" si="2"/>
        <v>0</v>
      </c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</row>
    <row r="82" spans="1:14">
      <c r="A82" s="38"/>
      <c r="B82" s="55"/>
      <c r="C82" s="60">
        <f t="shared" si="2"/>
        <v>0</v>
      </c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</row>
    <row r="83" spans="1:14">
      <c r="A83" s="38"/>
      <c r="B83" s="55"/>
      <c r="C83" s="60">
        <f t="shared" si="2"/>
        <v>0</v>
      </c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</row>
    <row r="84" spans="1:14">
      <c r="A84" s="38"/>
      <c r="B84" s="55"/>
      <c r="C84" s="60">
        <f t="shared" si="2"/>
        <v>0</v>
      </c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</row>
    <row r="85" spans="1:14">
      <c r="A85" s="38"/>
      <c r="B85" s="55"/>
      <c r="C85" s="60">
        <f t="shared" si="2"/>
        <v>0</v>
      </c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</row>
    <row r="86" spans="1:14">
      <c r="A86" s="38"/>
      <c r="B86" s="55"/>
      <c r="C86" s="60">
        <f t="shared" si="2"/>
        <v>0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</row>
    <row r="87" spans="1:14">
      <c r="A87" s="38"/>
      <c r="B87" s="55"/>
      <c r="C87" s="60">
        <f t="shared" si="2"/>
        <v>0</v>
      </c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</row>
    <row r="88" spans="1:14">
      <c r="A88" s="38"/>
      <c r="B88" s="55"/>
      <c r="C88" s="60">
        <f t="shared" si="2"/>
        <v>0</v>
      </c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</row>
    <row r="89" spans="1:14">
      <c r="A89" s="38"/>
      <c r="B89" s="55"/>
      <c r="C89" s="60">
        <f t="shared" si="2"/>
        <v>0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</row>
    <row r="90" spans="1:14">
      <c r="A90" s="38"/>
      <c r="B90" s="55"/>
      <c r="C90" s="60">
        <f t="shared" si="2"/>
        <v>0</v>
      </c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</row>
    <row r="91" spans="1:14">
      <c r="A91" s="38"/>
      <c r="B91" s="55"/>
      <c r="C91" s="60">
        <f t="shared" si="2"/>
        <v>0</v>
      </c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</row>
    <row r="92" spans="1:14">
      <c r="A92" s="38"/>
      <c r="B92" s="55"/>
      <c r="C92" s="60">
        <f t="shared" si="2"/>
        <v>0</v>
      </c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</row>
    <row r="93" spans="1:14">
      <c r="A93" s="38"/>
      <c r="B93" s="55"/>
      <c r="C93" s="60">
        <f t="shared" si="2"/>
        <v>0</v>
      </c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pans="1:14">
      <c r="A94" s="38"/>
      <c r="B94" s="55"/>
      <c r="C94" s="60">
        <f t="shared" si="2"/>
        <v>0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</row>
    <row r="95" spans="1:14">
      <c r="A95" s="38"/>
      <c r="B95" s="55"/>
      <c r="C95" s="60">
        <f t="shared" si="2"/>
        <v>0</v>
      </c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</row>
    <row r="96" spans="1:14">
      <c r="A96" s="38"/>
      <c r="B96" s="55"/>
      <c r="C96" s="60">
        <f t="shared" si="2"/>
        <v>0</v>
      </c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</row>
    <row r="97" spans="1:14">
      <c r="A97" s="38"/>
      <c r="B97" s="55"/>
      <c r="C97" s="60">
        <f t="shared" si="2"/>
        <v>0</v>
      </c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</row>
    <row r="98" spans="1:14">
      <c r="A98" s="38"/>
      <c r="B98" s="55"/>
      <c r="C98" s="60">
        <f t="shared" si="2"/>
        <v>0</v>
      </c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</row>
    <row r="99" spans="1:14">
      <c r="A99" s="38"/>
      <c r="B99" s="55"/>
      <c r="C99" s="60">
        <f t="shared" ref="C99:C102" si="3">SUM(D99:N99)</f>
        <v>0</v>
      </c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</row>
    <row r="100" spans="1:14">
      <c r="A100" s="38"/>
      <c r="B100" s="55"/>
      <c r="C100" s="60">
        <f t="shared" si="3"/>
        <v>0</v>
      </c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</row>
    <row r="101" spans="1:14">
      <c r="A101" s="38"/>
      <c r="B101" s="55"/>
      <c r="C101" s="60">
        <f t="shared" si="3"/>
        <v>0</v>
      </c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</row>
    <row r="102" spans="1:14">
      <c r="A102" s="38"/>
      <c r="B102" s="55"/>
      <c r="C102" s="60">
        <f t="shared" si="3"/>
        <v>0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</row>
  </sheetData>
  <autoFilter ref="A2:N2">
    <sortState ref="A3:N102">
      <sortCondition ref="B2"/>
    </sortState>
  </autoFilter>
  <conditionalFormatting sqref="C3:N65 C101:N102">
    <cfRule type="colorScale" priority="36">
      <colorScale>
        <cfvo type="num" val="0"/>
        <cfvo type="num" val="1"/>
        <color rgb="FF00B050"/>
        <color rgb="FFFF0000"/>
      </colorScale>
    </cfRule>
  </conditionalFormatting>
  <conditionalFormatting sqref="C66:N66">
    <cfRule type="colorScale" priority="35">
      <colorScale>
        <cfvo type="num" val="0"/>
        <cfvo type="num" val="1"/>
        <color rgb="FF00B050"/>
        <color rgb="FFFF0000"/>
      </colorScale>
    </cfRule>
  </conditionalFormatting>
  <conditionalFormatting sqref="C67:N67">
    <cfRule type="colorScale" priority="34">
      <colorScale>
        <cfvo type="num" val="0"/>
        <cfvo type="num" val="1"/>
        <color rgb="FF00B050"/>
        <color rgb="FFFF0000"/>
      </colorScale>
    </cfRule>
  </conditionalFormatting>
  <conditionalFormatting sqref="C68:N68">
    <cfRule type="colorScale" priority="33">
      <colorScale>
        <cfvo type="num" val="0"/>
        <cfvo type="num" val="1"/>
        <color rgb="FF00B050"/>
        <color rgb="FFFF0000"/>
      </colorScale>
    </cfRule>
  </conditionalFormatting>
  <conditionalFormatting sqref="C69:N69">
    <cfRule type="colorScale" priority="32">
      <colorScale>
        <cfvo type="num" val="0"/>
        <cfvo type="num" val="1"/>
        <color rgb="FF00B050"/>
        <color rgb="FFFF0000"/>
      </colorScale>
    </cfRule>
  </conditionalFormatting>
  <conditionalFormatting sqref="C70:N70">
    <cfRule type="colorScale" priority="31">
      <colorScale>
        <cfvo type="num" val="0"/>
        <cfvo type="num" val="1"/>
        <color rgb="FF00B050"/>
        <color rgb="FFFF0000"/>
      </colorScale>
    </cfRule>
  </conditionalFormatting>
  <conditionalFormatting sqref="C71:N71">
    <cfRule type="colorScale" priority="30">
      <colorScale>
        <cfvo type="num" val="0"/>
        <cfvo type="num" val="1"/>
        <color rgb="FF00B050"/>
        <color rgb="FFFF0000"/>
      </colorScale>
    </cfRule>
  </conditionalFormatting>
  <conditionalFormatting sqref="C72:N72">
    <cfRule type="colorScale" priority="29">
      <colorScale>
        <cfvo type="num" val="0"/>
        <cfvo type="num" val="1"/>
        <color rgb="FF00B050"/>
        <color rgb="FFFF0000"/>
      </colorScale>
    </cfRule>
  </conditionalFormatting>
  <conditionalFormatting sqref="C73:N73">
    <cfRule type="colorScale" priority="28">
      <colorScale>
        <cfvo type="num" val="0"/>
        <cfvo type="num" val="1"/>
        <color rgb="FF00B050"/>
        <color rgb="FFFF0000"/>
      </colorScale>
    </cfRule>
  </conditionalFormatting>
  <conditionalFormatting sqref="C74:N74">
    <cfRule type="colorScale" priority="27">
      <colorScale>
        <cfvo type="num" val="0"/>
        <cfvo type="num" val="1"/>
        <color rgb="FF00B050"/>
        <color rgb="FFFF0000"/>
      </colorScale>
    </cfRule>
  </conditionalFormatting>
  <conditionalFormatting sqref="C75:N75">
    <cfRule type="colorScale" priority="26">
      <colorScale>
        <cfvo type="num" val="0"/>
        <cfvo type="num" val="1"/>
        <color rgb="FF00B050"/>
        <color rgb="FFFF0000"/>
      </colorScale>
    </cfRule>
  </conditionalFormatting>
  <conditionalFormatting sqref="C76:N76">
    <cfRule type="colorScale" priority="25">
      <colorScale>
        <cfvo type="num" val="0"/>
        <cfvo type="num" val="1"/>
        <color rgb="FF00B050"/>
        <color rgb="FFFF0000"/>
      </colorScale>
    </cfRule>
  </conditionalFormatting>
  <conditionalFormatting sqref="C77:N77">
    <cfRule type="colorScale" priority="24">
      <colorScale>
        <cfvo type="num" val="0"/>
        <cfvo type="num" val="1"/>
        <color rgb="FF00B050"/>
        <color rgb="FFFF0000"/>
      </colorScale>
    </cfRule>
  </conditionalFormatting>
  <conditionalFormatting sqref="C78:N78">
    <cfRule type="colorScale" priority="23">
      <colorScale>
        <cfvo type="num" val="0"/>
        <cfvo type="num" val="1"/>
        <color rgb="FF00B050"/>
        <color rgb="FFFF0000"/>
      </colorScale>
    </cfRule>
  </conditionalFormatting>
  <conditionalFormatting sqref="C79:N79">
    <cfRule type="colorScale" priority="22">
      <colorScale>
        <cfvo type="num" val="0"/>
        <cfvo type="num" val="1"/>
        <color rgb="FF00B050"/>
        <color rgb="FFFF0000"/>
      </colorScale>
    </cfRule>
  </conditionalFormatting>
  <conditionalFormatting sqref="C80:N80">
    <cfRule type="colorScale" priority="21">
      <colorScale>
        <cfvo type="num" val="0"/>
        <cfvo type="num" val="1"/>
        <color rgb="FF00B050"/>
        <color rgb="FFFF0000"/>
      </colorScale>
    </cfRule>
  </conditionalFormatting>
  <conditionalFormatting sqref="C81:N81">
    <cfRule type="colorScale" priority="20">
      <colorScale>
        <cfvo type="num" val="0"/>
        <cfvo type="num" val="1"/>
        <color rgb="FF00B050"/>
        <color rgb="FFFF0000"/>
      </colorScale>
    </cfRule>
  </conditionalFormatting>
  <conditionalFormatting sqref="C82:N82">
    <cfRule type="colorScale" priority="19">
      <colorScale>
        <cfvo type="num" val="0"/>
        <cfvo type="num" val="1"/>
        <color rgb="FF00B050"/>
        <color rgb="FFFF0000"/>
      </colorScale>
    </cfRule>
  </conditionalFormatting>
  <conditionalFormatting sqref="C83:N83">
    <cfRule type="colorScale" priority="18">
      <colorScale>
        <cfvo type="num" val="0"/>
        <cfvo type="num" val="1"/>
        <color rgb="FF00B050"/>
        <color rgb="FFFF0000"/>
      </colorScale>
    </cfRule>
  </conditionalFormatting>
  <conditionalFormatting sqref="C84:N84">
    <cfRule type="colorScale" priority="17">
      <colorScale>
        <cfvo type="num" val="0"/>
        <cfvo type="num" val="1"/>
        <color rgb="FF00B050"/>
        <color rgb="FFFF0000"/>
      </colorScale>
    </cfRule>
  </conditionalFormatting>
  <conditionalFormatting sqref="C85:N85">
    <cfRule type="colorScale" priority="16">
      <colorScale>
        <cfvo type="num" val="0"/>
        <cfvo type="num" val="1"/>
        <color rgb="FF00B050"/>
        <color rgb="FFFF0000"/>
      </colorScale>
    </cfRule>
  </conditionalFormatting>
  <conditionalFormatting sqref="C86:N86">
    <cfRule type="colorScale" priority="15">
      <colorScale>
        <cfvo type="num" val="0"/>
        <cfvo type="num" val="1"/>
        <color rgb="FF00B050"/>
        <color rgb="FFFF0000"/>
      </colorScale>
    </cfRule>
  </conditionalFormatting>
  <conditionalFormatting sqref="C87:N87">
    <cfRule type="colorScale" priority="14">
      <colorScale>
        <cfvo type="num" val="0"/>
        <cfvo type="num" val="1"/>
        <color rgb="FF00B050"/>
        <color rgb="FFFF0000"/>
      </colorScale>
    </cfRule>
  </conditionalFormatting>
  <conditionalFormatting sqref="C88:N88">
    <cfRule type="colorScale" priority="13">
      <colorScale>
        <cfvo type="num" val="0"/>
        <cfvo type="num" val="1"/>
        <color rgb="FF00B050"/>
        <color rgb="FFFF0000"/>
      </colorScale>
    </cfRule>
  </conditionalFormatting>
  <conditionalFormatting sqref="C89:N89">
    <cfRule type="colorScale" priority="12">
      <colorScale>
        <cfvo type="num" val="0"/>
        <cfvo type="num" val="1"/>
        <color rgb="FF00B050"/>
        <color rgb="FFFF0000"/>
      </colorScale>
    </cfRule>
  </conditionalFormatting>
  <conditionalFormatting sqref="C90:N90">
    <cfRule type="colorScale" priority="11">
      <colorScale>
        <cfvo type="num" val="0"/>
        <cfvo type="num" val="1"/>
        <color rgb="FF00B050"/>
        <color rgb="FFFF0000"/>
      </colorScale>
    </cfRule>
  </conditionalFormatting>
  <conditionalFormatting sqref="C91:N91">
    <cfRule type="colorScale" priority="10">
      <colorScale>
        <cfvo type="num" val="0"/>
        <cfvo type="num" val="1"/>
        <color rgb="FF00B050"/>
        <color rgb="FFFF0000"/>
      </colorScale>
    </cfRule>
  </conditionalFormatting>
  <conditionalFormatting sqref="C92:N92">
    <cfRule type="colorScale" priority="9">
      <colorScale>
        <cfvo type="num" val="0"/>
        <cfvo type="num" val="1"/>
        <color rgb="FF00B050"/>
        <color rgb="FFFF0000"/>
      </colorScale>
    </cfRule>
  </conditionalFormatting>
  <conditionalFormatting sqref="C93:N93">
    <cfRule type="colorScale" priority="8">
      <colorScale>
        <cfvo type="num" val="0"/>
        <cfvo type="num" val="1"/>
        <color rgb="FF00B050"/>
        <color rgb="FFFF0000"/>
      </colorScale>
    </cfRule>
  </conditionalFormatting>
  <conditionalFormatting sqref="C94:N94">
    <cfRule type="colorScale" priority="7">
      <colorScale>
        <cfvo type="num" val="0"/>
        <cfvo type="num" val="1"/>
        <color rgb="FF00B050"/>
        <color rgb="FFFF0000"/>
      </colorScale>
    </cfRule>
  </conditionalFormatting>
  <conditionalFormatting sqref="C95:N95">
    <cfRule type="colorScale" priority="6">
      <colorScale>
        <cfvo type="num" val="0"/>
        <cfvo type="num" val="1"/>
        <color rgb="FF00B050"/>
        <color rgb="FFFF0000"/>
      </colorScale>
    </cfRule>
  </conditionalFormatting>
  <conditionalFormatting sqref="C96:N96">
    <cfRule type="colorScale" priority="5">
      <colorScale>
        <cfvo type="num" val="0"/>
        <cfvo type="num" val="1"/>
        <color rgb="FF00B050"/>
        <color rgb="FFFF0000"/>
      </colorScale>
    </cfRule>
  </conditionalFormatting>
  <conditionalFormatting sqref="C97:N97">
    <cfRule type="colorScale" priority="4">
      <colorScale>
        <cfvo type="num" val="0"/>
        <cfvo type="num" val="1"/>
        <color rgb="FF00B050"/>
        <color rgb="FFFF0000"/>
      </colorScale>
    </cfRule>
  </conditionalFormatting>
  <conditionalFormatting sqref="C98:N98">
    <cfRule type="colorScale" priority="3">
      <colorScale>
        <cfvo type="num" val="0"/>
        <cfvo type="num" val="1"/>
        <color rgb="FF00B050"/>
        <color rgb="FFFF0000"/>
      </colorScale>
    </cfRule>
  </conditionalFormatting>
  <conditionalFormatting sqref="C99:N99">
    <cfRule type="colorScale" priority="2">
      <colorScale>
        <cfvo type="num" val="0"/>
        <cfvo type="num" val="1"/>
        <color rgb="FF00B050"/>
        <color rgb="FFFF0000"/>
      </colorScale>
    </cfRule>
  </conditionalFormatting>
  <conditionalFormatting sqref="C100:N100">
    <cfRule type="colorScale" priority="1">
      <colorScale>
        <cfvo type="num" val="0"/>
        <cfvo type="num" val="1"/>
        <color rgb="FF00B050"/>
        <color rgb="FFFF0000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38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23.42578125" bestFit="1" customWidth="1"/>
    <col min="2" max="2" width="15.28515625" bestFit="1" customWidth="1"/>
    <col min="3" max="3" width="7.140625" bestFit="1" customWidth="1"/>
    <col min="4" max="4" width="14.28515625" style="74" bestFit="1" customWidth="1"/>
    <col min="5" max="5" width="15.85546875" style="74" bestFit="1" customWidth="1"/>
    <col min="6" max="6" width="13.5703125" style="85" customWidth="1"/>
    <col min="7" max="7" width="15" style="85" customWidth="1"/>
    <col min="8" max="8" width="19.7109375" style="85" bestFit="1" customWidth="1"/>
    <col min="9" max="9" width="21.140625" style="85" bestFit="1" customWidth="1"/>
    <col min="10" max="10" width="19" style="2" bestFit="1" customWidth="1"/>
    <col min="11" max="11" width="20.5703125" style="2" bestFit="1" customWidth="1"/>
    <col min="12" max="12" width="16.28515625" style="2" bestFit="1" customWidth="1"/>
    <col min="13" max="13" width="17.7109375" style="2" bestFit="1" customWidth="1"/>
    <col min="14" max="14" width="16.7109375" style="35" bestFit="1" customWidth="1"/>
    <col min="15" max="15" width="18.28515625" style="35" bestFit="1" customWidth="1"/>
    <col min="16" max="16" width="7.7109375" style="35" bestFit="1" customWidth="1"/>
  </cols>
  <sheetData>
    <row r="1" spans="1:16">
      <c r="A1" s="1" t="s">
        <v>0</v>
      </c>
      <c r="B1" s="1" t="s">
        <v>1</v>
      </c>
      <c r="C1" s="1" t="s">
        <v>132</v>
      </c>
      <c r="D1" s="73" t="s">
        <v>197</v>
      </c>
      <c r="E1" s="73" t="s">
        <v>198</v>
      </c>
      <c r="F1" s="84" t="s">
        <v>133</v>
      </c>
      <c r="G1" s="84" t="s">
        <v>134</v>
      </c>
      <c r="H1" s="84" t="s">
        <v>139</v>
      </c>
      <c r="I1" s="84" t="s">
        <v>140</v>
      </c>
      <c r="J1" s="33" t="s">
        <v>156</v>
      </c>
      <c r="K1" s="33" t="s">
        <v>157</v>
      </c>
      <c r="L1" s="33" t="s">
        <v>250</v>
      </c>
      <c r="M1" s="33" t="s">
        <v>251</v>
      </c>
      <c r="N1" s="34" t="s">
        <v>135</v>
      </c>
      <c r="O1" s="34" t="s">
        <v>136</v>
      </c>
      <c r="P1" s="34" t="s">
        <v>158</v>
      </c>
    </row>
    <row r="2" spans="1:16">
      <c r="A2" t="s">
        <v>74</v>
      </c>
      <c r="B2" t="s">
        <v>137</v>
      </c>
      <c r="C2">
        <v>2013</v>
      </c>
      <c r="F2" s="85">
        <v>8.7200000000000006</v>
      </c>
      <c r="G2" s="85">
        <v>4.91</v>
      </c>
      <c r="N2" s="35">
        <v>41.5</v>
      </c>
      <c r="O2" s="35">
        <v>53.5</v>
      </c>
      <c r="P2" s="35">
        <v>100</v>
      </c>
    </row>
    <row r="3" spans="1:16">
      <c r="A3" t="s">
        <v>2</v>
      </c>
      <c r="B3" t="s">
        <v>3</v>
      </c>
      <c r="C3">
        <v>2007</v>
      </c>
      <c r="F3" s="85">
        <v>5.13</v>
      </c>
      <c r="G3" s="85">
        <v>2.81</v>
      </c>
      <c r="N3" s="35">
        <v>81.5</v>
      </c>
      <c r="O3" s="35">
        <v>81.5</v>
      </c>
      <c r="P3" s="35">
        <v>175</v>
      </c>
    </row>
    <row r="4" spans="1:16">
      <c r="A4" t="s">
        <v>4</v>
      </c>
      <c r="B4" t="s">
        <v>5</v>
      </c>
      <c r="C4">
        <v>2006</v>
      </c>
      <c r="J4" s="2">
        <v>45.73</v>
      </c>
      <c r="N4" s="35">
        <v>80.5</v>
      </c>
      <c r="O4" s="35">
        <v>82.5</v>
      </c>
      <c r="P4" s="35">
        <v>175</v>
      </c>
    </row>
    <row r="5" spans="1:16">
      <c r="A5" s="38" t="s">
        <v>4</v>
      </c>
      <c r="B5" s="38" t="s">
        <v>5</v>
      </c>
      <c r="C5">
        <v>2006</v>
      </c>
      <c r="F5" s="85">
        <v>9.0500000000000007</v>
      </c>
      <c r="G5" s="85">
        <v>9.2260000000000009</v>
      </c>
      <c r="N5" s="35">
        <v>187.5</v>
      </c>
      <c r="O5" s="35">
        <v>171.5</v>
      </c>
      <c r="P5" s="35">
        <v>300</v>
      </c>
    </row>
    <row r="6" spans="1:16">
      <c r="A6" t="s">
        <v>4</v>
      </c>
      <c r="B6" t="s">
        <v>5</v>
      </c>
      <c r="C6">
        <v>2007</v>
      </c>
      <c r="J6" s="2">
        <v>52.57</v>
      </c>
      <c r="N6" s="35">
        <v>80.5</v>
      </c>
      <c r="O6" s="35">
        <v>88.5</v>
      </c>
      <c r="P6" s="35">
        <v>175</v>
      </c>
    </row>
    <row r="7" spans="1:16">
      <c r="A7" s="38" t="s">
        <v>4</v>
      </c>
      <c r="B7" s="38" t="s">
        <v>5</v>
      </c>
      <c r="C7">
        <v>2007</v>
      </c>
      <c r="F7" s="85">
        <v>11.16</v>
      </c>
      <c r="G7" s="85">
        <v>11.209</v>
      </c>
      <c r="N7" s="35">
        <v>187.5</v>
      </c>
      <c r="O7" s="35">
        <v>171.5</v>
      </c>
      <c r="P7" s="35">
        <v>300</v>
      </c>
    </row>
    <row r="8" spans="1:16">
      <c r="A8" t="s">
        <v>4</v>
      </c>
      <c r="B8" t="s">
        <v>5</v>
      </c>
      <c r="C8">
        <v>2008</v>
      </c>
      <c r="J8" s="2">
        <v>51.57</v>
      </c>
      <c r="N8" s="35">
        <v>80.5</v>
      </c>
      <c r="O8" s="35">
        <v>117</v>
      </c>
      <c r="P8" s="35">
        <v>175</v>
      </c>
    </row>
    <row r="9" spans="1:16">
      <c r="A9" s="38" t="s">
        <v>4</v>
      </c>
      <c r="B9" s="38" t="s">
        <v>5</v>
      </c>
      <c r="C9">
        <v>2008</v>
      </c>
      <c r="F9" s="85">
        <v>10.23</v>
      </c>
      <c r="G9" s="85">
        <v>10.387</v>
      </c>
      <c r="N9" s="35">
        <v>187.5</v>
      </c>
      <c r="O9" s="35">
        <v>171.5</v>
      </c>
      <c r="P9" s="35">
        <v>300</v>
      </c>
    </row>
    <row r="10" spans="1:16">
      <c r="A10" s="38" t="s">
        <v>4</v>
      </c>
      <c r="B10" s="38" t="s">
        <v>5</v>
      </c>
      <c r="C10">
        <v>2009</v>
      </c>
      <c r="F10" s="85">
        <v>9.02</v>
      </c>
      <c r="G10" s="85">
        <v>11.834</v>
      </c>
      <c r="N10" s="35">
        <v>187.5</v>
      </c>
      <c r="O10" s="35">
        <v>171.5</v>
      </c>
      <c r="P10" s="35">
        <v>300</v>
      </c>
    </row>
    <row r="11" spans="1:16">
      <c r="A11" s="38" t="s">
        <v>4</v>
      </c>
      <c r="B11" s="38" t="s">
        <v>5</v>
      </c>
      <c r="C11">
        <v>2010</v>
      </c>
      <c r="F11" s="85">
        <v>10.11</v>
      </c>
      <c r="G11" s="85">
        <v>12.343</v>
      </c>
      <c r="N11" s="35">
        <v>187.5</v>
      </c>
      <c r="O11" s="35">
        <v>171.5</v>
      </c>
      <c r="P11" s="35">
        <v>300</v>
      </c>
    </row>
    <row r="12" spans="1:16">
      <c r="A12" s="38" t="s">
        <v>4</v>
      </c>
      <c r="B12" s="38" t="s">
        <v>5</v>
      </c>
      <c r="C12">
        <v>2011</v>
      </c>
      <c r="F12" s="85">
        <v>10.98</v>
      </c>
      <c r="G12" s="85">
        <v>11.858000000000001</v>
      </c>
      <c r="N12" s="35">
        <v>187.5</v>
      </c>
      <c r="O12" s="35">
        <v>171.5</v>
      </c>
      <c r="P12" s="35">
        <v>300</v>
      </c>
    </row>
    <row r="13" spans="1:16">
      <c r="A13" s="38" t="s">
        <v>4</v>
      </c>
      <c r="B13" s="38" t="s">
        <v>5</v>
      </c>
      <c r="C13">
        <v>2012</v>
      </c>
      <c r="F13" s="85">
        <v>11.16</v>
      </c>
      <c r="G13" s="85">
        <v>13.055</v>
      </c>
      <c r="N13" s="35">
        <v>187.5</v>
      </c>
      <c r="O13" s="35">
        <v>171.5</v>
      </c>
      <c r="P13" s="35">
        <v>300</v>
      </c>
    </row>
    <row r="14" spans="1:16">
      <c r="A14" s="38" t="s">
        <v>4</v>
      </c>
      <c r="B14" s="38" t="s">
        <v>5</v>
      </c>
      <c r="C14">
        <v>2013</v>
      </c>
      <c r="F14" s="85">
        <v>12.93</v>
      </c>
      <c r="G14" s="85">
        <v>13.863</v>
      </c>
      <c r="N14" s="35">
        <v>187.5</v>
      </c>
      <c r="O14" s="35">
        <v>171.5</v>
      </c>
      <c r="P14" s="35">
        <v>300</v>
      </c>
    </row>
    <row r="15" spans="1:16">
      <c r="A15" s="38" t="s">
        <v>4</v>
      </c>
      <c r="B15" s="38" t="s">
        <v>5</v>
      </c>
      <c r="C15">
        <v>2014</v>
      </c>
      <c r="F15" s="85">
        <v>10.81</v>
      </c>
      <c r="G15" s="85">
        <v>13.750999999999999</v>
      </c>
      <c r="N15" s="35">
        <v>187.5</v>
      </c>
      <c r="O15" s="35">
        <v>171.5</v>
      </c>
      <c r="P15" s="35">
        <v>300</v>
      </c>
    </row>
    <row r="16" spans="1:16">
      <c r="A16" s="38" t="s">
        <v>4</v>
      </c>
      <c r="B16" s="38" t="s">
        <v>5</v>
      </c>
      <c r="C16">
        <v>2015</v>
      </c>
      <c r="F16" s="85">
        <v>10.28</v>
      </c>
      <c r="G16" s="85">
        <v>12.548999999999999</v>
      </c>
      <c r="N16" s="35">
        <v>187.5</v>
      </c>
      <c r="O16" s="35">
        <v>171.5</v>
      </c>
      <c r="P16" s="35">
        <v>300</v>
      </c>
    </row>
    <row r="17" spans="1:16">
      <c r="A17" s="52" t="s">
        <v>6</v>
      </c>
      <c r="B17" s="52" t="s">
        <v>7</v>
      </c>
      <c r="C17" s="52">
        <v>2006</v>
      </c>
      <c r="D17" s="75"/>
      <c r="E17" s="75"/>
      <c r="F17" s="81">
        <v>2.36</v>
      </c>
      <c r="G17" s="81">
        <v>2.4500000000000002</v>
      </c>
      <c r="H17" s="81"/>
      <c r="I17" s="81"/>
      <c r="J17" s="53">
        <v>12.73</v>
      </c>
      <c r="K17" s="53"/>
      <c r="L17" s="53"/>
      <c r="M17" s="53"/>
      <c r="N17" s="54">
        <v>133.5</v>
      </c>
      <c r="O17" s="54">
        <v>136.5</v>
      </c>
      <c r="P17" s="54">
        <v>300</v>
      </c>
    </row>
    <row r="18" spans="1:16">
      <c r="A18" s="52" t="s">
        <v>6</v>
      </c>
      <c r="B18" s="52" t="s">
        <v>7</v>
      </c>
      <c r="C18" s="52">
        <v>2007</v>
      </c>
      <c r="D18" s="75"/>
      <c r="E18" s="75"/>
      <c r="F18" s="81">
        <v>2.76</v>
      </c>
      <c r="G18" s="81">
        <v>2.8490000000000002</v>
      </c>
      <c r="H18" s="81"/>
      <c r="I18" s="81"/>
      <c r="J18" s="53">
        <v>13.25</v>
      </c>
      <c r="K18" s="53"/>
      <c r="L18" s="53"/>
      <c r="M18" s="53"/>
      <c r="N18" s="54">
        <v>133.5</v>
      </c>
      <c r="O18" s="54">
        <v>136.5</v>
      </c>
      <c r="P18" s="54">
        <v>300</v>
      </c>
    </row>
    <row r="19" spans="1:16">
      <c r="A19" s="52" t="s">
        <v>6</v>
      </c>
      <c r="B19" s="52" t="s">
        <v>7</v>
      </c>
      <c r="C19" s="52">
        <v>2008</v>
      </c>
      <c r="D19" s="75"/>
      <c r="E19" s="75"/>
      <c r="F19" s="81">
        <v>4.84</v>
      </c>
      <c r="G19" s="81">
        <v>2.7730000000000001</v>
      </c>
      <c r="H19" s="81"/>
      <c r="I19" s="81"/>
      <c r="J19" s="53">
        <v>13.26</v>
      </c>
      <c r="K19" s="53"/>
      <c r="L19" s="53"/>
      <c r="M19" s="53"/>
      <c r="N19" s="54">
        <v>133.5</v>
      </c>
      <c r="O19" s="54">
        <v>136.5</v>
      </c>
      <c r="P19" s="54">
        <v>300</v>
      </c>
    </row>
    <row r="20" spans="1:16">
      <c r="A20" s="52" t="s">
        <v>6</v>
      </c>
      <c r="B20" s="52" t="s">
        <v>7</v>
      </c>
      <c r="C20" s="52">
        <v>2009</v>
      </c>
      <c r="D20" s="75"/>
      <c r="E20" s="75"/>
      <c r="F20" s="81">
        <v>2.91</v>
      </c>
      <c r="G20" s="81">
        <v>3.069</v>
      </c>
      <c r="H20" s="81"/>
      <c r="I20" s="81"/>
      <c r="J20" s="53">
        <v>13.4</v>
      </c>
      <c r="K20" s="53"/>
      <c r="L20" s="53"/>
      <c r="M20" s="53"/>
      <c r="N20" s="54">
        <v>133.5</v>
      </c>
      <c r="O20" s="54">
        <v>136.5</v>
      </c>
      <c r="P20" s="54">
        <v>300</v>
      </c>
    </row>
    <row r="21" spans="1:16">
      <c r="A21" s="52" t="s">
        <v>6</v>
      </c>
      <c r="B21" s="52" t="s">
        <v>7</v>
      </c>
      <c r="C21" s="52">
        <v>2010</v>
      </c>
      <c r="D21" s="75"/>
      <c r="E21" s="75"/>
      <c r="F21" s="81">
        <v>10.119999999999999</v>
      </c>
      <c r="G21" s="81">
        <v>3.3069999999999999</v>
      </c>
      <c r="H21" s="81"/>
      <c r="I21" s="81"/>
      <c r="J21" s="53"/>
      <c r="K21" s="53"/>
      <c r="L21" s="53"/>
      <c r="M21" s="53"/>
      <c r="N21" s="54">
        <v>133.5</v>
      </c>
      <c r="O21" s="54">
        <v>136.5</v>
      </c>
      <c r="P21" s="54">
        <v>300</v>
      </c>
    </row>
    <row r="22" spans="1:16">
      <c r="A22" s="52" t="s">
        <v>6</v>
      </c>
      <c r="B22" s="52" t="s">
        <v>7</v>
      </c>
      <c r="C22" s="52">
        <v>2011</v>
      </c>
      <c r="D22" s="75"/>
      <c r="E22" s="75"/>
      <c r="F22" s="81">
        <v>2.96</v>
      </c>
      <c r="G22" s="81">
        <v>3.14</v>
      </c>
      <c r="H22" s="81"/>
      <c r="I22" s="81"/>
      <c r="J22" s="53"/>
      <c r="K22" s="53"/>
      <c r="L22" s="53"/>
      <c r="M22" s="53"/>
      <c r="N22" s="54">
        <v>133.5</v>
      </c>
      <c r="O22" s="54">
        <v>136.5</v>
      </c>
      <c r="P22" s="54">
        <v>300</v>
      </c>
    </row>
    <row r="23" spans="1:16">
      <c r="A23" s="52" t="s">
        <v>6</v>
      </c>
      <c r="B23" s="52" t="s">
        <v>7</v>
      </c>
      <c r="C23" s="52">
        <v>2012</v>
      </c>
      <c r="D23" s="75"/>
      <c r="E23" s="75"/>
      <c r="F23" s="81">
        <v>3.32</v>
      </c>
      <c r="G23" s="81">
        <v>3.45</v>
      </c>
      <c r="H23" s="81"/>
      <c r="I23" s="81"/>
      <c r="J23" s="53"/>
      <c r="K23" s="53"/>
      <c r="L23" s="53"/>
      <c r="M23" s="53"/>
      <c r="N23" s="54">
        <v>133.5</v>
      </c>
      <c r="O23" s="54">
        <v>136.5</v>
      </c>
      <c r="P23" s="54">
        <v>300</v>
      </c>
    </row>
    <row r="24" spans="1:16">
      <c r="A24" s="55" t="s">
        <v>6</v>
      </c>
      <c r="B24" s="55" t="s">
        <v>7</v>
      </c>
      <c r="C24" s="52">
        <v>2013</v>
      </c>
      <c r="D24" s="75"/>
      <c r="E24" s="75"/>
      <c r="F24" s="81">
        <v>3.13</v>
      </c>
      <c r="G24" s="81">
        <v>3.6080000000000001</v>
      </c>
      <c r="H24" s="81"/>
      <c r="I24" s="81"/>
      <c r="J24" s="53"/>
      <c r="K24" s="53"/>
      <c r="L24" s="53"/>
      <c r="M24" s="53"/>
      <c r="N24" s="54">
        <v>133.5</v>
      </c>
      <c r="O24" s="54">
        <v>136.5</v>
      </c>
      <c r="P24" s="54">
        <v>300</v>
      </c>
    </row>
    <row r="25" spans="1:16">
      <c r="A25" s="55" t="s">
        <v>6</v>
      </c>
      <c r="B25" s="55" t="s">
        <v>7</v>
      </c>
      <c r="C25" s="52">
        <v>2014</v>
      </c>
      <c r="D25" s="75"/>
      <c r="E25" s="75"/>
      <c r="F25" s="81">
        <v>4.5199999999999996</v>
      </c>
      <c r="G25" s="81">
        <v>3.3650000000000002</v>
      </c>
      <c r="H25" s="81"/>
      <c r="I25" s="81"/>
      <c r="J25" s="53"/>
      <c r="K25" s="53"/>
      <c r="L25" s="53"/>
      <c r="M25" s="53"/>
      <c r="N25" s="54">
        <v>133.5</v>
      </c>
      <c r="O25" s="54">
        <v>136.5</v>
      </c>
      <c r="P25" s="54">
        <v>300</v>
      </c>
    </row>
    <row r="26" spans="1:16">
      <c r="A26" s="55" t="s">
        <v>6</v>
      </c>
      <c r="B26" s="55" t="s">
        <v>7</v>
      </c>
      <c r="C26" s="52">
        <v>2015</v>
      </c>
      <c r="D26" s="75"/>
      <c r="E26" s="75"/>
      <c r="F26" s="81">
        <v>2.9</v>
      </c>
      <c r="G26" s="81">
        <v>3.3479999999999999</v>
      </c>
      <c r="H26" s="81"/>
      <c r="I26" s="81"/>
      <c r="J26" s="53"/>
      <c r="K26" s="53"/>
      <c r="L26" s="53"/>
      <c r="M26" s="53"/>
      <c r="N26" s="54">
        <v>133.5</v>
      </c>
      <c r="O26" s="54">
        <v>136.5</v>
      </c>
      <c r="P26" s="54">
        <v>300</v>
      </c>
    </row>
    <row r="27" spans="1:16">
      <c r="A27" s="52" t="s">
        <v>8</v>
      </c>
      <c r="B27" s="52" t="s">
        <v>9</v>
      </c>
      <c r="C27" s="52">
        <v>2006</v>
      </c>
      <c r="D27" s="75"/>
      <c r="E27" s="75"/>
      <c r="F27" s="81">
        <v>2.93</v>
      </c>
      <c r="G27" s="81">
        <v>1.69</v>
      </c>
      <c r="H27" s="81"/>
      <c r="I27" s="81"/>
      <c r="J27" s="53"/>
      <c r="K27" s="53"/>
      <c r="L27" s="53"/>
      <c r="M27" s="53"/>
      <c r="N27" s="54">
        <v>106</v>
      </c>
      <c r="O27" s="54">
        <v>98</v>
      </c>
      <c r="P27" s="54">
        <v>175</v>
      </c>
    </row>
    <row r="28" spans="1:16">
      <c r="A28" s="52" t="s">
        <v>8</v>
      </c>
      <c r="B28" s="52" t="s">
        <v>9</v>
      </c>
      <c r="C28" s="52">
        <v>2007</v>
      </c>
      <c r="D28" s="75"/>
      <c r="E28" s="75"/>
      <c r="F28" s="81">
        <v>1.93</v>
      </c>
      <c r="G28" s="81">
        <v>2.12</v>
      </c>
      <c r="H28" s="81"/>
      <c r="I28" s="81"/>
      <c r="J28" s="53"/>
      <c r="K28" s="53"/>
      <c r="L28" s="53"/>
      <c r="M28" s="53"/>
      <c r="N28" s="54">
        <v>106</v>
      </c>
      <c r="O28" s="54">
        <v>98</v>
      </c>
      <c r="P28" s="54">
        <v>175</v>
      </c>
    </row>
    <row r="29" spans="1:16">
      <c r="A29" s="52" t="s">
        <v>8</v>
      </c>
      <c r="B29" s="52" t="s">
        <v>9</v>
      </c>
      <c r="C29" s="52">
        <v>2008</v>
      </c>
      <c r="D29" s="75"/>
      <c r="E29" s="75"/>
      <c r="F29" s="81">
        <v>2.48</v>
      </c>
      <c r="G29" s="81">
        <v>2.16</v>
      </c>
      <c r="H29" s="81">
        <v>0.9</v>
      </c>
      <c r="I29" s="81">
        <v>0.7</v>
      </c>
      <c r="J29" s="53"/>
      <c r="K29" s="53"/>
      <c r="L29" s="53"/>
      <c r="M29" s="53"/>
      <c r="N29" s="54">
        <v>159</v>
      </c>
      <c r="O29" s="54">
        <v>168.5</v>
      </c>
      <c r="P29" s="54">
        <v>300</v>
      </c>
    </row>
    <row r="30" spans="1:16">
      <c r="A30" s="52" t="s">
        <v>8</v>
      </c>
      <c r="B30" s="52" t="s">
        <v>9</v>
      </c>
      <c r="C30" s="52">
        <v>2010</v>
      </c>
      <c r="D30" s="75"/>
      <c r="E30" s="75"/>
      <c r="F30" s="81">
        <v>1.4</v>
      </c>
      <c r="G30" s="81">
        <v>1.84</v>
      </c>
      <c r="H30" s="81"/>
      <c r="I30" s="81"/>
      <c r="J30" s="53"/>
      <c r="K30" s="53"/>
      <c r="L30" s="53"/>
      <c r="M30" s="53"/>
      <c r="N30" s="54">
        <v>106</v>
      </c>
      <c r="O30" s="54">
        <v>98</v>
      </c>
      <c r="P30" s="54">
        <v>175</v>
      </c>
    </row>
    <row r="31" spans="1:16">
      <c r="A31" s="52" t="s">
        <v>8</v>
      </c>
      <c r="B31" s="52" t="s">
        <v>9</v>
      </c>
      <c r="C31" s="52">
        <v>2011</v>
      </c>
      <c r="D31" s="75"/>
      <c r="E31" s="75"/>
      <c r="F31" s="81">
        <v>1.1000000000000001</v>
      </c>
      <c r="G31" s="81">
        <v>1.87</v>
      </c>
      <c r="H31" s="81"/>
      <c r="I31" s="81"/>
      <c r="J31" s="53"/>
      <c r="K31" s="53"/>
      <c r="L31" s="53"/>
      <c r="M31" s="53"/>
      <c r="N31" s="54">
        <v>106</v>
      </c>
      <c r="O31" s="54">
        <v>98</v>
      </c>
      <c r="P31" s="54">
        <v>175</v>
      </c>
    </row>
    <row r="32" spans="1:16">
      <c r="A32" s="52" t="s">
        <v>8</v>
      </c>
      <c r="B32" s="52" t="s">
        <v>9</v>
      </c>
      <c r="C32" s="52">
        <v>2012</v>
      </c>
      <c r="D32" s="75"/>
      <c r="E32" s="75"/>
      <c r="F32" s="81">
        <v>1.95</v>
      </c>
      <c r="G32" s="81">
        <v>2.08</v>
      </c>
      <c r="H32" s="81"/>
      <c r="I32" s="81"/>
      <c r="J32" s="53"/>
      <c r="K32" s="53"/>
      <c r="L32" s="53"/>
      <c r="M32" s="53"/>
      <c r="N32" s="54">
        <v>106</v>
      </c>
      <c r="O32" s="54">
        <v>98</v>
      </c>
      <c r="P32" s="54">
        <v>175</v>
      </c>
    </row>
    <row r="33" spans="1:16">
      <c r="A33" s="52" t="s">
        <v>8</v>
      </c>
      <c r="B33" s="52" t="s">
        <v>9</v>
      </c>
      <c r="C33" s="52">
        <v>2013</v>
      </c>
      <c r="D33" s="75"/>
      <c r="E33" s="75"/>
      <c r="F33" s="81">
        <v>2.35</v>
      </c>
      <c r="G33" s="81">
        <v>2.33</v>
      </c>
      <c r="H33" s="81"/>
      <c r="I33" s="81"/>
      <c r="J33" s="53"/>
      <c r="K33" s="53"/>
      <c r="L33" s="53"/>
      <c r="M33" s="53"/>
      <c r="N33" s="54">
        <v>106</v>
      </c>
      <c r="O33" s="54">
        <v>98</v>
      </c>
      <c r="P33" s="54">
        <v>175</v>
      </c>
    </row>
    <row r="34" spans="1:16">
      <c r="A34" s="55" t="s">
        <v>8</v>
      </c>
      <c r="B34" s="55" t="s">
        <v>9</v>
      </c>
      <c r="C34" s="52">
        <v>2014</v>
      </c>
      <c r="D34" s="75"/>
      <c r="E34" s="75"/>
      <c r="F34" s="81">
        <v>2.33</v>
      </c>
      <c r="G34" s="81">
        <v>2.5299999999999998</v>
      </c>
      <c r="H34" s="81"/>
      <c r="I34" s="81"/>
      <c r="J34" s="53"/>
      <c r="K34" s="53"/>
      <c r="L34" s="53"/>
      <c r="M34" s="53"/>
      <c r="N34" s="54">
        <v>98</v>
      </c>
      <c r="O34" s="54">
        <v>100</v>
      </c>
      <c r="P34" s="54">
        <v>175</v>
      </c>
    </row>
    <row r="35" spans="1:16">
      <c r="A35" s="55" t="s">
        <v>12</v>
      </c>
      <c r="B35" s="55" t="s">
        <v>13</v>
      </c>
      <c r="C35" s="52">
        <v>2006</v>
      </c>
      <c r="D35" s="75"/>
      <c r="E35" s="75"/>
      <c r="F35" s="81">
        <v>0.74</v>
      </c>
      <c r="G35" s="81">
        <v>0.9</v>
      </c>
      <c r="H35" s="81"/>
      <c r="I35" s="81"/>
      <c r="J35" s="53"/>
      <c r="K35" s="53"/>
      <c r="L35" s="53"/>
      <c r="M35" s="53"/>
      <c r="N35" s="54">
        <v>81.5</v>
      </c>
      <c r="O35" s="54">
        <v>50</v>
      </c>
      <c r="P35" s="54">
        <v>175</v>
      </c>
    </row>
    <row r="36" spans="1:16">
      <c r="A36" s="55" t="s">
        <v>12</v>
      </c>
      <c r="B36" s="55" t="s">
        <v>13</v>
      </c>
      <c r="C36" s="52">
        <v>2007</v>
      </c>
      <c r="D36" s="75"/>
      <c r="E36" s="75"/>
      <c r="F36" s="81">
        <v>0.13</v>
      </c>
      <c r="G36" s="81">
        <v>0.69</v>
      </c>
      <c r="H36" s="81"/>
      <c r="I36" s="81"/>
      <c r="J36" s="53"/>
      <c r="K36" s="53"/>
      <c r="L36" s="53"/>
      <c r="M36" s="53"/>
      <c r="N36" s="54">
        <v>81.5</v>
      </c>
      <c r="O36" s="54">
        <v>50</v>
      </c>
      <c r="P36" s="54">
        <v>175</v>
      </c>
    </row>
    <row r="37" spans="1:16">
      <c r="A37" s="55" t="s">
        <v>12</v>
      </c>
      <c r="B37" s="55" t="s">
        <v>13</v>
      </c>
      <c r="C37" s="52">
        <v>2008</v>
      </c>
      <c r="D37" s="75"/>
      <c r="E37" s="75"/>
      <c r="F37" s="81">
        <v>0.34</v>
      </c>
      <c r="G37" s="81">
        <v>0.78</v>
      </c>
      <c r="H37" s="81"/>
      <c r="I37" s="81"/>
      <c r="J37" s="53"/>
      <c r="K37" s="53"/>
      <c r="L37" s="53"/>
      <c r="M37" s="53"/>
      <c r="N37" s="54">
        <v>81.5</v>
      </c>
      <c r="O37" s="54">
        <v>50</v>
      </c>
      <c r="P37" s="54">
        <v>175</v>
      </c>
    </row>
    <row r="38" spans="1:16">
      <c r="A38" s="55" t="s">
        <v>12</v>
      </c>
      <c r="B38" s="55" t="s">
        <v>13</v>
      </c>
      <c r="C38" s="52">
        <v>2009</v>
      </c>
      <c r="D38" s="75"/>
      <c r="E38" s="75"/>
      <c r="F38" s="81">
        <v>0.08</v>
      </c>
      <c r="G38" s="81">
        <v>0.78</v>
      </c>
      <c r="H38" s="81"/>
      <c r="I38" s="81"/>
      <c r="J38" s="53"/>
      <c r="K38" s="53"/>
      <c r="L38" s="53"/>
      <c r="M38" s="53"/>
      <c r="N38" s="54">
        <v>81.5</v>
      </c>
      <c r="O38" s="54">
        <v>50</v>
      </c>
      <c r="P38" s="54">
        <v>175</v>
      </c>
    </row>
    <row r="39" spans="1:16">
      <c r="A39" s="55" t="s">
        <v>12</v>
      </c>
      <c r="B39" s="55" t="s">
        <v>13</v>
      </c>
      <c r="C39" s="52">
        <v>2010</v>
      </c>
      <c r="D39" s="75"/>
      <c r="E39" s="75"/>
      <c r="F39" s="81">
        <v>0.39</v>
      </c>
      <c r="G39" s="81">
        <v>0.79</v>
      </c>
      <c r="H39" s="81"/>
      <c r="I39" s="81"/>
      <c r="J39" s="53"/>
      <c r="K39" s="53"/>
      <c r="L39" s="53"/>
      <c r="M39" s="53"/>
      <c r="N39" s="54">
        <v>81.5</v>
      </c>
      <c r="O39" s="54">
        <v>50</v>
      </c>
      <c r="P39" s="54">
        <v>175</v>
      </c>
    </row>
    <row r="40" spans="1:16">
      <c r="A40" s="55" t="s">
        <v>12</v>
      </c>
      <c r="B40" s="55" t="s">
        <v>13</v>
      </c>
      <c r="C40" s="52">
        <v>2011</v>
      </c>
      <c r="D40" s="75"/>
      <c r="E40" s="75"/>
      <c r="F40" s="81">
        <v>0.13</v>
      </c>
      <c r="G40" s="81">
        <v>0.67</v>
      </c>
      <c r="H40" s="81"/>
      <c r="I40" s="81"/>
      <c r="J40" s="53"/>
      <c r="K40" s="53"/>
      <c r="L40" s="53"/>
      <c r="M40" s="53"/>
      <c r="N40" s="54">
        <v>81.5</v>
      </c>
      <c r="O40" s="54">
        <v>50</v>
      </c>
      <c r="P40" s="54">
        <v>175</v>
      </c>
    </row>
    <row r="41" spans="1:16">
      <c r="A41" s="55" t="s">
        <v>12</v>
      </c>
      <c r="B41" s="55" t="s">
        <v>13</v>
      </c>
      <c r="C41" s="52">
        <v>2012</v>
      </c>
      <c r="D41" s="75"/>
      <c r="E41" s="75"/>
      <c r="F41" s="81">
        <v>-1.22</v>
      </c>
      <c r="G41" s="81">
        <v>0.57999999999999996</v>
      </c>
      <c r="H41" s="81"/>
      <c r="I41" s="81"/>
      <c r="J41" s="53"/>
      <c r="K41" s="53"/>
      <c r="L41" s="53"/>
      <c r="M41" s="53"/>
      <c r="N41" s="54">
        <v>81.5</v>
      </c>
      <c r="O41" s="54">
        <v>50</v>
      </c>
      <c r="P41" s="54">
        <v>175</v>
      </c>
    </row>
    <row r="42" spans="1:16">
      <c r="A42" s="55" t="s">
        <v>12</v>
      </c>
      <c r="B42" s="55" t="s">
        <v>13</v>
      </c>
      <c r="C42" s="52">
        <v>2013</v>
      </c>
      <c r="D42" s="75"/>
      <c r="E42" s="75"/>
      <c r="F42" s="81">
        <v>0.21</v>
      </c>
      <c r="G42" s="81">
        <v>0.63</v>
      </c>
      <c r="H42" s="81"/>
      <c r="I42" s="81"/>
      <c r="J42" s="53"/>
      <c r="K42" s="53"/>
      <c r="L42" s="53"/>
      <c r="M42" s="53"/>
      <c r="N42" s="54">
        <v>81.5</v>
      </c>
      <c r="O42" s="54">
        <v>50</v>
      </c>
      <c r="P42" s="54">
        <v>175</v>
      </c>
    </row>
    <row r="43" spans="1:16">
      <c r="A43" s="55" t="s">
        <v>12</v>
      </c>
      <c r="B43" s="55" t="s">
        <v>13</v>
      </c>
      <c r="C43" s="52">
        <v>2014</v>
      </c>
      <c r="D43" s="75"/>
      <c r="E43" s="75"/>
      <c r="F43" s="81">
        <v>0.65</v>
      </c>
      <c r="G43" s="81">
        <v>0.53</v>
      </c>
      <c r="H43" s="81"/>
      <c r="I43" s="81"/>
      <c r="J43" s="53"/>
      <c r="K43" s="53"/>
      <c r="L43" s="53"/>
      <c r="M43" s="53"/>
      <c r="N43" s="54">
        <v>81.5</v>
      </c>
      <c r="O43" s="54">
        <v>50</v>
      </c>
      <c r="P43" s="54">
        <v>175</v>
      </c>
    </row>
    <row r="44" spans="1:16">
      <c r="A44" s="52" t="s">
        <v>312</v>
      </c>
      <c r="B44" s="52" t="s">
        <v>313</v>
      </c>
      <c r="C44" s="52">
        <v>2008</v>
      </c>
      <c r="D44" s="75"/>
      <c r="E44" s="75"/>
      <c r="F44" s="81">
        <v>0.53</v>
      </c>
      <c r="G44" s="81">
        <v>0.88300000000000001</v>
      </c>
      <c r="H44" s="81"/>
      <c r="I44" s="81"/>
      <c r="J44" s="53"/>
      <c r="K44" s="53"/>
      <c r="L44" s="53"/>
      <c r="M44" s="53"/>
      <c r="N44" s="54">
        <v>188</v>
      </c>
      <c r="O44" s="54">
        <v>177.5</v>
      </c>
      <c r="P44" s="54">
        <v>300</v>
      </c>
    </row>
    <row r="45" spans="1:16">
      <c r="A45" s="52" t="s">
        <v>312</v>
      </c>
      <c r="B45" s="52" t="s">
        <v>313</v>
      </c>
      <c r="C45" s="52">
        <v>2009</v>
      </c>
      <c r="D45" s="75"/>
      <c r="E45" s="75"/>
      <c r="F45" s="81">
        <v>1.01</v>
      </c>
      <c r="G45" s="81">
        <v>1.05</v>
      </c>
      <c r="H45" s="81"/>
      <c r="I45" s="81"/>
      <c r="J45" s="53"/>
      <c r="K45" s="53"/>
      <c r="L45" s="53"/>
      <c r="M45" s="53"/>
      <c r="N45" s="54">
        <v>188</v>
      </c>
      <c r="O45" s="54">
        <v>177.5</v>
      </c>
      <c r="P45" s="54">
        <v>300</v>
      </c>
    </row>
    <row r="46" spans="1:16">
      <c r="A46" s="52" t="s">
        <v>312</v>
      </c>
      <c r="B46" s="52" t="s">
        <v>313</v>
      </c>
      <c r="C46" s="52">
        <v>2010</v>
      </c>
      <c r="D46" s="75"/>
      <c r="E46" s="75"/>
      <c r="F46" s="81">
        <v>1.26</v>
      </c>
      <c r="G46" s="81">
        <v>1.339</v>
      </c>
      <c r="H46" s="81"/>
      <c r="I46" s="81"/>
      <c r="J46" s="53"/>
      <c r="K46" s="53"/>
      <c r="L46" s="53"/>
      <c r="M46" s="53"/>
      <c r="N46" s="54">
        <v>188</v>
      </c>
      <c r="O46" s="54">
        <v>177.5</v>
      </c>
      <c r="P46" s="54">
        <v>300</v>
      </c>
    </row>
    <row r="47" spans="1:16">
      <c r="A47" s="52" t="s">
        <v>312</v>
      </c>
      <c r="B47" s="52" t="s">
        <v>313</v>
      </c>
      <c r="C47" s="52">
        <v>2011</v>
      </c>
      <c r="D47" s="75"/>
      <c r="E47" s="75"/>
      <c r="F47" s="81">
        <v>1.39</v>
      </c>
      <c r="G47" s="81">
        <v>1.5549999999999999</v>
      </c>
      <c r="H47" s="81"/>
      <c r="I47" s="81"/>
      <c r="J47" s="53"/>
      <c r="K47" s="53"/>
      <c r="L47" s="53"/>
      <c r="M47" s="53"/>
      <c r="N47" s="54">
        <v>188</v>
      </c>
      <c r="O47" s="54">
        <v>177.5</v>
      </c>
      <c r="P47" s="54">
        <v>300</v>
      </c>
    </row>
    <row r="48" spans="1:16">
      <c r="A48" s="52" t="s">
        <v>312</v>
      </c>
      <c r="B48" s="52" t="s">
        <v>313</v>
      </c>
      <c r="C48" s="52">
        <v>2012</v>
      </c>
      <c r="D48" s="75"/>
      <c r="E48" s="75"/>
      <c r="F48" s="81">
        <v>1.76</v>
      </c>
      <c r="G48" s="81">
        <v>1.7869999999999999</v>
      </c>
      <c r="H48" s="81"/>
      <c r="I48" s="81"/>
      <c r="J48" s="53"/>
      <c r="K48" s="53"/>
      <c r="L48" s="53"/>
      <c r="M48" s="53"/>
      <c r="N48" s="54">
        <v>188</v>
      </c>
      <c r="O48" s="54">
        <v>177.5</v>
      </c>
      <c r="P48" s="54">
        <v>300</v>
      </c>
    </row>
    <row r="49" spans="1:16">
      <c r="A49" s="52" t="s">
        <v>312</v>
      </c>
      <c r="B49" s="52" t="s">
        <v>313</v>
      </c>
      <c r="C49" s="52">
        <v>2013</v>
      </c>
      <c r="D49" s="75"/>
      <c r="E49" s="75"/>
      <c r="F49" s="81">
        <v>1.87</v>
      </c>
      <c r="G49" s="81">
        <v>1.9390000000000001</v>
      </c>
      <c r="H49" s="81"/>
      <c r="I49" s="81"/>
      <c r="J49" s="53"/>
      <c r="K49" s="53"/>
      <c r="L49" s="53"/>
      <c r="M49" s="53"/>
      <c r="N49" s="54">
        <v>188</v>
      </c>
      <c r="O49" s="54">
        <v>177.5</v>
      </c>
      <c r="P49" s="54">
        <v>300</v>
      </c>
    </row>
    <row r="50" spans="1:16">
      <c r="A50" s="52" t="s">
        <v>312</v>
      </c>
      <c r="B50" s="52" t="s">
        <v>313</v>
      </c>
      <c r="C50" s="52">
        <v>2014</v>
      </c>
      <c r="D50" s="75"/>
      <c r="E50" s="75"/>
      <c r="F50" s="81">
        <v>1.96</v>
      </c>
      <c r="G50" s="81">
        <v>2</v>
      </c>
      <c r="H50" s="81"/>
      <c r="I50" s="81"/>
      <c r="J50" s="53"/>
      <c r="K50" s="53"/>
      <c r="L50" s="53"/>
      <c r="M50" s="53"/>
      <c r="N50" s="54">
        <v>188</v>
      </c>
      <c r="O50" s="54">
        <v>177.5</v>
      </c>
      <c r="P50" s="54">
        <v>300</v>
      </c>
    </row>
    <row r="51" spans="1:16">
      <c r="A51" s="52" t="s">
        <v>312</v>
      </c>
      <c r="B51" s="52" t="s">
        <v>313</v>
      </c>
      <c r="C51" s="52">
        <v>2015</v>
      </c>
      <c r="D51" s="75"/>
      <c r="E51" s="75"/>
      <c r="F51" s="81">
        <v>2.48</v>
      </c>
      <c r="G51" s="81">
        <v>2.589</v>
      </c>
      <c r="H51" s="81"/>
      <c r="I51" s="81"/>
      <c r="J51" s="53"/>
      <c r="K51" s="53"/>
      <c r="L51" s="53"/>
      <c r="M51" s="53"/>
      <c r="N51" s="54">
        <v>188</v>
      </c>
      <c r="O51" s="54">
        <v>177.5</v>
      </c>
      <c r="P51" s="54">
        <v>300</v>
      </c>
    </row>
    <row r="52" spans="1:16">
      <c r="A52" s="55" t="s">
        <v>79</v>
      </c>
      <c r="B52" s="55" t="s">
        <v>167</v>
      </c>
      <c r="C52" s="52">
        <v>2007</v>
      </c>
      <c r="D52" s="75"/>
      <c r="E52" s="75"/>
      <c r="F52" s="81">
        <v>2.13</v>
      </c>
      <c r="G52" s="81">
        <v>2.19</v>
      </c>
      <c r="H52" s="81"/>
      <c r="I52" s="81"/>
      <c r="J52" s="53"/>
      <c r="K52" s="53"/>
      <c r="L52" s="53"/>
      <c r="M52" s="53"/>
      <c r="N52" s="54">
        <v>173</v>
      </c>
      <c r="O52" s="54">
        <v>159.5</v>
      </c>
      <c r="P52" s="54">
        <v>300</v>
      </c>
    </row>
    <row r="53" spans="1:16">
      <c r="A53" s="55" t="s">
        <v>79</v>
      </c>
      <c r="B53" s="55" t="s">
        <v>167</v>
      </c>
      <c r="C53" s="52">
        <v>2008</v>
      </c>
      <c r="D53" s="75"/>
      <c r="E53" s="75"/>
      <c r="F53" s="81">
        <v>2.83</v>
      </c>
      <c r="G53" s="81">
        <v>2.19</v>
      </c>
      <c r="H53" s="81"/>
      <c r="I53" s="81"/>
      <c r="J53" s="53"/>
      <c r="K53" s="53"/>
      <c r="L53" s="53"/>
      <c r="M53" s="53"/>
      <c r="N53" s="54">
        <v>173</v>
      </c>
      <c r="O53" s="54">
        <v>159.5</v>
      </c>
      <c r="P53" s="54">
        <v>300</v>
      </c>
    </row>
    <row r="54" spans="1:16">
      <c r="A54" s="55" t="s">
        <v>79</v>
      </c>
      <c r="B54" s="55" t="s">
        <v>167</v>
      </c>
      <c r="C54" s="52">
        <v>2009</v>
      </c>
      <c r="D54" s="75"/>
      <c r="E54" s="75"/>
      <c r="F54" s="81">
        <v>1.4</v>
      </c>
      <c r="G54" s="81">
        <v>1.91</v>
      </c>
      <c r="H54" s="81"/>
      <c r="I54" s="81"/>
      <c r="J54" s="53"/>
      <c r="K54" s="53"/>
      <c r="L54" s="53"/>
      <c r="M54" s="53"/>
      <c r="N54" s="54">
        <v>173</v>
      </c>
      <c r="O54" s="54">
        <v>159.5</v>
      </c>
      <c r="P54" s="54">
        <v>300</v>
      </c>
    </row>
    <row r="55" spans="1:16">
      <c r="A55" s="55" t="s">
        <v>79</v>
      </c>
      <c r="B55" s="55" t="s">
        <v>167</v>
      </c>
      <c r="C55" s="52">
        <v>2010</v>
      </c>
      <c r="D55" s="75"/>
      <c r="E55" s="75"/>
      <c r="F55" s="81">
        <v>2.58</v>
      </c>
      <c r="G55" s="81">
        <v>2.82</v>
      </c>
      <c r="H55" s="81"/>
      <c r="I55" s="81"/>
      <c r="J55" s="53"/>
      <c r="K55" s="53"/>
      <c r="L55" s="53"/>
      <c r="M55" s="53"/>
      <c r="N55" s="54">
        <v>173</v>
      </c>
      <c r="O55" s="54">
        <v>159.5</v>
      </c>
      <c r="P55" s="54">
        <v>300</v>
      </c>
    </row>
    <row r="56" spans="1:16">
      <c r="A56" s="55" t="s">
        <v>79</v>
      </c>
      <c r="B56" s="55" t="s">
        <v>167</v>
      </c>
      <c r="C56" s="52">
        <v>2011</v>
      </c>
      <c r="D56" s="75"/>
      <c r="E56" s="75"/>
      <c r="F56" s="81">
        <v>2.69</v>
      </c>
      <c r="G56" s="81">
        <v>3.14</v>
      </c>
      <c r="H56" s="81"/>
      <c r="I56" s="81"/>
      <c r="J56" s="53"/>
      <c r="K56" s="53"/>
      <c r="L56" s="53"/>
      <c r="M56" s="53"/>
      <c r="N56" s="54">
        <v>173</v>
      </c>
      <c r="O56" s="54">
        <v>159.5</v>
      </c>
      <c r="P56" s="54">
        <v>300</v>
      </c>
    </row>
    <row r="57" spans="1:16">
      <c r="A57" s="55" t="s">
        <v>79</v>
      </c>
      <c r="B57" s="55" t="s">
        <v>167</v>
      </c>
      <c r="C57" s="52">
        <v>2012</v>
      </c>
      <c r="D57" s="75"/>
      <c r="E57" s="75"/>
      <c r="F57" s="81">
        <v>3.42</v>
      </c>
      <c r="G57" s="81">
        <v>3.63</v>
      </c>
      <c r="H57" s="81"/>
      <c r="I57" s="81"/>
      <c r="J57" s="53"/>
      <c r="K57" s="53"/>
      <c r="L57" s="53"/>
      <c r="M57" s="53"/>
      <c r="N57" s="54">
        <v>173</v>
      </c>
      <c r="O57" s="54">
        <v>159.5</v>
      </c>
      <c r="P57" s="54">
        <v>300</v>
      </c>
    </row>
    <row r="58" spans="1:16">
      <c r="A58" s="55" t="s">
        <v>79</v>
      </c>
      <c r="B58" s="55" t="s">
        <v>167</v>
      </c>
      <c r="C58" s="52">
        <v>2013</v>
      </c>
      <c r="D58" s="75"/>
      <c r="E58" s="75"/>
      <c r="F58" s="81">
        <v>3.67</v>
      </c>
      <c r="G58" s="81">
        <v>4.07</v>
      </c>
      <c r="H58" s="81"/>
      <c r="I58" s="81"/>
      <c r="J58" s="53"/>
      <c r="K58" s="53"/>
      <c r="L58" s="53"/>
      <c r="M58" s="53"/>
      <c r="N58" s="54">
        <v>173</v>
      </c>
      <c r="O58" s="54">
        <v>159.5</v>
      </c>
      <c r="P58" s="54">
        <v>300</v>
      </c>
    </row>
    <row r="59" spans="1:16">
      <c r="A59" s="55" t="s">
        <v>79</v>
      </c>
      <c r="B59" s="55" t="s">
        <v>167</v>
      </c>
      <c r="C59" s="52">
        <v>2014</v>
      </c>
      <c r="D59" s="75"/>
      <c r="E59" s="75"/>
      <c r="F59" s="81">
        <v>3.76</v>
      </c>
      <c r="G59" s="81">
        <v>4.38</v>
      </c>
      <c r="H59" s="81"/>
      <c r="I59" s="81"/>
      <c r="J59" s="53"/>
      <c r="K59" s="53"/>
      <c r="L59" s="53"/>
      <c r="M59" s="53"/>
      <c r="N59" s="54">
        <v>173</v>
      </c>
      <c r="O59" s="54">
        <v>159.5</v>
      </c>
      <c r="P59" s="54">
        <v>300</v>
      </c>
    </row>
    <row r="60" spans="1:16">
      <c r="A60" s="38" t="s">
        <v>79</v>
      </c>
      <c r="B60" s="38" t="s">
        <v>167</v>
      </c>
      <c r="C60">
        <v>2015</v>
      </c>
      <c r="F60" s="85">
        <v>4.4400000000000004</v>
      </c>
      <c r="G60" s="85">
        <v>4.88</v>
      </c>
      <c r="N60" s="35">
        <v>175.5</v>
      </c>
      <c r="O60" s="35">
        <v>175.5</v>
      </c>
      <c r="P60" s="35">
        <v>300</v>
      </c>
    </row>
    <row r="61" spans="1:16">
      <c r="A61" s="55" t="s">
        <v>266</v>
      </c>
      <c r="B61" s="55" t="s">
        <v>272</v>
      </c>
      <c r="C61" s="52">
        <v>2005</v>
      </c>
      <c r="D61" s="75"/>
      <c r="E61" s="75"/>
      <c r="F61" s="81">
        <v>3.96</v>
      </c>
      <c r="G61" s="81">
        <v>4.1900000000000004</v>
      </c>
      <c r="H61" s="81"/>
      <c r="I61" s="81"/>
      <c r="J61" s="53"/>
      <c r="K61" s="53"/>
      <c r="L61" s="53">
        <v>119.9</v>
      </c>
      <c r="M61" s="53"/>
      <c r="N61" s="54">
        <v>160.5</v>
      </c>
      <c r="O61" s="54">
        <v>146</v>
      </c>
      <c r="P61" s="54">
        <v>300</v>
      </c>
    </row>
    <row r="62" spans="1:16">
      <c r="A62" s="52" t="s">
        <v>266</v>
      </c>
      <c r="B62" s="52" t="s">
        <v>272</v>
      </c>
      <c r="C62" s="52">
        <v>2006</v>
      </c>
      <c r="D62" s="75"/>
      <c r="E62" s="75"/>
      <c r="F62" s="81">
        <v>13.3</v>
      </c>
      <c r="G62" s="81">
        <v>4.66</v>
      </c>
      <c r="H62" s="81"/>
      <c r="I62" s="81"/>
      <c r="J62" s="53"/>
      <c r="K62" s="53"/>
      <c r="L62" s="53">
        <v>160.69999999999999</v>
      </c>
      <c r="M62" s="53"/>
      <c r="N62" s="54">
        <v>160.5</v>
      </c>
      <c r="O62" s="54">
        <v>146</v>
      </c>
      <c r="P62" s="54">
        <v>300</v>
      </c>
    </row>
    <row r="63" spans="1:16">
      <c r="A63" s="52" t="s">
        <v>266</v>
      </c>
      <c r="B63" s="52" t="s">
        <v>272</v>
      </c>
      <c r="C63" s="52">
        <v>2007</v>
      </c>
      <c r="D63" s="75"/>
      <c r="E63" s="75"/>
      <c r="F63" s="81">
        <v>5.87</v>
      </c>
      <c r="G63" s="81">
        <v>5.0199999999999996</v>
      </c>
      <c r="H63" s="81"/>
      <c r="I63" s="81"/>
      <c r="J63" s="53"/>
      <c r="K63" s="53"/>
      <c r="L63" s="53">
        <v>166.3</v>
      </c>
      <c r="M63" s="53"/>
      <c r="N63" s="54">
        <v>160.5</v>
      </c>
      <c r="O63" s="54">
        <v>146</v>
      </c>
      <c r="P63" s="54">
        <v>300</v>
      </c>
    </row>
    <row r="64" spans="1:16">
      <c r="A64" s="52" t="s">
        <v>266</v>
      </c>
      <c r="B64" s="52" t="s">
        <v>272</v>
      </c>
      <c r="C64" s="52">
        <v>2008</v>
      </c>
      <c r="D64" s="75"/>
      <c r="E64" s="75"/>
      <c r="F64" s="81">
        <v>4.2699999999999996</v>
      </c>
      <c r="G64" s="81">
        <v>5.46</v>
      </c>
      <c r="H64" s="81"/>
      <c r="I64" s="81"/>
      <c r="J64" s="53"/>
      <c r="K64" s="53"/>
      <c r="L64" s="53">
        <v>168.5</v>
      </c>
      <c r="M64" s="53"/>
      <c r="N64" s="54">
        <v>160.5</v>
      </c>
      <c r="O64" s="54">
        <v>146</v>
      </c>
      <c r="P64" s="54">
        <v>300</v>
      </c>
    </row>
    <row r="65" spans="1:16">
      <c r="A65" s="52" t="s">
        <v>266</v>
      </c>
      <c r="B65" s="52" t="s">
        <v>272</v>
      </c>
      <c r="C65" s="52">
        <v>2009</v>
      </c>
      <c r="D65" s="75"/>
      <c r="E65" s="75"/>
      <c r="F65" s="81">
        <v>3.51</v>
      </c>
      <c r="G65" s="81">
        <v>4.58</v>
      </c>
      <c r="H65" s="81"/>
      <c r="I65" s="81"/>
      <c r="J65" s="53"/>
      <c r="K65" s="53"/>
      <c r="L65" s="53">
        <v>168.9</v>
      </c>
      <c r="M65" s="53"/>
      <c r="N65" s="54">
        <v>160.5</v>
      </c>
      <c r="O65" s="54">
        <v>146</v>
      </c>
      <c r="P65" s="54">
        <v>300</v>
      </c>
    </row>
    <row r="66" spans="1:16">
      <c r="A66" s="52" t="s">
        <v>266</v>
      </c>
      <c r="B66" s="52" t="s">
        <v>272</v>
      </c>
      <c r="C66" s="52">
        <v>2010</v>
      </c>
      <c r="D66" s="75"/>
      <c r="E66" s="75"/>
      <c r="F66" s="81">
        <v>5.94</v>
      </c>
      <c r="G66" s="81">
        <v>6.89</v>
      </c>
      <c r="H66" s="81"/>
      <c r="I66" s="81"/>
      <c r="J66" s="53"/>
      <c r="K66" s="53"/>
      <c r="L66" s="53">
        <v>170.3</v>
      </c>
      <c r="M66" s="53"/>
      <c r="N66" s="54">
        <v>160.5</v>
      </c>
      <c r="O66" s="54">
        <v>146</v>
      </c>
      <c r="P66" s="54">
        <v>300</v>
      </c>
    </row>
    <row r="67" spans="1:16">
      <c r="A67" s="52" t="s">
        <v>266</v>
      </c>
      <c r="B67" s="52" t="s">
        <v>272</v>
      </c>
      <c r="C67" s="52">
        <v>2011</v>
      </c>
      <c r="D67" s="75"/>
      <c r="E67" s="75"/>
      <c r="F67" s="81">
        <v>6.88</v>
      </c>
      <c r="G67" s="81">
        <v>7.71</v>
      </c>
      <c r="H67" s="81"/>
      <c r="I67" s="81"/>
      <c r="J67" s="53"/>
      <c r="K67" s="53"/>
      <c r="L67" s="53">
        <v>171.1</v>
      </c>
      <c r="M67" s="53"/>
      <c r="N67" s="54">
        <v>160.5</v>
      </c>
      <c r="O67" s="54">
        <v>146</v>
      </c>
      <c r="P67" s="54">
        <v>300</v>
      </c>
    </row>
    <row r="68" spans="1:16">
      <c r="A68" s="55" t="s">
        <v>266</v>
      </c>
      <c r="B68" s="55" t="s">
        <v>272</v>
      </c>
      <c r="C68" s="52">
        <v>2012</v>
      </c>
      <c r="D68" s="75"/>
      <c r="E68" s="75"/>
      <c r="F68" s="81">
        <v>7.03</v>
      </c>
      <c r="G68" s="81">
        <v>7.89</v>
      </c>
      <c r="H68" s="81"/>
      <c r="I68" s="81"/>
      <c r="J68" s="53"/>
      <c r="K68" s="53"/>
      <c r="L68" s="53"/>
      <c r="M68" s="53"/>
      <c r="N68" s="54">
        <v>160.5</v>
      </c>
      <c r="O68" s="54">
        <v>146</v>
      </c>
      <c r="P68" s="54">
        <v>300</v>
      </c>
    </row>
    <row r="69" spans="1:16">
      <c r="A69" s="55" t="s">
        <v>266</v>
      </c>
      <c r="B69" s="55" t="s">
        <v>272</v>
      </c>
      <c r="C69" s="52">
        <v>2014</v>
      </c>
      <c r="D69" s="75"/>
      <c r="E69" s="75"/>
      <c r="F69" s="81">
        <v>5.94</v>
      </c>
      <c r="G69" s="81">
        <v>7.13</v>
      </c>
      <c r="H69" s="81"/>
      <c r="I69" s="81"/>
      <c r="J69" s="53"/>
      <c r="K69" s="53"/>
      <c r="L69" s="53"/>
      <c r="M69" s="53"/>
      <c r="N69" s="54">
        <v>160.5</v>
      </c>
      <c r="O69" s="54">
        <v>146</v>
      </c>
      <c r="P69" s="54">
        <v>300</v>
      </c>
    </row>
    <row r="70" spans="1:16">
      <c r="A70" t="s">
        <v>14</v>
      </c>
      <c r="B70" t="s">
        <v>15</v>
      </c>
      <c r="C70">
        <v>2010</v>
      </c>
      <c r="F70" s="85">
        <v>1.52</v>
      </c>
      <c r="G70" s="85">
        <v>2.0299999999999998</v>
      </c>
      <c r="N70" s="35">
        <v>121</v>
      </c>
      <c r="O70" s="35">
        <v>126.5</v>
      </c>
      <c r="P70" s="35">
        <v>175</v>
      </c>
    </row>
    <row r="71" spans="1:16">
      <c r="A71" t="s">
        <v>14</v>
      </c>
      <c r="B71" t="s">
        <v>15</v>
      </c>
      <c r="C71">
        <v>2011</v>
      </c>
      <c r="F71" s="85">
        <v>2.89</v>
      </c>
      <c r="G71" s="85">
        <v>2.48</v>
      </c>
      <c r="H71" s="85">
        <v>1.1000000000000001</v>
      </c>
      <c r="I71" s="85">
        <v>0.75</v>
      </c>
      <c r="N71" s="35">
        <v>227.5</v>
      </c>
      <c r="O71" s="35">
        <v>235</v>
      </c>
      <c r="P71" s="35">
        <v>300</v>
      </c>
    </row>
    <row r="72" spans="1:16">
      <c r="A72" s="38" t="s">
        <v>14</v>
      </c>
      <c r="B72" s="38" t="s">
        <v>15</v>
      </c>
      <c r="C72">
        <v>2014</v>
      </c>
      <c r="F72" s="85">
        <v>2.74</v>
      </c>
      <c r="G72" s="85">
        <v>2.94</v>
      </c>
      <c r="N72" s="35">
        <v>243.5</v>
      </c>
      <c r="O72" s="35">
        <v>243.5</v>
      </c>
      <c r="P72" s="35">
        <v>300</v>
      </c>
    </row>
    <row r="73" spans="1:16">
      <c r="A73" s="38" t="s">
        <v>16</v>
      </c>
      <c r="B73" s="38" t="s">
        <v>17</v>
      </c>
      <c r="C73">
        <v>2007</v>
      </c>
      <c r="F73" s="85">
        <v>4.0999999999999996</v>
      </c>
      <c r="G73" s="85">
        <v>3.86</v>
      </c>
      <c r="N73" s="35">
        <v>92</v>
      </c>
      <c r="O73" s="35">
        <v>101.5</v>
      </c>
      <c r="P73" s="35">
        <v>175</v>
      </c>
    </row>
    <row r="74" spans="1:16">
      <c r="A74" t="s">
        <v>16</v>
      </c>
      <c r="B74" t="s">
        <v>17</v>
      </c>
      <c r="C74">
        <v>2008</v>
      </c>
      <c r="F74" s="85">
        <v>6.39</v>
      </c>
      <c r="G74" s="85">
        <v>2.02</v>
      </c>
      <c r="N74" s="35">
        <v>92</v>
      </c>
      <c r="O74" s="35">
        <v>101.5</v>
      </c>
      <c r="P74" s="35">
        <v>175</v>
      </c>
    </row>
    <row r="75" spans="1:16">
      <c r="A75" s="38" t="s">
        <v>20</v>
      </c>
      <c r="B75" s="38" t="s">
        <v>21</v>
      </c>
      <c r="C75">
        <v>2011</v>
      </c>
      <c r="F75" s="85">
        <v>3.94</v>
      </c>
      <c r="G75" s="85">
        <v>9.06</v>
      </c>
      <c r="N75" s="35">
        <v>169.5</v>
      </c>
      <c r="O75" s="35">
        <v>169</v>
      </c>
      <c r="P75" s="35">
        <v>300</v>
      </c>
    </row>
    <row r="76" spans="1:16">
      <c r="A76" s="38" t="s">
        <v>22</v>
      </c>
      <c r="B76" s="38" t="s">
        <v>23</v>
      </c>
      <c r="C76">
        <v>2008</v>
      </c>
      <c r="F76" s="85">
        <v>3.13</v>
      </c>
      <c r="G76" s="85">
        <v>3.85</v>
      </c>
      <c r="N76" s="35">
        <v>136</v>
      </c>
      <c r="O76" s="35">
        <v>134.5</v>
      </c>
      <c r="P76" s="35">
        <v>300</v>
      </c>
    </row>
    <row r="77" spans="1:16">
      <c r="A77" s="38" t="s">
        <v>22</v>
      </c>
      <c r="B77" s="38" t="s">
        <v>23</v>
      </c>
      <c r="C77">
        <v>2009</v>
      </c>
      <c r="F77" s="85">
        <v>1.54</v>
      </c>
      <c r="G77" s="85">
        <v>3.01</v>
      </c>
      <c r="N77" s="35">
        <v>136</v>
      </c>
      <c r="O77" s="35">
        <v>134.5</v>
      </c>
      <c r="P77" s="35">
        <v>300</v>
      </c>
    </row>
    <row r="78" spans="1:16">
      <c r="A78" s="38" t="s">
        <v>22</v>
      </c>
      <c r="B78" s="38" t="s">
        <v>23</v>
      </c>
      <c r="C78">
        <v>2010</v>
      </c>
      <c r="F78" s="85">
        <v>4.96</v>
      </c>
      <c r="G78" s="85">
        <v>5.73</v>
      </c>
      <c r="N78" s="35">
        <v>136</v>
      </c>
      <c r="O78" s="35">
        <v>134.5</v>
      </c>
      <c r="P78" s="35">
        <v>300</v>
      </c>
    </row>
    <row r="79" spans="1:16">
      <c r="A79" s="38" t="s">
        <v>22</v>
      </c>
      <c r="B79" s="38" t="s">
        <v>23</v>
      </c>
      <c r="C79">
        <v>2011</v>
      </c>
      <c r="F79" s="85">
        <v>6.73</v>
      </c>
      <c r="G79" s="85">
        <v>6.26</v>
      </c>
      <c r="N79" s="35">
        <v>136</v>
      </c>
      <c r="O79" s="35">
        <v>134.5</v>
      </c>
      <c r="P79" s="35">
        <v>300</v>
      </c>
    </row>
    <row r="80" spans="1:16">
      <c r="A80" s="38" t="s">
        <v>22</v>
      </c>
      <c r="B80" s="38" t="s">
        <v>23</v>
      </c>
      <c r="C80">
        <v>2012</v>
      </c>
      <c r="F80" s="85">
        <v>5.31</v>
      </c>
      <c r="G80" s="85">
        <v>5.64</v>
      </c>
      <c r="N80" s="35">
        <v>136</v>
      </c>
      <c r="O80" s="35">
        <v>134.5</v>
      </c>
      <c r="P80" s="35">
        <v>300</v>
      </c>
    </row>
    <row r="81" spans="1:16">
      <c r="A81" s="38" t="s">
        <v>22</v>
      </c>
      <c r="B81" s="38" t="s">
        <v>23</v>
      </c>
      <c r="C81">
        <v>2013</v>
      </c>
      <c r="F81" s="85">
        <v>5.27</v>
      </c>
      <c r="G81" s="85">
        <v>5.31</v>
      </c>
      <c r="N81" s="35">
        <v>136</v>
      </c>
      <c r="O81" s="35">
        <v>134.5</v>
      </c>
      <c r="P81" s="35">
        <v>300</v>
      </c>
    </row>
    <row r="82" spans="1:16">
      <c r="A82" s="38" t="s">
        <v>22</v>
      </c>
      <c r="B82" s="38" t="s">
        <v>23</v>
      </c>
      <c r="C82">
        <v>2014</v>
      </c>
      <c r="F82" s="85">
        <v>5.6</v>
      </c>
      <c r="G82" s="85">
        <v>5.44</v>
      </c>
      <c r="N82" s="35">
        <v>136</v>
      </c>
      <c r="O82" s="35">
        <v>134.5</v>
      </c>
      <c r="P82" s="35">
        <v>300</v>
      </c>
    </row>
    <row r="83" spans="1:16">
      <c r="A83" s="38" t="s">
        <v>22</v>
      </c>
      <c r="B83" s="38" t="s">
        <v>23</v>
      </c>
      <c r="C83">
        <v>2015</v>
      </c>
      <c r="F83" s="85">
        <v>4.33</v>
      </c>
      <c r="G83" s="85">
        <v>5</v>
      </c>
      <c r="N83" s="35">
        <v>120.5</v>
      </c>
      <c r="O83" s="35">
        <v>120.5</v>
      </c>
      <c r="P83" s="35">
        <v>300</v>
      </c>
    </row>
    <row r="84" spans="1:16">
      <c r="A84" t="s">
        <v>24</v>
      </c>
      <c r="B84" t="s">
        <v>25</v>
      </c>
      <c r="C84">
        <v>2006</v>
      </c>
      <c r="F84" s="85">
        <v>2.2200000000000002</v>
      </c>
      <c r="G84" s="85">
        <v>2.29</v>
      </c>
      <c r="J84" s="2">
        <v>16.809999999999999</v>
      </c>
      <c r="N84" s="35">
        <v>201</v>
      </c>
      <c r="O84" s="35">
        <v>213</v>
      </c>
      <c r="P84" s="35">
        <v>300</v>
      </c>
    </row>
    <row r="85" spans="1:16">
      <c r="A85" t="s">
        <v>24</v>
      </c>
      <c r="B85" t="s">
        <v>25</v>
      </c>
      <c r="C85">
        <v>2007</v>
      </c>
      <c r="F85" s="85">
        <v>5.84</v>
      </c>
      <c r="G85" s="85">
        <v>2.64</v>
      </c>
      <c r="N85" s="35">
        <v>201</v>
      </c>
      <c r="O85" s="35">
        <v>213</v>
      </c>
      <c r="P85" s="35">
        <v>300</v>
      </c>
    </row>
    <row r="86" spans="1:16">
      <c r="A86" s="38" t="s">
        <v>24</v>
      </c>
      <c r="B86" s="38" t="s">
        <v>25</v>
      </c>
      <c r="C86">
        <v>2008</v>
      </c>
      <c r="F86" s="85">
        <v>2.2200000000000002</v>
      </c>
      <c r="G86" s="85">
        <v>2.85</v>
      </c>
      <c r="N86" s="35">
        <v>201</v>
      </c>
      <c r="O86" s="35">
        <v>213</v>
      </c>
      <c r="P86" s="35">
        <v>300</v>
      </c>
    </row>
    <row r="87" spans="1:16">
      <c r="A87" s="38" t="s">
        <v>24</v>
      </c>
      <c r="B87" s="38" t="s">
        <v>25</v>
      </c>
      <c r="C87">
        <v>2009</v>
      </c>
      <c r="F87" s="85">
        <v>1.7</v>
      </c>
      <c r="G87" s="85">
        <v>2.27</v>
      </c>
      <c r="N87" s="35">
        <v>201</v>
      </c>
      <c r="O87" s="35">
        <v>213</v>
      </c>
      <c r="P87" s="35">
        <v>300</v>
      </c>
    </row>
    <row r="88" spans="1:16">
      <c r="A88" s="38" t="s">
        <v>24</v>
      </c>
      <c r="B88" s="38" t="s">
        <v>25</v>
      </c>
      <c r="C88">
        <v>2010</v>
      </c>
      <c r="F88" s="85">
        <v>1.57</v>
      </c>
      <c r="G88" s="85">
        <v>2.2400000000000002</v>
      </c>
      <c r="N88" s="35">
        <v>201</v>
      </c>
      <c r="O88" s="35">
        <v>213</v>
      </c>
      <c r="P88" s="35">
        <v>300</v>
      </c>
    </row>
    <row r="89" spans="1:16">
      <c r="A89" s="38" t="s">
        <v>24</v>
      </c>
      <c r="B89" s="38" t="s">
        <v>25</v>
      </c>
      <c r="C89">
        <v>2011</v>
      </c>
      <c r="F89" s="85">
        <v>2.99</v>
      </c>
      <c r="G89" s="85">
        <v>3.56</v>
      </c>
      <c r="N89" s="35">
        <v>201</v>
      </c>
      <c r="O89" s="35">
        <v>213</v>
      </c>
      <c r="P89" s="35">
        <v>300</v>
      </c>
    </row>
    <row r="90" spans="1:16">
      <c r="A90" s="38" t="s">
        <v>24</v>
      </c>
      <c r="B90" s="38" t="s">
        <v>25</v>
      </c>
      <c r="C90">
        <v>2012</v>
      </c>
      <c r="F90" s="85">
        <v>2.96</v>
      </c>
      <c r="G90" s="85">
        <v>3.95</v>
      </c>
      <c r="N90" s="35">
        <v>201</v>
      </c>
      <c r="O90" s="35">
        <v>213</v>
      </c>
      <c r="P90" s="35">
        <v>300</v>
      </c>
    </row>
    <row r="91" spans="1:16">
      <c r="A91" s="38" t="s">
        <v>24</v>
      </c>
      <c r="B91" s="38" t="s">
        <v>25</v>
      </c>
      <c r="C91">
        <v>2013</v>
      </c>
      <c r="F91" s="85">
        <v>3.86</v>
      </c>
      <c r="G91" s="85">
        <v>4.33</v>
      </c>
      <c r="N91" s="35">
        <v>201</v>
      </c>
      <c r="O91" s="35">
        <v>213</v>
      </c>
      <c r="P91" s="35">
        <v>300</v>
      </c>
    </row>
    <row r="92" spans="1:16">
      <c r="A92" s="38" t="s">
        <v>24</v>
      </c>
      <c r="B92" s="38" t="s">
        <v>25</v>
      </c>
      <c r="C92">
        <v>2014</v>
      </c>
      <c r="F92" s="85">
        <v>4.1399999999999997</v>
      </c>
      <c r="G92" s="85">
        <v>4.55</v>
      </c>
      <c r="N92" s="35">
        <v>201</v>
      </c>
      <c r="O92" s="35">
        <v>213</v>
      </c>
      <c r="P92" s="35">
        <v>300</v>
      </c>
    </row>
    <row r="93" spans="1:16">
      <c r="A93" s="38" t="s">
        <v>82</v>
      </c>
      <c r="B93" s="38" t="s">
        <v>190</v>
      </c>
      <c r="C93">
        <v>2007</v>
      </c>
      <c r="F93" s="85">
        <v>3.89</v>
      </c>
      <c r="G93" s="85">
        <v>3.87</v>
      </c>
      <c r="N93" s="35">
        <v>182</v>
      </c>
      <c r="O93" s="35">
        <v>172</v>
      </c>
      <c r="P93" s="35">
        <v>300</v>
      </c>
    </row>
    <row r="94" spans="1:16">
      <c r="A94" s="38" t="s">
        <v>82</v>
      </c>
      <c r="B94" s="38" t="s">
        <v>190</v>
      </c>
      <c r="C94">
        <v>2008</v>
      </c>
      <c r="F94" s="85">
        <v>2.94</v>
      </c>
      <c r="G94" s="85">
        <v>3.83</v>
      </c>
      <c r="N94" s="35">
        <v>182</v>
      </c>
      <c r="O94" s="35">
        <v>172</v>
      </c>
      <c r="P94" s="35">
        <v>300</v>
      </c>
    </row>
    <row r="95" spans="1:16">
      <c r="A95" s="38" t="s">
        <v>82</v>
      </c>
      <c r="B95" s="38" t="s">
        <v>190</v>
      </c>
      <c r="C95">
        <v>2009</v>
      </c>
      <c r="F95" s="85">
        <v>4.03</v>
      </c>
      <c r="G95" s="85">
        <v>4.7699999999999996</v>
      </c>
      <c r="N95" s="35">
        <v>182</v>
      </c>
      <c r="O95" s="35">
        <v>172</v>
      </c>
      <c r="P95" s="35">
        <v>300</v>
      </c>
    </row>
    <row r="96" spans="1:16">
      <c r="A96" s="38" t="s">
        <v>82</v>
      </c>
      <c r="B96" s="38" t="s">
        <v>190</v>
      </c>
      <c r="C96">
        <v>2010</v>
      </c>
      <c r="F96" s="85">
        <v>4.18</v>
      </c>
      <c r="G96" s="85">
        <v>5.26</v>
      </c>
      <c r="N96" s="35">
        <v>182</v>
      </c>
      <c r="O96" s="35">
        <v>172</v>
      </c>
      <c r="P96" s="35">
        <v>300</v>
      </c>
    </row>
    <row r="97" spans="1:16">
      <c r="A97" s="38" t="s">
        <v>82</v>
      </c>
      <c r="B97" s="38" t="s">
        <v>190</v>
      </c>
      <c r="C97">
        <v>2011</v>
      </c>
      <c r="F97" s="85">
        <v>4.29</v>
      </c>
      <c r="G97" s="85">
        <v>5.04</v>
      </c>
      <c r="N97" s="35">
        <v>182</v>
      </c>
      <c r="O97" s="35">
        <v>172</v>
      </c>
      <c r="P97" s="35">
        <v>300</v>
      </c>
    </row>
    <row r="98" spans="1:16">
      <c r="A98" s="38" t="s">
        <v>82</v>
      </c>
      <c r="B98" s="38" t="s">
        <v>190</v>
      </c>
      <c r="C98">
        <v>2012</v>
      </c>
      <c r="F98" s="85">
        <v>3.74</v>
      </c>
      <c r="G98" s="85">
        <v>4.5199999999999996</v>
      </c>
      <c r="N98" s="35">
        <v>182</v>
      </c>
      <c r="O98" s="35">
        <v>172</v>
      </c>
      <c r="P98" s="35">
        <v>300</v>
      </c>
    </row>
    <row r="99" spans="1:16">
      <c r="A99" s="38" t="s">
        <v>82</v>
      </c>
      <c r="B99" s="38" t="s">
        <v>190</v>
      </c>
      <c r="C99">
        <v>2013</v>
      </c>
      <c r="F99" s="85">
        <v>2.78</v>
      </c>
      <c r="G99" s="85">
        <v>3.56</v>
      </c>
      <c r="N99" s="35">
        <v>182</v>
      </c>
      <c r="O99" s="35">
        <v>172</v>
      </c>
      <c r="P99" s="35">
        <v>300</v>
      </c>
    </row>
    <row r="100" spans="1:16">
      <c r="A100" s="38" t="s">
        <v>82</v>
      </c>
      <c r="B100" s="38" t="s">
        <v>190</v>
      </c>
      <c r="C100">
        <v>2014</v>
      </c>
      <c r="F100" s="85">
        <v>3.3</v>
      </c>
      <c r="G100" s="85">
        <v>4.05</v>
      </c>
      <c r="N100" s="35">
        <v>182</v>
      </c>
      <c r="O100" s="35">
        <v>172</v>
      </c>
      <c r="P100" s="35">
        <v>300</v>
      </c>
    </row>
    <row r="101" spans="1:16">
      <c r="A101" s="38" t="s">
        <v>82</v>
      </c>
      <c r="B101" s="38" t="s">
        <v>190</v>
      </c>
      <c r="C101">
        <v>2015</v>
      </c>
      <c r="F101" s="85">
        <v>3.84</v>
      </c>
      <c r="G101" s="85">
        <v>4.59</v>
      </c>
      <c r="N101" s="35">
        <v>182</v>
      </c>
      <c r="O101" s="35">
        <v>172</v>
      </c>
      <c r="P101" s="35">
        <v>300</v>
      </c>
    </row>
    <row r="102" spans="1:16">
      <c r="A102" s="52" t="s">
        <v>28</v>
      </c>
      <c r="B102" s="52" t="s">
        <v>29</v>
      </c>
      <c r="C102" s="52">
        <v>2006</v>
      </c>
      <c r="D102" s="75"/>
      <c r="E102" s="75"/>
      <c r="F102" s="81">
        <v>2.77</v>
      </c>
      <c r="G102" s="81">
        <v>2.44</v>
      </c>
      <c r="H102" s="81"/>
      <c r="I102" s="81"/>
      <c r="J102" s="53">
        <v>11.16</v>
      </c>
      <c r="K102" s="53"/>
      <c r="L102" s="53"/>
      <c r="M102" s="53"/>
      <c r="N102" s="54">
        <v>144.5</v>
      </c>
      <c r="O102" s="54">
        <v>151.5</v>
      </c>
      <c r="P102" s="54">
        <v>300</v>
      </c>
    </row>
    <row r="103" spans="1:16">
      <c r="A103" s="52" t="s">
        <v>28</v>
      </c>
      <c r="B103" s="52" t="s">
        <v>29</v>
      </c>
      <c r="C103" s="52">
        <v>2007</v>
      </c>
      <c r="D103" s="75"/>
      <c r="E103" s="75"/>
      <c r="F103" s="81">
        <v>8.7100000000000009</v>
      </c>
      <c r="G103" s="81">
        <v>2.4700000000000002</v>
      </c>
      <c r="H103" s="81"/>
      <c r="I103" s="81"/>
      <c r="J103" s="53"/>
      <c r="K103" s="53"/>
      <c r="L103" s="53"/>
      <c r="M103" s="53"/>
      <c r="N103" s="54">
        <v>144.5</v>
      </c>
      <c r="O103" s="54">
        <v>151.5</v>
      </c>
      <c r="P103" s="54">
        <v>300</v>
      </c>
    </row>
    <row r="104" spans="1:16">
      <c r="A104" s="55" t="s">
        <v>28</v>
      </c>
      <c r="B104" s="55" t="s">
        <v>29</v>
      </c>
      <c r="C104" s="52">
        <v>2008</v>
      </c>
      <c r="D104" s="75"/>
      <c r="E104" s="75"/>
      <c r="F104" s="81">
        <v>2.77</v>
      </c>
      <c r="G104" s="81">
        <v>2.66</v>
      </c>
      <c r="H104" s="81"/>
      <c r="I104" s="81"/>
      <c r="J104" s="53"/>
      <c r="K104" s="53"/>
      <c r="L104" s="53"/>
      <c r="M104" s="53"/>
      <c r="N104" s="54">
        <v>144.5</v>
      </c>
      <c r="O104" s="54">
        <v>151.5</v>
      </c>
      <c r="P104" s="54">
        <v>300</v>
      </c>
    </row>
    <row r="105" spans="1:16">
      <c r="A105" s="55" t="s">
        <v>28</v>
      </c>
      <c r="B105" s="55" t="s">
        <v>29</v>
      </c>
      <c r="C105" s="52">
        <v>2009</v>
      </c>
      <c r="D105" s="75"/>
      <c r="E105" s="75"/>
      <c r="F105" s="81">
        <v>2.48</v>
      </c>
      <c r="G105" s="81">
        <v>2.57</v>
      </c>
      <c r="H105" s="81"/>
      <c r="I105" s="81"/>
      <c r="J105" s="53"/>
      <c r="K105" s="53"/>
      <c r="L105" s="53"/>
      <c r="M105" s="53"/>
      <c r="N105" s="54">
        <v>144.5</v>
      </c>
      <c r="O105" s="54">
        <v>151.5</v>
      </c>
      <c r="P105" s="54">
        <v>300</v>
      </c>
    </row>
    <row r="106" spans="1:16">
      <c r="A106" s="55" t="s">
        <v>28</v>
      </c>
      <c r="B106" s="55" t="s">
        <v>29</v>
      </c>
      <c r="C106" s="52">
        <v>2010</v>
      </c>
      <c r="D106" s="75"/>
      <c r="E106" s="75"/>
      <c r="F106" s="81">
        <v>3.04</v>
      </c>
      <c r="G106" s="81">
        <v>2.72</v>
      </c>
      <c r="H106" s="81"/>
      <c r="I106" s="81"/>
      <c r="J106" s="53"/>
      <c r="K106" s="53"/>
      <c r="L106" s="53"/>
      <c r="M106" s="53"/>
      <c r="N106" s="54">
        <v>144.5</v>
      </c>
      <c r="O106" s="54">
        <v>151.5</v>
      </c>
      <c r="P106" s="54">
        <v>300</v>
      </c>
    </row>
    <row r="107" spans="1:16">
      <c r="A107" s="55" t="s">
        <v>28</v>
      </c>
      <c r="B107" s="55" t="s">
        <v>29</v>
      </c>
      <c r="C107" s="52">
        <v>2011</v>
      </c>
      <c r="D107" s="75"/>
      <c r="E107" s="75"/>
      <c r="F107" s="81">
        <v>2.76</v>
      </c>
      <c r="G107" s="81">
        <v>2.89</v>
      </c>
      <c r="H107" s="81"/>
      <c r="I107" s="81"/>
      <c r="J107" s="53"/>
      <c r="K107" s="53"/>
      <c r="L107" s="53"/>
      <c r="M107" s="53"/>
      <c r="N107" s="54">
        <v>144.5</v>
      </c>
      <c r="O107" s="54">
        <v>151.5</v>
      </c>
      <c r="P107" s="54">
        <v>300</v>
      </c>
    </row>
    <row r="108" spans="1:16">
      <c r="A108" s="55" t="s">
        <v>28</v>
      </c>
      <c r="B108" s="55" t="s">
        <v>29</v>
      </c>
      <c r="C108" s="52">
        <v>2012</v>
      </c>
      <c r="D108" s="75"/>
      <c r="E108" s="75"/>
      <c r="F108" s="81">
        <v>2.77</v>
      </c>
      <c r="G108" s="81">
        <v>3.01</v>
      </c>
      <c r="H108" s="81"/>
      <c r="I108" s="81"/>
      <c r="J108" s="53"/>
      <c r="K108" s="53"/>
      <c r="L108" s="53"/>
      <c r="M108" s="53"/>
      <c r="N108" s="54">
        <v>144.5</v>
      </c>
      <c r="O108" s="54">
        <v>151.5</v>
      </c>
      <c r="P108" s="54">
        <v>300</v>
      </c>
    </row>
    <row r="109" spans="1:16">
      <c r="A109" s="55" t="s">
        <v>28</v>
      </c>
      <c r="B109" s="55" t="s">
        <v>29</v>
      </c>
      <c r="C109" s="52">
        <v>2013</v>
      </c>
      <c r="D109" s="75"/>
      <c r="E109" s="75"/>
      <c r="F109" s="81">
        <v>2.42</v>
      </c>
      <c r="G109" s="81">
        <v>2.78</v>
      </c>
      <c r="H109" s="81"/>
      <c r="I109" s="81"/>
      <c r="J109" s="53"/>
      <c r="K109" s="53"/>
      <c r="L109" s="53"/>
      <c r="M109" s="53"/>
      <c r="N109" s="54">
        <v>144.5</v>
      </c>
      <c r="O109" s="54">
        <v>151.5</v>
      </c>
      <c r="P109" s="54">
        <v>300</v>
      </c>
    </row>
    <row r="110" spans="1:16">
      <c r="A110" s="55" t="s">
        <v>28</v>
      </c>
      <c r="B110" s="55" t="s">
        <v>29</v>
      </c>
      <c r="C110" s="52">
        <v>2014</v>
      </c>
      <c r="D110" s="75"/>
      <c r="E110" s="75"/>
      <c r="F110" s="81">
        <v>1.88</v>
      </c>
      <c r="G110" s="81">
        <v>2.62</v>
      </c>
      <c r="H110" s="81"/>
      <c r="I110" s="81"/>
      <c r="J110" s="53"/>
      <c r="K110" s="53"/>
      <c r="L110" s="53"/>
      <c r="M110" s="53"/>
      <c r="N110" s="54">
        <v>144.5</v>
      </c>
      <c r="O110" s="54">
        <v>151.5</v>
      </c>
      <c r="P110" s="54">
        <v>300</v>
      </c>
    </row>
    <row r="111" spans="1:16">
      <c r="A111" s="55" t="s">
        <v>320</v>
      </c>
      <c r="B111" s="55" t="s">
        <v>322</v>
      </c>
      <c r="C111">
        <v>2007</v>
      </c>
      <c r="F111" s="85">
        <v>2.2200000000000002</v>
      </c>
      <c r="G111" s="85">
        <v>2.4</v>
      </c>
      <c r="N111" s="35">
        <v>153.5</v>
      </c>
      <c r="O111" s="35">
        <v>164.5</v>
      </c>
      <c r="P111" s="35">
        <v>300</v>
      </c>
    </row>
    <row r="112" spans="1:16">
      <c r="A112" s="55" t="s">
        <v>320</v>
      </c>
      <c r="B112" s="55" t="s">
        <v>322</v>
      </c>
      <c r="C112">
        <v>2008</v>
      </c>
      <c r="F112" s="85">
        <v>2.42</v>
      </c>
      <c r="G112" s="85">
        <v>2.48</v>
      </c>
      <c r="N112" s="35">
        <v>175.5</v>
      </c>
      <c r="O112" s="35">
        <v>175.5</v>
      </c>
      <c r="P112" s="35">
        <v>300</v>
      </c>
    </row>
    <row r="113" spans="1:16">
      <c r="A113" s="55" t="s">
        <v>320</v>
      </c>
      <c r="B113" s="55" t="s">
        <v>322</v>
      </c>
      <c r="C113">
        <v>2009</v>
      </c>
      <c r="F113" s="85">
        <v>2.54</v>
      </c>
      <c r="G113" s="85">
        <v>2.5499999999999998</v>
      </c>
      <c r="N113" s="35">
        <v>175.5</v>
      </c>
      <c r="O113" s="35">
        <v>175.5</v>
      </c>
      <c r="P113" s="35">
        <v>300</v>
      </c>
    </row>
    <row r="114" spans="1:16">
      <c r="A114" s="55" t="s">
        <v>320</v>
      </c>
      <c r="B114" s="55" t="s">
        <v>322</v>
      </c>
      <c r="C114">
        <v>2010</v>
      </c>
      <c r="F114" s="85">
        <v>2.64</v>
      </c>
      <c r="G114" s="85">
        <v>2.7509999999999999</v>
      </c>
      <c r="N114" s="35">
        <v>175.5</v>
      </c>
      <c r="O114" s="35">
        <v>175.5</v>
      </c>
      <c r="P114" s="35">
        <v>300</v>
      </c>
    </row>
    <row r="115" spans="1:16">
      <c r="A115" s="55" t="s">
        <v>320</v>
      </c>
      <c r="B115" s="55" t="s">
        <v>322</v>
      </c>
      <c r="C115">
        <v>2011</v>
      </c>
      <c r="F115" s="85">
        <v>2.95</v>
      </c>
      <c r="G115" s="85">
        <v>3.0339999999999998</v>
      </c>
      <c r="N115" s="35">
        <v>175.5</v>
      </c>
      <c r="O115" s="35">
        <v>175.5</v>
      </c>
      <c r="P115" s="35">
        <v>300</v>
      </c>
    </row>
    <row r="116" spans="1:16">
      <c r="A116" s="55" t="s">
        <v>320</v>
      </c>
      <c r="B116" s="55" t="s">
        <v>322</v>
      </c>
      <c r="C116">
        <v>2012</v>
      </c>
      <c r="F116" s="85">
        <v>3.47</v>
      </c>
      <c r="G116" s="85">
        <v>3.3610000000000002</v>
      </c>
      <c r="N116" s="35">
        <v>175.5</v>
      </c>
      <c r="O116" s="35">
        <v>175.5</v>
      </c>
      <c r="P116" s="35">
        <v>300</v>
      </c>
    </row>
    <row r="117" spans="1:16">
      <c r="A117" s="55" t="s">
        <v>320</v>
      </c>
      <c r="B117" s="55" t="s">
        <v>322</v>
      </c>
      <c r="C117">
        <v>2013</v>
      </c>
      <c r="F117" s="85">
        <v>2.91</v>
      </c>
      <c r="G117" s="85">
        <v>3.52</v>
      </c>
      <c r="N117" s="35">
        <v>153.5</v>
      </c>
      <c r="O117" s="35">
        <v>164.5</v>
      </c>
      <c r="P117" s="35">
        <v>300</v>
      </c>
    </row>
    <row r="118" spans="1:16">
      <c r="A118" s="55" t="s">
        <v>320</v>
      </c>
      <c r="B118" s="55" t="s">
        <v>322</v>
      </c>
      <c r="C118">
        <v>2014</v>
      </c>
      <c r="F118" s="85">
        <v>3.23</v>
      </c>
      <c r="G118" s="85">
        <v>3.343</v>
      </c>
      <c r="N118" s="35">
        <v>175.5</v>
      </c>
      <c r="O118" s="35">
        <v>175.5</v>
      </c>
      <c r="P118" s="35">
        <v>300</v>
      </c>
    </row>
    <row r="119" spans="1:16">
      <c r="A119" s="38" t="s">
        <v>83</v>
      </c>
      <c r="B119" s="38" t="s">
        <v>191</v>
      </c>
      <c r="C119">
        <v>2006</v>
      </c>
      <c r="F119" s="85">
        <v>0.67</v>
      </c>
      <c r="G119" s="85">
        <v>0.505</v>
      </c>
      <c r="N119" s="35">
        <v>161.5</v>
      </c>
      <c r="O119" s="35">
        <v>171.5</v>
      </c>
      <c r="P119" s="35">
        <v>300</v>
      </c>
    </row>
    <row r="120" spans="1:16">
      <c r="A120" s="38" t="s">
        <v>83</v>
      </c>
      <c r="B120" s="38" t="s">
        <v>191</v>
      </c>
      <c r="C120">
        <v>2010</v>
      </c>
      <c r="F120" s="85">
        <v>0.66</v>
      </c>
      <c r="G120" s="85">
        <v>0.70899999999999996</v>
      </c>
      <c r="N120" s="35">
        <v>161.5</v>
      </c>
      <c r="O120" s="35">
        <v>171.5</v>
      </c>
      <c r="P120" s="35">
        <v>300</v>
      </c>
    </row>
    <row r="121" spans="1:16">
      <c r="A121" s="38" t="s">
        <v>83</v>
      </c>
      <c r="B121" s="38" t="s">
        <v>191</v>
      </c>
      <c r="C121">
        <v>2011</v>
      </c>
      <c r="F121" s="85">
        <v>0.76</v>
      </c>
      <c r="G121" s="85">
        <v>0.81599999999999995</v>
      </c>
      <c r="N121" s="35">
        <v>161.5</v>
      </c>
      <c r="O121" s="35">
        <v>171.5</v>
      </c>
      <c r="P121" s="35">
        <v>300</v>
      </c>
    </row>
    <row r="122" spans="1:16">
      <c r="A122" s="38" t="s">
        <v>83</v>
      </c>
      <c r="B122" s="38" t="s">
        <v>191</v>
      </c>
      <c r="C122">
        <v>2012</v>
      </c>
      <c r="F122" s="85">
        <v>0.77</v>
      </c>
      <c r="G122" s="85">
        <v>0.92600000000000005</v>
      </c>
      <c r="N122" s="35">
        <v>161.5</v>
      </c>
      <c r="O122" s="35">
        <v>171.5</v>
      </c>
      <c r="P122" s="35">
        <v>300</v>
      </c>
    </row>
    <row r="123" spans="1:16">
      <c r="A123" s="38" t="s">
        <v>83</v>
      </c>
      <c r="B123" s="38" t="s">
        <v>191</v>
      </c>
      <c r="C123">
        <v>2013</v>
      </c>
      <c r="F123" s="85">
        <v>0.99</v>
      </c>
      <c r="G123" s="85">
        <v>1.0309999999999999</v>
      </c>
      <c r="N123" s="35">
        <v>161.5</v>
      </c>
      <c r="O123" s="35">
        <v>171.5</v>
      </c>
      <c r="P123" s="35">
        <v>300</v>
      </c>
    </row>
    <row r="124" spans="1:16">
      <c r="A124" s="38" t="s">
        <v>83</v>
      </c>
      <c r="B124" s="38" t="s">
        <v>191</v>
      </c>
      <c r="C124">
        <v>2014</v>
      </c>
      <c r="F124" s="85">
        <v>0.89</v>
      </c>
      <c r="G124" s="85">
        <v>0.95499999999999996</v>
      </c>
      <c r="N124" s="35">
        <v>161.5</v>
      </c>
      <c r="O124" s="35">
        <v>171.5</v>
      </c>
      <c r="P124" s="35">
        <v>300</v>
      </c>
    </row>
    <row r="125" spans="1:16">
      <c r="A125" s="38" t="s">
        <v>83</v>
      </c>
      <c r="B125" s="38" t="s">
        <v>191</v>
      </c>
      <c r="C125">
        <v>2015</v>
      </c>
      <c r="F125" s="85">
        <v>0.95</v>
      </c>
      <c r="G125" s="85">
        <v>0.88800000000000001</v>
      </c>
      <c r="N125" s="35">
        <v>161.5</v>
      </c>
      <c r="O125" s="35">
        <v>171.5</v>
      </c>
      <c r="P125" s="35">
        <v>300</v>
      </c>
    </row>
    <row r="126" spans="1:16">
      <c r="A126" t="s">
        <v>32</v>
      </c>
      <c r="B126" t="s">
        <v>33</v>
      </c>
      <c r="C126">
        <v>2007</v>
      </c>
      <c r="J126" s="2">
        <v>1.53</v>
      </c>
      <c r="L126" s="2">
        <v>729.2</v>
      </c>
      <c r="N126" s="35">
        <v>89</v>
      </c>
      <c r="O126" s="35">
        <v>92.5</v>
      </c>
      <c r="P126" s="35">
        <v>250</v>
      </c>
    </row>
    <row r="127" spans="1:16">
      <c r="A127" s="55" t="s">
        <v>87</v>
      </c>
      <c r="B127" s="55" t="s">
        <v>193</v>
      </c>
      <c r="C127" s="52">
        <v>2006</v>
      </c>
      <c r="D127" s="75"/>
      <c r="E127" s="75"/>
      <c r="F127" s="81">
        <v>0.92</v>
      </c>
      <c r="G127" s="81">
        <v>1.071</v>
      </c>
      <c r="H127" s="81"/>
      <c r="I127" s="81"/>
      <c r="J127" s="53"/>
      <c r="K127" s="53"/>
      <c r="L127" s="53"/>
      <c r="M127" s="53"/>
      <c r="N127" s="54">
        <v>155</v>
      </c>
      <c r="O127" s="54">
        <v>152</v>
      </c>
      <c r="P127" s="54">
        <v>300</v>
      </c>
    </row>
    <row r="128" spans="1:16">
      <c r="A128" s="55" t="s">
        <v>87</v>
      </c>
      <c r="B128" s="55" t="s">
        <v>193</v>
      </c>
      <c r="C128" s="52">
        <v>2007</v>
      </c>
      <c r="D128" s="75"/>
      <c r="E128" s="75"/>
      <c r="F128" s="81">
        <v>1.2789999999999999</v>
      </c>
      <c r="G128" s="81">
        <v>1.234</v>
      </c>
      <c r="H128" s="81"/>
      <c r="I128" s="81"/>
      <c r="J128" s="53"/>
      <c r="K128" s="53"/>
      <c r="L128" s="53"/>
      <c r="M128" s="53"/>
      <c r="N128" s="54">
        <v>155</v>
      </c>
      <c r="O128" s="54">
        <v>152</v>
      </c>
      <c r="P128" s="54">
        <v>300</v>
      </c>
    </row>
    <row r="129" spans="1:16">
      <c r="A129" s="55" t="s">
        <v>87</v>
      </c>
      <c r="B129" s="55" t="s">
        <v>193</v>
      </c>
      <c r="C129" s="52">
        <v>2008</v>
      </c>
      <c r="D129" s="75"/>
      <c r="E129" s="75"/>
      <c r="F129" s="81">
        <v>1.5469999999999999</v>
      </c>
      <c r="G129" s="81">
        <v>1.5780000000000001</v>
      </c>
      <c r="H129" s="81"/>
      <c r="I129" s="81"/>
      <c r="J129" s="53"/>
      <c r="K129" s="53"/>
      <c r="L129" s="53"/>
      <c r="M129" s="53"/>
      <c r="N129" s="54">
        <v>155</v>
      </c>
      <c r="O129" s="54">
        <v>152</v>
      </c>
      <c r="P129" s="54">
        <v>300</v>
      </c>
    </row>
    <row r="130" spans="1:16">
      <c r="A130" s="55" t="s">
        <v>87</v>
      </c>
      <c r="B130" s="55" t="s">
        <v>193</v>
      </c>
      <c r="C130" s="52">
        <v>2011</v>
      </c>
      <c r="D130" s="75"/>
      <c r="E130" s="75"/>
      <c r="F130" s="81">
        <v>2.371</v>
      </c>
      <c r="G130" s="81">
        <v>2.4710000000000001</v>
      </c>
      <c r="H130" s="81"/>
      <c r="I130" s="81"/>
      <c r="J130" s="53"/>
      <c r="K130" s="53"/>
      <c r="L130" s="53"/>
      <c r="M130" s="53"/>
      <c r="N130" s="54">
        <v>155</v>
      </c>
      <c r="O130" s="54">
        <v>152</v>
      </c>
      <c r="P130" s="54">
        <v>300</v>
      </c>
    </row>
    <row r="131" spans="1:16">
      <c r="A131" s="55" t="s">
        <v>87</v>
      </c>
      <c r="B131" s="55" t="s">
        <v>193</v>
      </c>
      <c r="C131" s="52">
        <v>2012</v>
      </c>
      <c r="D131" s="75"/>
      <c r="E131" s="75"/>
      <c r="F131" s="81">
        <v>2.4950000000000001</v>
      </c>
      <c r="G131" s="81">
        <v>2.6440000000000001</v>
      </c>
      <c r="H131" s="81"/>
      <c r="I131" s="81"/>
      <c r="J131" s="53"/>
      <c r="K131" s="53"/>
      <c r="L131" s="53"/>
      <c r="M131" s="53"/>
      <c r="N131" s="54">
        <v>155</v>
      </c>
      <c r="O131" s="54">
        <v>152</v>
      </c>
      <c r="P131" s="54">
        <v>300</v>
      </c>
    </row>
    <row r="132" spans="1:16">
      <c r="A132" s="55" t="s">
        <v>87</v>
      </c>
      <c r="B132" s="55" t="s">
        <v>193</v>
      </c>
      <c r="C132" s="52">
        <v>2013</v>
      </c>
      <c r="D132" s="75"/>
      <c r="E132" s="75"/>
      <c r="F132" s="81">
        <v>2.3849999999999998</v>
      </c>
      <c r="G132" s="81">
        <v>2.6949999999999998</v>
      </c>
      <c r="H132" s="81"/>
      <c r="I132" s="81"/>
      <c r="J132" s="53"/>
      <c r="K132" s="53"/>
      <c r="L132" s="53"/>
      <c r="M132" s="53"/>
      <c r="N132" s="54">
        <v>116.5</v>
      </c>
      <c r="O132" s="54">
        <v>126</v>
      </c>
      <c r="P132" s="54">
        <v>300</v>
      </c>
    </row>
    <row r="133" spans="1:16">
      <c r="A133" s="55" t="s">
        <v>87</v>
      </c>
      <c r="B133" s="55" t="s">
        <v>193</v>
      </c>
      <c r="C133" s="52">
        <v>2014</v>
      </c>
      <c r="D133" s="75"/>
      <c r="E133" s="75"/>
      <c r="F133" s="81">
        <v>4.4109999999999996</v>
      </c>
      <c r="G133" s="81">
        <v>2.6850000000000001</v>
      </c>
      <c r="H133" s="81"/>
      <c r="I133" s="81"/>
      <c r="J133" s="53"/>
      <c r="K133" s="53"/>
      <c r="L133" s="53"/>
      <c r="M133" s="53"/>
      <c r="N133" s="54">
        <v>116.5</v>
      </c>
      <c r="O133" s="54">
        <v>126</v>
      </c>
      <c r="P133" s="54">
        <v>300</v>
      </c>
    </row>
    <row r="134" spans="1:16">
      <c r="A134" t="s">
        <v>34</v>
      </c>
      <c r="B134" t="s">
        <v>35</v>
      </c>
      <c r="C134">
        <v>2005</v>
      </c>
      <c r="J134" s="2">
        <v>1.5</v>
      </c>
      <c r="L134" s="2">
        <v>68096</v>
      </c>
      <c r="N134" s="35">
        <v>117.5</v>
      </c>
      <c r="O134" s="35">
        <v>93.5</v>
      </c>
      <c r="P134" s="35">
        <v>250</v>
      </c>
    </row>
    <row r="135" spans="1:16">
      <c r="A135" t="s">
        <v>34</v>
      </c>
      <c r="B135" t="s">
        <v>35</v>
      </c>
      <c r="C135">
        <v>2006</v>
      </c>
      <c r="J135" s="2">
        <v>1.36</v>
      </c>
      <c r="L135" s="2">
        <v>66196</v>
      </c>
      <c r="N135" s="35">
        <v>117.5</v>
      </c>
      <c r="O135" s="35">
        <v>93.5</v>
      </c>
      <c r="P135" s="35">
        <v>250</v>
      </c>
    </row>
    <row r="136" spans="1:16">
      <c r="A136" t="s">
        <v>34</v>
      </c>
      <c r="B136" t="s">
        <v>35</v>
      </c>
      <c r="C136">
        <v>2007</v>
      </c>
      <c r="J136" s="2">
        <v>1.22</v>
      </c>
      <c r="L136" s="2">
        <v>62607</v>
      </c>
      <c r="N136" s="35">
        <v>117.5</v>
      </c>
      <c r="O136" s="35">
        <v>93.5</v>
      </c>
      <c r="P136" s="35">
        <v>250</v>
      </c>
    </row>
    <row r="137" spans="1:16">
      <c r="A137" t="s">
        <v>34</v>
      </c>
      <c r="B137" t="s">
        <v>35</v>
      </c>
      <c r="C137">
        <v>2008</v>
      </c>
      <c r="J137" s="2">
        <v>1.34</v>
      </c>
      <c r="L137" s="2">
        <v>55144</v>
      </c>
      <c r="N137" s="35">
        <v>117.5</v>
      </c>
      <c r="O137" s="35">
        <v>93.5</v>
      </c>
      <c r="P137" s="35">
        <v>250</v>
      </c>
    </row>
    <row r="138" spans="1:16">
      <c r="A138" t="s">
        <v>34</v>
      </c>
      <c r="B138" t="s">
        <v>35</v>
      </c>
      <c r="C138">
        <v>2009</v>
      </c>
      <c r="J138" s="2">
        <v>1.64</v>
      </c>
      <c r="L138" s="2">
        <v>52473</v>
      </c>
      <c r="N138" s="35">
        <v>117.5</v>
      </c>
      <c r="O138" s="35">
        <v>93.5</v>
      </c>
      <c r="P138" s="35">
        <v>250</v>
      </c>
    </row>
    <row r="139" spans="1:16">
      <c r="A139" t="s">
        <v>34</v>
      </c>
      <c r="B139" t="s">
        <v>35</v>
      </c>
      <c r="C139">
        <v>2010</v>
      </c>
      <c r="J139" s="2">
        <v>1.56</v>
      </c>
      <c r="L139" s="2">
        <v>57809</v>
      </c>
      <c r="N139" s="35">
        <v>117.5</v>
      </c>
      <c r="O139" s="35">
        <v>93.5</v>
      </c>
      <c r="P139" s="35">
        <v>250</v>
      </c>
    </row>
    <row r="140" spans="1:16">
      <c r="A140" t="s">
        <v>34</v>
      </c>
      <c r="B140" t="s">
        <v>35</v>
      </c>
      <c r="C140">
        <v>2011</v>
      </c>
      <c r="J140" s="2">
        <v>1.54</v>
      </c>
      <c r="L140" s="2">
        <v>56811</v>
      </c>
      <c r="N140" s="35">
        <v>117.5</v>
      </c>
      <c r="O140" s="35">
        <v>93.5</v>
      </c>
      <c r="P140" s="35">
        <v>250</v>
      </c>
    </row>
    <row r="141" spans="1:16">
      <c r="A141" t="s">
        <v>34</v>
      </c>
      <c r="B141" t="s">
        <v>35</v>
      </c>
      <c r="C141">
        <v>2012</v>
      </c>
      <c r="J141" s="2">
        <v>1.55</v>
      </c>
      <c r="L141" s="2">
        <v>49659</v>
      </c>
      <c r="N141" s="35">
        <v>117.5</v>
      </c>
      <c r="O141" s="35">
        <v>93.5</v>
      </c>
      <c r="P141" s="35">
        <v>250</v>
      </c>
    </row>
    <row r="142" spans="1:16">
      <c r="A142" t="s">
        <v>34</v>
      </c>
      <c r="B142" t="s">
        <v>35</v>
      </c>
      <c r="C142">
        <v>2013</v>
      </c>
      <c r="J142" s="2">
        <v>1.46</v>
      </c>
      <c r="L142" s="2">
        <v>48919</v>
      </c>
      <c r="N142" s="35">
        <v>117.5</v>
      </c>
      <c r="O142" s="35">
        <v>93.5</v>
      </c>
      <c r="P142" s="35">
        <v>250</v>
      </c>
    </row>
    <row r="143" spans="1:16">
      <c r="A143" t="s">
        <v>34</v>
      </c>
      <c r="B143" t="s">
        <v>35</v>
      </c>
      <c r="C143" s="52">
        <v>2014</v>
      </c>
      <c r="F143" s="85">
        <v>2.2200000000000002</v>
      </c>
      <c r="G143" s="85">
        <v>0.41770000000000002</v>
      </c>
      <c r="N143" s="35">
        <v>83</v>
      </c>
      <c r="O143" s="35">
        <v>83</v>
      </c>
      <c r="P143" s="54">
        <v>175</v>
      </c>
    </row>
    <row r="144" spans="1:16">
      <c r="A144" t="s">
        <v>277</v>
      </c>
      <c r="B144" t="s">
        <v>278</v>
      </c>
      <c r="C144">
        <v>2006</v>
      </c>
      <c r="F144" s="85">
        <v>1.59</v>
      </c>
      <c r="G144" s="85">
        <v>1.61</v>
      </c>
      <c r="N144" s="35">
        <v>193</v>
      </c>
      <c r="O144" s="35">
        <v>196.5</v>
      </c>
      <c r="P144" s="35">
        <v>300</v>
      </c>
    </row>
    <row r="145" spans="1:16">
      <c r="A145" t="s">
        <v>277</v>
      </c>
      <c r="B145" t="s">
        <v>278</v>
      </c>
      <c r="C145">
        <v>2009</v>
      </c>
      <c r="F145" s="85">
        <v>2.44</v>
      </c>
      <c r="G145" s="85">
        <v>2.68</v>
      </c>
      <c r="N145" s="35">
        <v>193</v>
      </c>
      <c r="O145" s="35">
        <v>196.5</v>
      </c>
      <c r="P145" s="35">
        <v>300</v>
      </c>
    </row>
    <row r="146" spans="1:16">
      <c r="A146" t="s">
        <v>277</v>
      </c>
      <c r="B146" t="s">
        <v>278</v>
      </c>
      <c r="C146">
        <v>2010</v>
      </c>
      <c r="H146" s="85">
        <v>1.1299999999999999</v>
      </c>
      <c r="I146" s="85">
        <v>0.75</v>
      </c>
      <c r="N146" s="35">
        <v>180</v>
      </c>
      <c r="O146" s="35">
        <v>183.5</v>
      </c>
      <c r="P146" s="35">
        <v>300</v>
      </c>
    </row>
    <row r="147" spans="1:16">
      <c r="A147" t="s">
        <v>277</v>
      </c>
      <c r="B147" t="s">
        <v>278</v>
      </c>
      <c r="C147">
        <v>2013</v>
      </c>
      <c r="F147" s="85">
        <v>4.93</v>
      </c>
      <c r="G147" s="85">
        <v>4.21</v>
      </c>
      <c r="N147" s="35">
        <v>193</v>
      </c>
      <c r="O147" s="35">
        <v>196.5</v>
      </c>
      <c r="P147" s="35">
        <v>300</v>
      </c>
    </row>
    <row r="148" spans="1:16">
      <c r="A148" t="s">
        <v>277</v>
      </c>
      <c r="B148" t="s">
        <v>278</v>
      </c>
      <c r="C148">
        <v>2015</v>
      </c>
      <c r="F148" s="85">
        <v>4.76</v>
      </c>
      <c r="G148" s="85">
        <v>4.82</v>
      </c>
      <c r="N148" s="35">
        <v>193</v>
      </c>
      <c r="O148" s="35">
        <v>196.5</v>
      </c>
      <c r="P148" s="35">
        <v>300</v>
      </c>
    </row>
    <row r="149" spans="1:16">
      <c r="A149" s="55" t="s">
        <v>252</v>
      </c>
      <c r="B149" s="55" t="s">
        <v>261</v>
      </c>
      <c r="C149" s="52">
        <v>2006</v>
      </c>
      <c r="D149" s="75"/>
      <c r="E149" s="75"/>
      <c r="F149" s="81">
        <v>2.09</v>
      </c>
      <c r="G149" s="81">
        <v>2.2000000000000002</v>
      </c>
      <c r="H149" s="81"/>
      <c r="I149" s="81"/>
      <c r="J149" s="53"/>
      <c r="K149" s="53"/>
      <c r="L149" s="53"/>
      <c r="M149" s="53"/>
      <c r="N149" s="54">
        <v>141.5</v>
      </c>
      <c r="O149" s="54">
        <v>161.5</v>
      </c>
      <c r="P149" s="54">
        <v>300</v>
      </c>
    </row>
    <row r="150" spans="1:16">
      <c r="A150" s="52" t="s">
        <v>252</v>
      </c>
      <c r="B150" s="52" t="s">
        <v>261</v>
      </c>
      <c r="C150" s="52">
        <v>2008</v>
      </c>
      <c r="D150" s="75"/>
      <c r="E150" s="75"/>
      <c r="F150" s="81">
        <v>1.94</v>
      </c>
      <c r="G150" s="81">
        <v>2.6</v>
      </c>
      <c r="H150" s="81"/>
      <c r="I150" s="81"/>
      <c r="J150" s="53"/>
      <c r="K150" s="53"/>
      <c r="L150" s="53"/>
      <c r="M150" s="53"/>
      <c r="N150" s="54">
        <v>163.5</v>
      </c>
      <c r="O150" s="54">
        <v>147</v>
      </c>
      <c r="P150" s="54">
        <v>300</v>
      </c>
    </row>
    <row r="151" spans="1:16">
      <c r="A151" s="52" t="s">
        <v>252</v>
      </c>
      <c r="B151" s="52" t="s">
        <v>261</v>
      </c>
      <c r="C151" s="52">
        <v>2009</v>
      </c>
      <c r="D151" s="75"/>
      <c r="E151" s="75"/>
      <c r="F151" s="81">
        <v>1.84</v>
      </c>
      <c r="G151" s="81">
        <v>2.92</v>
      </c>
      <c r="H151" s="81"/>
      <c r="I151" s="81"/>
      <c r="J151" s="53"/>
      <c r="K151" s="53"/>
      <c r="L151" s="53"/>
      <c r="M151" s="53"/>
      <c r="N151" s="54">
        <v>163.5</v>
      </c>
      <c r="O151" s="54">
        <v>147</v>
      </c>
      <c r="P151" s="54">
        <v>300</v>
      </c>
    </row>
    <row r="152" spans="1:16">
      <c r="A152" s="52" t="s">
        <v>252</v>
      </c>
      <c r="B152" s="52" t="s">
        <v>261</v>
      </c>
      <c r="C152" s="52">
        <v>2010</v>
      </c>
      <c r="D152" s="75"/>
      <c r="E152" s="75"/>
      <c r="F152" s="81">
        <v>2.79</v>
      </c>
      <c r="G152" s="81">
        <v>3.22</v>
      </c>
      <c r="H152" s="81"/>
      <c r="I152" s="81"/>
      <c r="J152" s="53"/>
      <c r="K152" s="53"/>
      <c r="L152" s="53"/>
      <c r="M152" s="53"/>
      <c r="N152" s="54">
        <v>163.5</v>
      </c>
      <c r="O152" s="54">
        <v>147</v>
      </c>
      <c r="P152" s="54">
        <v>300</v>
      </c>
    </row>
    <row r="153" spans="1:16">
      <c r="A153" s="52" t="s">
        <v>252</v>
      </c>
      <c r="B153" s="52" t="s">
        <v>261</v>
      </c>
      <c r="C153" s="52">
        <v>2011</v>
      </c>
      <c r="D153" s="75"/>
      <c r="E153" s="75"/>
      <c r="F153" s="81">
        <v>2.86</v>
      </c>
      <c r="G153" s="81">
        <v>3.37</v>
      </c>
      <c r="H153" s="81"/>
      <c r="I153" s="81"/>
      <c r="J153" s="53"/>
      <c r="K153" s="53"/>
      <c r="L153" s="53"/>
      <c r="M153" s="53"/>
      <c r="N153" s="54">
        <v>163.5</v>
      </c>
      <c r="O153" s="54">
        <v>147</v>
      </c>
      <c r="P153" s="54">
        <v>300</v>
      </c>
    </row>
    <row r="154" spans="1:16">
      <c r="A154" s="52" t="s">
        <v>252</v>
      </c>
      <c r="B154" s="52" t="s">
        <v>261</v>
      </c>
      <c r="C154" s="52">
        <v>2013</v>
      </c>
      <c r="D154" s="75"/>
      <c r="E154" s="75"/>
      <c r="F154" s="81">
        <v>3.37</v>
      </c>
      <c r="G154" s="81">
        <v>3.69</v>
      </c>
      <c r="H154" s="81"/>
      <c r="I154" s="81"/>
      <c r="J154" s="53"/>
      <c r="K154" s="53"/>
      <c r="L154" s="53"/>
      <c r="M154" s="53"/>
      <c r="N154" s="54">
        <v>141.5</v>
      </c>
      <c r="O154" s="54">
        <v>161.5</v>
      </c>
      <c r="P154" s="54">
        <v>300</v>
      </c>
    </row>
    <row r="155" spans="1:16">
      <c r="A155" s="52" t="s">
        <v>252</v>
      </c>
      <c r="B155" s="52" t="s">
        <v>261</v>
      </c>
      <c r="C155" s="52">
        <v>2014</v>
      </c>
      <c r="D155" s="75"/>
      <c r="E155" s="75"/>
      <c r="F155" s="81">
        <v>3.02</v>
      </c>
      <c r="G155" s="81">
        <v>3.81</v>
      </c>
      <c r="H155" s="81"/>
      <c r="I155" s="81"/>
      <c r="J155" s="53"/>
      <c r="K155" s="53"/>
      <c r="L155" s="53"/>
      <c r="M155" s="53"/>
      <c r="N155" s="54">
        <v>141.5</v>
      </c>
      <c r="O155" s="54">
        <v>161.5</v>
      </c>
      <c r="P155" s="54">
        <v>300</v>
      </c>
    </row>
    <row r="156" spans="1:16">
      <c r="A156" s="52" t="s">
        <v>252</v>
      </c>
      <c r="B156" s="52" t="s">
        <v>261</v>
      </c>
      <c r="C156" s="52">
        <v>2015</v>
      </c>
      <c r="D156" s="75"/>
      <c r="E156" s="75"/>
      <c r="F156" s="81">
        <v>2.41</v>
      </c>
      <c r="G156" s="81">
        <v>3.79</v>
      </c>
      <c r="H156" s="81"/>
      <c r="I156" s="81"/>
      <c r="J156" s="53"/>
      <c r="K156" s="53"/>
      <c r="L156" s="53"/>
      <c r="M156" s="53"/>
      <c r="N156" s="54">
        <v>141.5</v>
      </c>
      <c r="O156" s="54">
        <v>161.5</v>
      </c>
      <c r="P156" s="54">
        <v>300</v>
      </c>
    </row>
    <row r="157" spans="1:16">
      <c r="A157" s="38" t="s">
        <v>36</v>
      </c>
      <c r="B157" s="38" t="s">
        <v>37</v>
      </c>
      <c r="C157">
        <v>2006</v>
      </c>
      <c r="F157" s="85">
        <v>1.6</v>
      </c>
      <c r="G157" s="85">
        <v>1.119</v>
      </c>
      <c r="H157" s="85">
        <v>0.96</v>
      </c>
      <c r="I157" s="85">
        <v>0.70499999999999996</v>
      </c>
      <c r="N157" s="35">
        <v>86.5</v>
      </c>
      <c r="O157" s="35">
        <v>104.5</v>
      </c>
      <c r="P157" s="35">
        <v>250</v>
      </c>
    </row>
    <row r="158" spans="1:16">
      <c r="A158" s="38" t="s">
        <v>36</v>
      </c>
      <c r="B158" s="38" t="s">
        <v>37</v>
      </c>
      <c r="C158">
        <v>2008</v>
      </c>
      <c r="F158" s="85">
        <v>1.73</v>
      </c>
      <c r="G158" s="85">
        <v>1.21</v>
      </c>
      <c r="N158" s="35">
        <v>86.5</v>
      </c>
      <c r="O158" s="35">
        <v>104.5</v>
      </c>
      <c r="P158" s="35">
        <v>250</v>
      </c>
    </row>
    <row r="159" spans="1:16">
      <c r="A159" s="38" t="s">
        <v>36</v>
      </c>
      <c r="B159" s="38" t="s">
        <v>37</v>
      </c>
      <c r="C159">
        <v>2009</v>
      </c>
      <c r="H159" s="85">
        <v>0.46</v>
      </c>
      <c r="I159" s="85">
        <v>0.8</v>
      </c>
      <c r="N159" s="35">
        <v>86.5</v>
      </c>
      <c r="O159" s="35">
        <v>104.5</v>
      </c>
      <c r="P159" s="35">
        <v>250</v>
      </c>
    </row>
    <row r="160" spans="1:16">
      <c r="A160" s="38" t="s">
        <v>38</v>
      </c>
      <c r="B160" s="38" t="s">
        <v>39</v>
      </c>
      <c r="C160">
        <v>2006</v>
      </c>
      <c r="J160" s="2">
        <v>14.11</v>
      </c>
      <c r="L160" s="2">
        <v>3877</v>
      </c>
      <c r="N160" s="35">
        <v>107</v>
      </c>
      <c r="O160" s="35">
        <v>108.5</v>
      </c>
      <c r="P160" s="35">
        <v>250</v>
      </c>
    </row>
    <row r="161" spans="1:16">
      <c r="A161" s="38" t="s">
        <v>38</v>
      </c>
      <c r="B161" s="38" t="s">
        <v>39</v>
      </c>
      <c r="C161">
        <v>2009</v>
      </c>
      <c r="F161" s="85">
        <v>2.0499999999999998</v>
      </c>
      <c r="G161" s="85">
        <v>2.0699999999999998</v>
      </c>
      <c r="N161" s="35">
        <v>166.5</v>
      </c>
      <c r="O161" s="35">
        <v>167.5</v>
      </c>
      <c r="P161" s="35">
        <v>300</v>
      </c>
    </row>
    <row r="162" spans="1:16">
      <c r="A162" s="38" t="s">
        <v>38</v>
      </c>
      <c r="B162" s="38" t="s">
        <v>39</v>
      </c>
      <c r="C162">
        <v>2010</v>
      </c>
      <c r="F162" s="85">
        <v>3.35</v>
      </c>
      <c r="G162" s="81">
        <v>2.29</v>
      </c>
      <c r="N162" s="35">
        <v>166.5</v>
      </c>
      <c r="O162" s="35">
        <v>167.5</v>
      </c>
      <c r="P162" s="35">
        <v>300</v>
      </c>
    </row>
    <row r="163" spans="1:16">
      <c r="A163" s="38" t="s">
        <v>38</v>
      </c>
      <c r="B163" s="38" t="s">
        <v>39</v>
      </c>
      <c r="C163">
        <v>2011</v>
      </c>
      <c r="F163" s="85">
        <v>0.66</v>
      </c>
      <c r="G163" s="81">
        <v>2.2000000000000002</v>
      </c>
      <c r="N163" s="35">
        <v>166.5</v>
      </c>
      <c r="O163" s="35">
        <v>167.5</v>
      </c>
      <c r="P163" s="35">
        <v>300</v>
      </c>
    </row>
    <row r="164" spans="1:16">
      <c r="A164" s="38" t="s">
        <v>38</v>
      </c>
      <c r="B164" s="38" t="s">
        <v>39</v>
      </c>
      <c r="C164">
        <v>2012</v>
      </c>
      <c r="F164" s="85">
        <v>1.25</v>
      </c>
      <c r="G164" s="81">
        <v>2.31</v>
      </c>
      <c r="N164" s="35">
        <v>166.5</v>
      </c>
      <c r="O164" s="35">
        <v>167.5</v>
      </c>
      <c r="P164" s="35">
        <v>300</v>
      </c>
    </row>
    <row r="165" spans="1:16">
      <c r="A165" s="55" t="s">
        <v>38</v>
      </c>
      <c r="B165" s="55" t="s">
        <v>39</v>
      </c>
      <c r="C165" s="52">
        <v>2013</v>
      </c>
      <c r="D165" s="75"/>
      <c r="E165" s="75"/>
      <c r="F165" s="81">
        <v>3.39</v>
      </c>
      <c r="G165" s="81">
        <v>2.5</v>
      </c>
      <c r="H165" s="81"/>
      <c r="I165" s="81"/>
      <c r="J165" s="53"/>
      <c r="K165" s="53"/>
      <c r="L165" s="53"/>
      <c r="M165" s="53"/>
      <c r="N165" s="35">
        <v>166.5</v>
      </c>
      <c r="O165" s="35">
        <v>167.5</v>
      </c>
      <c r="P165" s="54">
        <v>300</v>
      </c>
    </row>
    <row r="166" spans="1:16">
      <c r="A166" s="55" t="s">
        <v>38</v>
      </c>
      <c r="B166" s="55" t="s">
        <v>39</v>
      </c>
      <c r="C166" s="52">
        <v>2014</v>
      </c>
      <c r="D166" s="75"/>
      <c r="E166" s="75"/>
      <c r="F166" s="81">
        <v>1.19</v>
      </c>
      <c r="G166" s="81">
        <v>2.54</v>
      </c>
      <c r="H166" s="81"/>
      <c r="I166" s="81"/>
      <c r="J166" s="53"/>
      <c r="K166" s="53"/>
      <c r="L166" s="53"/>
      <c r="M166" s="53"/>
      <c r="N166" s="35">
        <v>166.5</v>
      </c>
      <c r="O166" s="35">
        <v>167.5</v>
      </c>
      <c r="P166" s="54">
        <v>300</v>
      </c>
    </row>
    <row r="167" spans="1:16">
      <c r="A167" s="38" t="s">
        <v>38</v>
      </c>
      <c r="B167" s="38" t="s">
        <v>39</v>
      </c>
      <c r="C167">
        <v>2015</v>
      </c>
      <c r="F167" s="85">
        <v>2.37</v>
      </c>
      <c r="G167" s="85">
        <v>2.41</v>
      </c>
      <c r="N167" s="35">
        <v>166.5</v>
      </c>
      <c r="O167" s="35">
        <v>167.5</v>
      </c>
      <c r="P167" s="35">
        <v>300</v>
      </c>
    </row>
    <row r="168" spans="1:16">
      <c r="A168" s="55" t="s">
        <v>318</v>
      </c>
      <c r="B168" s="55" t="s">
        <v>319</v>
      </c>
      <c r="C168">
        <v>2008</v>
      </c>
      <c r="F168" s="85">
        <v>6.66</v>
      </c>
      <c r="G168" s="85">
        <v>7.9710000000000001</v>
      </c>
      <c r="N168" s="35">
        <v>207</v>
      </c>
      <c r="O168" s="35">
        <v>207</v>
      </c>
      <c r="P168" s="35">
        <v>300</v>
      </c>
    </row>
    <row r="169" spans="1:16">
      <c r="A169" s="55" t="s">
        <v>318</v>
      </c>
      <c r="B169" s="55" t="s">
        <v>319</v>
      </c>
      <c r="C169">
        <v>2011</v>
      </c>
      <c r="F169" s="85">
        <v>14.88</v>
      </c>
      <c r="G169" s="85">
        <v>15.64</v>
      </c>
      <c r="N169" s="35">
        <v>207</v>
      </c>
      <c r="O169" s="35">
        <v>207</v>
      </c>
      <c r="P169" s="35">
        <v>300</v>
      </c>
    </row>
    <row r="170" spans="1:16">
      <c r="A170" s="55" t="s">
        <v>318</v>
      </c>
      <c r="B170" s="55" t="s">
        <v>319</v>
      </c>
      <c r="C170">
        <v>2012</v>
      </c>
      <c r="F170" s="85">
        <v>16.16</v>
      </c>
      <c r="G170" s="85">
        <v>16.96</v>
      </c>
      <c r="N170" s="35">
        <v>207</v>
      </c>
      <c r="O170" s="35">
        <v>207</v>
      </c>
      <c r="P170" s="35">
        <v>300</v>
      </c>
    </row>
    <row r="171" spans="1:16">
      <c r="A171" t="s">
        <v>89</v>
      </c>
      <c r="B171" t="s">
        <v>138</v>
      </c>
      <c r="C171">
        <v>2005</v>
      </c>
      <c r="E171" s="74">
        <v>18.056000000000001</v>
      </c>
      <c r="F171" s="85">
        <v>4.99</v>
      </c>
      <c r="G171" s="85">
        <v>1.22</v>
      </c>
      <c r="H171" s="85">
        <v>3.06</v>
      </c>
      <c r="I171" s="85">
        <v>0.70899999999999996</v>
      </c>
      <c r="J171" s="2">
        <v>17.13</v>
      </c>
      <c r="N171" s="35">
        <v>81</v>
      </c>
      <c r="O171" s="35">
        <v>90.5</v>
      </c>
      <c r="P171" s="35">
        <v>175</v>
      </c>
    </row>
    <row r="172" spans="1:16">
      <c r="A172" t="s">
        <v>89</v>
      </c>
      <c r="B172" t="s">
        <v>138</v>
      </c>
      <c r="C172">
        <v>2006</v>
      </c>
      <c r="E172" s="74">
        <v>22.499000000000002</v>
      </c>
      <c r="F172" s="85">
        <v>5.71</v>
      </c>
      <c r="G172" s="85">
        <v>1.51</v>
      </c>
      <c r="H172" s="85">
        <v>3.32</v>
      </c>
      <c r="I172" s="85">
        <v>0.83499999999999996</v>
      </c>
      <c r="J172" s="2">
        <v>18.89</v>
      </c>
      <c r="N172" s="35">
        <v>81</v>
      </c>
      <c r="O172" s="35">
        <v>90.5</v>
      </c>
      <c r="P172" s="35">
        <v>175</v>
      </c>
    </row>
    <row r="173" spans="1:16">
      <c r="A173" t="s">
        <v>89</v>
      </c>
      <c r="B173" t="s">
        <v>138</v>
      </c>
      <c r="C173">
        <v>2007</v>
      </c>
      <c r="E173" s="74">
        <v>23.975999999999999</v>
      </c>
      <c r="F173" s="85">
        <v>4.62</v>
      </c>
      <c r="G173" s="85">
        <v>1.48</v>
      </c>
      <c r="H173" s="85">
        <v>3.05</v>
      </c>
      <c r="I173" s="85">
        <v>0.94199999999999995</v>
      </c>
      <c r="J173" s="2">
        <v>8.8000000000000007</v>
      </c>
      <c r="N173" s="35">
        <v>81</v>
      </c>
      <c r="O173" s="35">
        <v>90.5</v>
      </c>
      <c r="P173" s="35">
        <v>175</v>
      </c>
    </row>
    <row r="174" spans="1:16">
      <c r="A174" t="s">
        <v>89</v>
      </c>
      <c r="B174" t="s">
        <v>138</v>
      </c>
      <c r="C174">
        <v>2008</v>
      </c>
      <c r="E174" s="74">
        <v>9.3239999999999998</v>
      </c>
      <c r="F174" s="85">
        <v>2.36</v>
      </c>
      <c r="G174" s="85">
        <v>1.48</v>
      </c>
      <c r="H174" s="85">
        <v>1.68</v>
      </c>
      <c r="I174" s="85">
        <v>1.04</v>
      </c>
      <c r="J174" s="2">
        <v>1.37</v>
      </c>
      <c r="N174" s="35">
        <v>81</v>
      </c>
      <c r="O174" s="35">
        <v>90.5</v>
      </c>
      <c r="P174" s="35">
        <v>175</v>
      </c>
    </row>
    <row r="175" spans="1:16">
      <c r="A175" s="38" t="s">
        <v>89</v>
      </c>
      <c r="B175" s="38" t="s">
        <v>138</v>
      </c>
      <c r="C175">
        <v>2009</v>
      </c>
      <c r="F175" s="85">
        <v>1.54</v>
      </c>
      <c r="G175" s="85">
        <v>1.75</v>
      </c>
      <c r="N175" s="35">
        <v>133</v>
      </c>
      <c r="O175" s="35">
        <v>129.5</v>
      </c>
      <c r="P175" s="35">
        <v>300</v>
      </c>
    </row>
    <row r="176" spans="1:16">
      <c r="A176" s="38" t="s">
        <v>89</v>
      </c>
      <c r="B176" s="38" t="s">
        <v>138</v>
      </c>
      <c r="C176">
        <v>2010</v>
      </c>
      <c r="F176" s="85">
        <v>1.87</v>
      </c>
      <c r="G176" s="85">
        <v>1.9</v>
      </c>
      <c r="N176" s="35">
        <v>133</v>
      </c>
      <c r="O176" s="35">
        <v>129.5</v>
      </c>
      <c r="P176" s="35">
        <v>300</v>
      </c>
    </row>
    <row r="177" spans="1:16">
      <c r="A177" s="38" t="s">
        <v>89</v>
      </c>
      <c r="B177" s="38" t="s">
        <v>138</v>
      </c>
      <c r="C177">
        <v>2011</v>
      </c>
      <c r="F177" s="85">
        <v>1.64</v>
      </c>
      <c r="G177" s="85">
        <v>2.0499999999999998</v>
      </c>
      <c r="N177" s="35">
        <v>133</v>
      </c>
      <c r="O177" s="35">
        <v>129.5</v>
      </c>
      <c r="P177" s="35">
        <v>300</v>
      </c>
    </row>
    <row r="178" spans="1:16">
      <c r="A178" s="38" t="s">
        <v>89</v>
      </c>
      <c r="B178" s="38" t="s">
        <v>138</v>
      </c>
      <c r="C178">
        <v>2012</v>
      </c>
      <c r="F178" s="85">
        <v>2.06</v>
      </c>
      <c r="G178" s="85">
        <v>2.21</v>
      </c>
      <c r="N178" s="35">
        <v>133</v>
      </c>
      <c r="O178" s="35">
        <v>129.5</v>
      </c>
      <c r="P178" s="35">
        <v>300</v>
      </c>
    </row>
    <row r="179" spans="1:16">
      <c r="A179" s="38" t="s">
        <v>89</v>
      </c>
      <c r="B179" s="38" t="s">
        <v>138</v>
      </c>
      <c r="C179">
        <v>2013</v>
      </c>
      <c r="F179" s="85">
        <v>2.2599999999999998</v>
      </c>
      <c r="G179" s="85">
        <v>2.38</v>
      </c>
      <c r="N179" s="35">
        <v>133</v>
      </c>
      <c r="O179" s="35">
        <v>129.5</v>
      </c>
      <c r="P179" s="35">
        <v>300</v>
      </c>
    </row>
    <row r="180" spans="1:16">
      <c r="A180" s="38" t="s">
        <v>89</v>
      </c>
      <c r="B180" s="38" t="s">
        <v>138</v>
      </c>
      <c r="C180">
        <v>2014</v>
      </c>
      <c r="F180" s="85">
        <v>2.56</v>
      </c>
      <c r="G180" s="85">
        <v>2.57</v>
      </c>
      <c r="N180" s="35">
        <v>133</v>
      </c>
      <c r="O180" s="35">
        <v>129.5</v>
      </c>
      <c r="P180" s="35">
        <v>300</v>
      </c>
    </row>
    <row r="181" spans="1:16">
      <c r="A181" s="38" t="s">
        <v>89</v>
      </c>
      <c r="B181" s="38" t="s">
        <v>138</v>
      </c>
      <c r="C181">
        <v>2015</v>
      </c>
      <c r="F181" s="85">
        <v>2.67</v>
      </c>
      <c r="G181" s="85">
        <v>2.8</v>
      </c>
      <c r="N181" s="35">
        <v>121</v>
      </c>
      <c r="O181" s="35">
        <v>121</v>
      </c>
      <c r="P181" s="35">
        <v>300</v>
      </c>
    </row>
    <row r="182" spans="1:16">
      <c r="A182" s="55" t="s">
        <v>91</v>
      </c>
      <c r="B182" s="55" t="s">
        <v>194</v>
      </c>
      <c r="C182" s="52">
        <v>2006</v>
      </c>
      <c r="D182" s="75"/>
      <c r="E182" s="75"/>
      <c r="F182" s="81">
        <v>5.29</v>
      </c>
      <c r="G182" s="81">
        <v>5.33</v>
      </c>
      <c r="H182" s="81"/>
      <c r="I182" s="81"/>
      <c r="J182" s="53"/>
      <c r="K182" s="53"/>
      <c r="L182" s="53"/>
      <c r="M182" s="53"/>
      <c r="N182" s="54">
        <v>245.5</v>
      </c>
      <c r="O182" s="54">
        <v>237</v>
      </c>
      <c r="P182" s="54">
        <v>300</v>
      </c>
    </row>
    <row r="183" spans="1:16">
      <c r="A183" s="55" t="s">
        <v>91</v>
      </c>
      <c r="B183" s="55" t="s">
        <v>194</v>
      </c>
      <c r="C183" s="52">
        <v>2007</v>
      </c>
      <c r="D183" s="75"/>
      <c r="E183" s="75"/>
      <c r="F183" s="81">
        <v>6.22</v>
      </c>
      <c r="G183" s="81">
        <v>8.17</v>
      </c>
      <c r="H183" s="81"/>
      <c r="I183" s="81"/>
      <c r="J183" s="53"/>
      <c r="K183" s="53"/>
      <c r="L183" s="53"/>
      <c r="M183" s="53"/>
      <c r="N183" s="54">
        <v>245.5</v>
      </c>
      <c r="O183" s="54">
        <v>237</v>
      </c>
      <c r="P183" s="54">
        <v>300</v>
      </c>
    </row>
    <row r="184" spans="1:16">
      <c r="A184" s="55" t="s">
        <v>91</v>
      </c>
      <c r="B184" s="55" t="s">
        <v>194</v>
      </c>
      <c r="C184" s="52">
        <v>2008</v>
      </c>
      <c r="D184" s="75"/>
      <c r="E184" s="75"/>
      <c r="F184" s="81">
        <v>5.78</v>
      </c>
      <c r="G184" s="81">
        <v>6.45</v>
      </c>
      <c r="H184" s="81"/>
      <c r="I184" s="81"/>
      <c r="J184" s="53"/>
      <c r="K184" s="53"/>
      <c r="L184" s="53"/>
      <c r="M184" s="53"/>
      <c r="N184" s="54">
        <v>245.5</v>
      </c>
      <c r="O184" s="54">
        <v>237</v>
      </c>
      <c r="P184" s="54">
        <v>300</v>
      </c>
    </row>
    <row r="185" spans="1:16">
      <c r="A185" s="55" t="s">
        <v>91</v>
      </c>
      <c r="B185" s="55" t="s">
        <v>194</v>
      </c>
      <c r="C185" s="52">
        <v>2009</v>
      </c>
      <c r="D185" s="75"/>
      <c r="E185" s="75"/>
      <c r="F185" s="81">
        <v>6.11</v>
      </c>
      <c r="G185" s="81">
        <v>7.13</v>
      </c>
      <c r="H185" s="81"/>
      <c r="I185" s="81"/>
      <c r="J185" s="53"/>
      <c r="K185" s="53"/>
      <c r="L185" s="53"/>
      <c r="M185" s="53"/>
      <c r="N185" s="54">
        <v>245.5</v>
      </c>
      <c r="O185" s="54">
        <v>237</v>
      </c>
      <c r="P185" s="54">
        <v>300</v>
      </c>
    </row>
    <row r="186" spans="1:16">
      <c r="A186" s="55" t="s">
        <v>91</v>
      </c>
      <c r="B186" s="55" t="s">
        <v>194</v>
      </c>
      <c r="C186" s="52">
        <v>2010</v>
      </c>
      <c r="D186" s="75"/>
      <c r="E186" s="75"/>
      <c r="F186" s="81">
        <v>10.55</v>
      </c>
      <c r="G186" s="81">
        <v>10.94</v>
      </c>
      <c r="H186" s="81"/>
      <c r="I186" s="81"/>
      <c r="J186" s="53"/>
      <c r="K186" s="53"/>
      <c r="L186" s="53"/>
      <c r="M186" s="53"/>
      <c r="N186" s="54">
        <v>245.5</v>
      </c>
      <c r="O186" s="54">
        <v>237</v>
      </c>
      <c r="P186" s="54">
        <v>300</v>
      </c>
    </row>
    <row r="187" spans="1:16">
      <c r="A187" s="55" t="s">
        <v>91</v>
      </c>
      <c r="B187" s="55" t="s">
        <v>194</v>
      </c>
      <c r="C187" s="52">
        <v>2011</v>
      </c>
      <c r="D187" s="75"/>
      <c r="E187" s="75"/>
      <c r="F187" s="81">
        <v>12.37</v>
      </c>
      <c r="G187" s="81">
        <v>11.85</v>
      </c>
      <c r="H187" s="81"/>
      <c r="I187" s="81"/>
      <c r="J187" s="53"/>
      <c r="K187" s="53"/>
      <c r="L187" s="53"/>
      <c r="M187" s="53"/>
      <c r="N187" s="54">
        <v>245.5</v>
      </c>
      <c r="O187" s="54">
        <v>237</v>
      </c>
      <c r="P187" s="54">
        <v>300</v>
      </c>
    </row>
    <row r="188" spans="1:16">
      <c r="A188" s="55" t="s">
        <v>91</v>
      </c>
      <c r="B188" s="55" t="s">
        <v>194</v>
      </c>
      <c r="C188" s="52">
        <v>2012</v>
      </c>
      <c r="D188" s="75"/>
      <c r="E188" s="75"/>
      <c r="F188" s="81">
        <v>13.79</v>
      </c>
      <c r="G188" s="81">
        <v>13.68</v>
      </c>
      <c r="H188" s="81"/>
      <c r="I188" s="81"/>
      <c r="J188" s="53"/>
      <c r="K188" s="53"/>
      <c r="L188" s="53"/>
      <c r="M188" s="53"/>
      <c r="N188" s="54">
        <v>245.5</v>
      </c>
      <c r="O188" s="54">
        <v>237</v>
      </c>
      <c r="P188" s="54">
        <v>300</v>
      </c>
    </row>
    <row r="189" spans="1:16">
      <c r="A189" s="55" t="s">
        <v>91</v>
      </c>
      <c r="B189" s="55" t="s">
        <v>194</v>
      </c>
      <c r="C189" s="52">
        <v>2013</v>
      </c>
      <c r="D189" s="75"/>
      <c r="E189" s="75"/>
      <c r="F189" s="81">
        <v>16.87</v>
      </c>
      <c r="G189" s="81">
        <v>16.579999999999998</v>
      </c>
      <c r="H189" s="81"/>
      <c r="I189" s="81"/>
      <c r="J189" s="53"/>
      <c r="K189" s="53"/>
      <c r="L189" s="53"/>
      <c r="M189" s="53"/>
      <c r="N189" s="54">
        <v>245.5</v>
      </c>
      <c r="O189" s="54">
        <v>237</v>
      </c>
      <c r="P189" s="54">
        <v>300</v>
      </c>
    </row>
    <row r="190" spans="1:16">
      <c r="A190" s="55" t="s">
        <v>91</v>
      </c>
      <c r="B190" s="55" t="s">
        <v>194</v>
      </c>
      <c r="C190" s="52">
        <v>2014</v>
      </c>
      <c r="D190" s="75"/>
      <c r="E190" s="75"/>
      <c r="F190" s="81">
        <v>19.25</v>
      </c>
      <c r="G190" s="81">
        <v>19.34</v>
      </c>
      <c r="H190" s="81"/>
      <c r="I190" s="81"/>
      <c r="J190" s="53"/>
      <c r="K190" s="53"/>
      <c r="L190" s="53"/>
      <c r="M190" s="53"/>
      <c r="N190" s="54">
        <v>245.5</v>
      </c>
      <c r="O190" s="54">
        <v>237</v>
      </c>
      <c r="P190" s="54">
        <v>300</v>
      </c>
    </row>
    <row r="191" spans="1:16">
      <c r="A191" t="s">
        <v>91</v>
      </c>
      <c r="B191" t="s">
        <v>194</v>
      </c>
      <c r="C191">
        <v>2015</v>
      </c>
      <c r="F191" s="85">
        <v>19.79</v>
      </c>
      <c r="G191" s="85">
        <v>19.600000000000001</v>
      </c>
      <c r="N191" s="35">
        <v>211</v>
      </c>
      <c r="O191" s="35">
        <v>211</v>
      </c>
      <c r="P191" s="35">
        <v>300</v>
      </c>
    </row>
    <row r="192" spans="1:16">
      <c r="A192" s="52" t="s">
        <v>267</v>
      </c>
      <c r="B192" s="52" t="s">
        <v>273</v>
      </c>
      <c r="C192">
        <v>2005</v>
      </c>
      <c r="J192" s="2">
        <v>10.23</v>
      </c>
      <c r="L192" s="2">
        <v>814.3</v>
      </c>
      <c r="O192" s="35">
        <v>152.5</v>
      </c>
      <c r="P192" s="35">
        <v>250</v>
      </c>
    </row>
    <row r="193" spans="1:16">
      <c r="A193" s="52" t="s">
        <v>267</v>
      </c>
      <c r="B193" s="52" t="s">
        <v>273</v>
      </c>
      <c r="C193">
        <v>2006</v>
      </c>
      <c r="J193" s="2">
        <v>12.01</v>
      </c>
      <c r="L193" s="2">
        <v>825.7</v>
      </c>
      <c r="O193" s="35">
        <v>152.5</v>
      </c>
      <c r="P193" s="35">
        <v>250</v>
      </c>
    </row>
    <row r="194" spans="1:16">
      <c r="A194" s="52" t="s">
        <v>267</v>
      </c>
      <c r="B194" s="52" t="s">
        <v>273</v>
      </c>
      <c r="C194">
        <v>2009</v>
      </c>
      <c r="F194" s="85">
        <v>2.5499999999999998</v>
      </c>
      <c r="G194" s="85">
        <v>2.4300000000000002</v>
      </c>
      <c r="N194" s="35">
        <v>203.5</v>
      </c>
      <c r="O194" s="35">
        <v>208.5</v>
      </c>
      <c r="P194" s="35">
        <v>300</v>
      </c>
    </row>
    <row r="195" spans="1:16">
      <c r="A195" s="52" t="s">
        <v>267</v>
      </c>
      <c r="B195" s="52" t="s">
        <v>273</v>
      </c>
      <c r="C195">
        <v>2011</v>
      </c>
      <c r="F195" s="85">
        <v>2.57</v>
      </c>
      <c r="G195" s="85">
        <v>2.54</v>
      </c>
      <c r="N195" s="35">
        <v>203.5</v>
      </c>
      <c r="O195" s="35">
        <v>208.5</v>
      </c>
      <c r="P195" s="35">
        <v>300</v>
      </c>
    </row>
    <row r="196" spans="1:16">
      <c r="A196" s="52" t="s">
        <v>267</v>
      </c>
      <c r="B196" s="52" t="s">
        <v>273</v>
      </c>
      <c r="C196">
        <v>2012</v>
      </c>
      <c r="F196" s="85">
        <v>3.02</v>
      </c>
      <c r="G196" s="85">
        <v>3.2</v>
      </c>
      <c r="N196" s="35">
        <v>203.5</v>
      </c>
      <c r="O196" s="35">
        <v>208.5</v>
      </c>
      <c r="P196" s="35">
        <v>300</v>
      </c>
    </row>
    <row r="197" spans="1:16">
      <c r="A197" s="52" t="s">
        <v>267</v>
      </c>
      <c r="B197" s="52" t="s">
        <v>273</v>
      </c>
      <c r="C197">
        <v>2013</v>
      </c>
      <c r="F197" s="85">
        <v>3.74</v>
      </c>
      <c r="G197" s="85">
        <v>3.71</v>
      </c>
      <c r="N197" s="35">
        <v>203.5</v>
      </c>
      <c r="O197" s="35">
        <v>208.5</v>
      </c>
      <c r="P197" s="35">
        <v>300</v>
      </c>
    </row>
    <row r="198" spans="1:16">
      <c r="A198" s="52" t="s">
        <v>267</v>
      </c>
      <c r="B198" s="52" t="s">
        <v>273</v>
      </c>
      <c r="C198">
        <v>2014</v>
      </c>
      <c r="F198" s="85">
        <v>3.96</v>
      </c>
      <c r="G198" s="85">
        <v>4.2300000000000004</v>
      </c>
      <c r="N198" s="35">
        <v>203.5</v>
      </c>
      <c r="O198" s="35">
        <v>208.5</v>
      </c>
      <c r="P198" s="35">
        <v>300</v>
      </c>
    </row>
    <row r="199" spans="1:16">
      <c r="A199" s="55" t="s">
        <v>267</v>
      </c>
      <c r="B199" s="55" t="s">
        <v>273</v>
      </c>
      <c r="C199">
        <v>2015</v>
      </c>
      <c r="F199" s="85">
        <v>4.62</v>
      </c>
      <c r="G199" s="85">
        <v>4.79</v>
      </c>
      <c r="N199" s="35">
        <v>196.5</v>
      </c>
      <c r="O199" s="35">
        <v>196.5</v>
      </c>
      <c r="P199" s="35">
        <v>300</v>
      </c>
    </row>
    <row r="200" spans="1:16">
      <c r="A200" s="55" t="s">
        <v>279</v>
      </c>
      <c r="B200" s="55" t="s">
        <v>280</v>
      </c>
      <c r="C200">
        <v>2011</v>
      </c>
      <c r="F200" s="85">
        <v>1.17</v>
      </c>
      <c r="G200" s="85">
        <v>1.29</v>
      </c>
      <c r="N200" s="35">
        <v>219</v>
      </c>
      <c r="O200" s="35">
        <v>219</v>
      </c>
      <c r="P200" s="35">
        <v>300</v>
      </c>
    </row>
    <row r="201" spans="1:16">
      <c r="A201" s="55" t="s">
        <v>279</v>
      </c>
      <c r="B201" s="55" t="s">
        <v>280</v>
      </c>
      <c r="C201" s="52">
        <v>2013</v>
      </c>
      <c r="D201" s="75"/>
      <c r="E201" s="75"/>
      <c r="F201" s="81">
        <v>1.86</v>
      </c>
      <c r="G201" s="81">
        <v>1.67</v>
      </c>
      <c r="H201" s="81"/>
      <c r="I201" s="81"/>
      <c r="J201" s="53"/>
      <c r="K201" s="53"/>
      <c r="L201" s="53"/>
      <c r="M201" s="53"/>
      <c r="N201" s="54">
        <v>215.5</v>
      </c>
      <c r="O201" s="54">
        <v>210.5</v>
      </c>
      <c r="P201" s="54">
        <v>300</v>
      </c>
    </row>
    <row r="202" spans="1:16">
      <c r="A202" s="55" t="s">
        <v>279</v>
      </c>
      <c r="B202" s="55" t="s">
        <v>280</v>
      </c>
      <c r="C202" s="52">
        <v>2014</v>
      </c>
      <c r="D202" s="75"/>
      <c r="E202" s="75"/>
      <c r="F202" s="81">
        <v>1.49</v>
      </c>
      <c r="G202" s="81">
        <v>1.58</v>
      </c>
      <c r="H202" s="81"/>
      <c r="I202" s="81"/>
      <c r="J202" s="53"/>
      <c r="K202" s="53"/>
      <c r="L202" s="53"/>
      <c r="M202" s="53"/>
      <c r="N202" s="54">
        <v>215.5</v>
      </c>
      <c r="O202" s="54">
        <v>210.5</v>
      </c>
      <c r="P202" s="54">
        <v>300</v>
      </c>
    </row>
    <row r="203" spans="1:16">
      <c r="A203" s="55" t="s">
        <v>40</v>
      </c>
      <c r="B203" s="55" t="s">
        <v>41</v>
      </c>
      <c r="C203" s="52">
        <v>2006</v>
      </c>
      <c r="D203" s="75"/>
      <c r="E203" s="75"/>
      <c r="F203" s="81">
        <v>1.08</v>
      </c>
      <c r="G203" s="81">
        <v>1.1850000000000001</v>
      </c>
      <c r="H203" s="81"/>
      <c r="I203" s="81"/>
      <c r="J203" s="53"/>
      <c r="K203" s="53"/>
      <c r="L203" s="53"/>
      <c r="M203" s="53"/>
      <c r="N203" s="54">
        <v>158</v>
      </c>
      <c r="O203" s="54">
        <v>158</v>
      </c>
      <c r="P203" s="54">
        <v>300</v>
      </c>
    </row>
    <row r="204" spans="1:16">
      <c r="A204" s="55" t="s">
        <v>40</v>
      </c>
      <c r="B204" s="55" t="s">
        <v>41</v>
      </c>
      <c r="C204" s="52">
        <v>2007</v>
      </c>
      <c r="D204" s="75"/>
      <c r="E204" s="75"/>
      <c r="F204" s="81">
        <v>1.29</v>
      </c>
      <c r="G204" s="81">
        <v>1.35</v>
      </c>
      <c r="H204" s="81"/>
      <c r="I204" s="81"/>
      <c r="J204" s="53"/>
      <c r="K204" s="53"/>
      <c r="L204" s="53"/>
      <c r="M204" s="53"/>
      <c r="N204" s="54">
        <v>158</v>
      </c>
      <c r="O204" s="54">
        <v>158</v>
      </c>
      <c r="P204" s="54">
        <v>300</v>
      </c>
    </row>
    <row r="205" spans="1:16">
      <c r="A205" s="55" t="s">
        <v>40</v>
      </c>
      <c r="B205" s="55" t="s">
        <v>41</v>
      </c>
      <c r="C205" s="52">
        <v>2008</v>
      </c>
      <c r="D205" s="75"/>
      <c r="E205" s="75"/>
      <c r="F205" s="81">
        <v>1.25</v>
      </c>
      <c r="G205" s="81">
        <v>1.575</v>
      </c>
      <c r="H205" s="81"/>
      <c r="I205" s="81"/>
      <c r="J205" s="53"/>
      <c r="K205" s="53"/>
      <c r="L205" s="53"/>
      <c r="M205" s="53"/>
      <c r="N205" s="54">
        <v>83</v>
      </c>
      <c r="O205" s="54">
        <v>84.5</v>
      </c>
      <c r="P205" s="54">
        <v>175</v>
      </c>
    </row>
    <row r="206" spans="1:16">
      <c r="A206" s="55" t="s">
        <v>40</v>
      </c>
      <c r="B206" s="55" t="s">
        <v>41</v>
      </c>
      <c r="C206" s="52">
        <v>2009</v>
      </c>
      <c r="D206" s="75"/>
      <c r="E206" s="75"/>
      <c r="F206" s="81">
        <v>1.47</v>
      </c>
      <c r="G206" s="81">
        <v>1.53</v>
      </c>
      <c r="H206" s="81"/>
      <c r="I206" s="81"/>
      <c r="J206" s="53"/>
      <c r="K206" s="53"/>
      <c r="L206" s="53"/>
      <c r="M206" s="53"/>
      <c r="N206" s="54">
        <v>158</v>
      </c>
      <c r="O206" s="54">
        <v>158</v>
      </c>
      <c r="P206" s="54">
        <v>300</v>
      </c>
    </row>
    <row r="207" spans="1:16">
      <c r="A207" s="52" t="s">
        <v>40</v>
      </c>
      <c r="B207" s="52" t="s">
        <v>41</v>
      </c>
      <c r="C207" s="52">
        <v>2010</v>
      </c>
      <c r="D207" s="75"/>
      <c r="E207" s="75"/>
      <c r="F207" s="81">
        <v>2.5299999999999998</v>
      </c>
      <c r="G207" s="81">
        <v>1.7450000000000001</v>
      </c>
      <c r="H207" s="81"/>
      <c r="I207" s="81"/>
      <c r="J207" s="53"/>
      <c r="K207" s="53"/>
      <c r="L207" s="53"/>
      <c r="M207" s="53"/>
      <c r="N207" s="54">
        <v>83</v>
      </c>
      <c r="O207" s="54">
        <v>84.5</v>
      </c>
      <c r="P207" s="54">
        <v>175</v>
      </c>
    </row>
    <row r="208" spans="1:16">
      <c r="A208" s="55" t="s">
        <v>40</v>
      </c>
      <c r="B208" s="55" t="s">
        <v>41</v>
      </c>
      <c r="C208" s="52">
        <v>2011</v>
      </c>
      <c r="D208" s="75"/>
      <c r="E208" s="75"/>
      <c r="F208" s="81">
        <v>1.85</v>
      </c>
      <c r="G208" s="81">
        <v>1.92</v>
      </c>
      <c r="H208" s="81"/>
      <c r="I208" s="81"/>
      <c r="J208" s="53"/>
      <c r="K208" s="53"/>
      <c r="L208" s="53"/>
      <c r="M208" s="53"/>
      <c r="N208" s="54">
        <v>158</v>
      </c>
      <c r="O208" s="54">
        <v>158</v>
      </c>
      <c r="P208" s="54">
        <v>300</v>
      </c>
    </row>
    <row r="209" spans="1:16">
      <c r="A209" s="55" t="s">
        <v>40</v>
      </c>
      <c r="B209" s="55" t="s">
        <v>41</v>
      </c>
      <c r="C209" s="52">
        <v>2012</v>
      </c>
      <c r="D209" s="75"/>
      <c r="E209" s="75"/>
      <c r="F209" s="81">
        <v>1.97</v>
      </c>
      <c r="G209" s="81">
        <v>1.92</v>
      </c>
      <c r="H209" s="81"/>
      <c r="I209" s="81"/>
      <c r="J209" s="53"/>
      <c r="K209" s="53"/>
      <c r="L209" s="53"/>
      <c r="M209" s="53"/>
      <c r="N209" s="54">
        <v>158</v>
      </c>
      <c r="O209" s="54">
        <v>158</v>
      </c>
      <c r="P209" s="54">
        <v>300</v>
      </c>
    </row>
    <row r="210" spans="1:16">
      <c r="A210" s="55" t="s">
        <v>40</v>
      </c>
      <c r="B210" s="55" t="s">
        <v>41</v>
      </c>
      <c r="C210" s="52">
        <v>2013</v>
      </c>
      <c r="D210" s="75"/>
      <c r="E210" s="75"/>
      <c r="F210" s="81">
        <v>1.9</v>
      </c>
      <c r="G210" s="81">
        <v>2.08</v>
      </c>
      <c r="H210" s="81"/>
      <c r="I210" s="81"/>
      <c r="J210" s="53"/>
      <c r="K210" s="53"/>
      <c r="L210" s="53"/>
      <c r="M210" s="53"/>
      <c r="N210" s="54">
        <v>158</v>
      </c>
      <c r="O210" s="54">
        <v>158</v>
      </c>
      <c r="P210" s="54">
        <v>300</v>
      </c>
    </row>
    <row r="211" spans="1:16">
      <c r="A211" s="55" t="s">
        <v>40</v>
      </c>
      <c r="B211" s="55" t="s">
        <v>41</v>
      </c>
      <c r="C211" s="52">
        <v>2014</v>
      </c>
      <c r="D211" s="75"/>
      <c r="E211" s="75"/>
      <c r="F211" s="81">
        <v>1.6</v>
      </c>
      <c r="G211" s="81">
        <v>2.04</v>
      </c>
      <c r="H211" s="81"/>
      <c r="I211" s="81"/>
      <c r="J211" s="53"/>
      <c r="K211" s="53"/>
      <c r="L211" s="53"/>
      <c r="M211" s="53"/>
      <c r="N211" s="54">
        <v>158</v>
      </c>
      <c r="O211" s="54">
        <v>158</v>
      </c>
      <c r="P211" s="54">
        <v>300</v>
      </c>
    </row>
    <row r="212" spans="1:16">
      <c r="A212" s="38" t="s">
        <v>40</v>
      </c>
      <c r="B212" s="38" t="s">
        <v>41</v>
      </c>
      <c r="C212">
        <v>2015</v>
      </c>
      <c r="F212" s="85">
        <v>1.67</v>
      </c>
      <c r="G212" s="85">
        <v>2</v>
      </c>
      <c r="N212" s="35">
        <v>111</v>
      </c>
      <c r="O212" s="35">
        <v>121</v>
      </c>
      <c r="P212" s="35">
        <v>300</v>
      </c>
    </row>
    <row r="213" spans="1:16">
      <c r="A213" s="55" t="s">
        <v>42</v>
      </c>
      <c r="B213" s="55" t="s">
        <v>43</v>
      </c>
      <c r="C213" s="52">
        <v>2006</v>
      </c>
      <c r="D213" s="75"/>
      <c r="E213" s="75"/>
      <c r="F213" s="81">
        <v>1.23</v>
      </c>
      <c r="G213" s="81">
        <v>1.53</v>
      </c>
      <c r="H213" s="81"/>
      <c r="I213" s="81"/>
      <c r="J213" s="53"/>
      <c r="K213" s="53"/>
      <c r="L213" s="53"/>
      <c r="M213" s="53"/>
      <c r="N213" s="54">
        <v>155.5</v>
      </c>
      <c r="O213" s="54">
        <v>127</v>
      </c>
      <c r="P213" s="54">
        <v>300</v>
      </c>
    </row>
    <row r="214" spans="1:16">
      <c r="A214" s="55" t="s">
        <v>42</v>
      </c>
      <c r="B214" s="55" t="s">
        <v>43</v>
      </c>
      <c r="C214" s="52">
        <v>2007</v>
      </c>
      <c r="D214" s="75"/>
      <c r="E214" s="75"/>
      <c r="F214" s="81">
        <v>1.6</v>
      </c>
      <c r="G214" s="81">
        <v>1.77</v>
      </c>
      <c r="H214" s="81"/>
      <c r="I214" s="81"/>
      <c r="J214" s="53"/>
      <c r="K214" s="53"/>
      <c r="L214" s="53"/>
      <c r="M214" s="53"/>
      <c r="N214" s="54">
        <v>155.5</v>
      </c>
      <c r="O214" s="54">
        <v>127</v>
      </c>
      <c r="P214" s="54">
        <v>300</v>
      </c>
    </row>
    <row r="215" spans="1:16">
      <c r="A215" s="55" t="s">
        <v>42</v>
      </c>
      <c r="B215" s="55" t="s">
        <v>43</v>
      </c>
      <c r="C215" s="52">
        <v>2008</v>
      </c>
      <c r="D215" s="75"/>
      <c r="E215" s="75"/>
      <c r="F215" s="81">
        <v>1.83</v>
      </c>
      <c r="G215" s="81">
        <v>2.0150000000000001</v>
      </c>
      <c r="H215" s="81"/>
      <c r="I215" s="81"/>
      <c r="J215" s="53"/>
      <c r="K215" s="53"/>
      <c r="L215" s="53"/>
      <c r="M215" s="53"/>
      <c r="N215" s="54">
        <v>155.5</v>
      </c>
      <c r="O215" s="54">
        <v>127</v>
      </c>
      <c r="P215" s="54">
        <v>300</v>
      </c>
    </row>
    <row r="216" spans="1:16">
      <c r="A216" s="55" t="s">
        <v>42</v>
      </c>
      <c r="B216" s="55" t="s">
        <v>43</v>
      </c>
      <c r="C216" s="52">
        <v>2009</v>
      </c>
      <c r="D216" s="75"/>
      <c r="E216" s="75"/>
      <c r="F216" s="81">
        <v>2.19</v>
      </c>
      <c r="G216" s="81">
        <v>2.2650000000000001</v>
      </c>
      <c r="H216" s="81"/>
      <c r="I216" s="81"/>
      <c r="J216" s="53"/>
      <c r="K216" s="53"/>
      <c r="L216" s="53"/>
      <c r="M216" s="53"/>
      <c r="N216" s="54">
        <v>155.5</v>
      </c>
      <c r="O216" s="54">
        <v>127</v>
      </c>
      <c r="P216" s="54">
        <v>300</v>
      </c>
    </row>
    <row r="217" spans="1:16">
      <c r="A217" s="55" t="s">
        <v>42</v>
      </c>
      <c r="B217" s="55" t="s">
        <v>43</v>
      </c>
      <c r="C217" s="52">
        <v>2010</v>
      </c>
      <c r="D217" s="75"/>
      <c r="E217" s="75"/>
      <c r="F217" s="81">
        <v>2.15</v>
      </c>
      <c r="G217" s="81">
        <v>2.5</v>
      </c>
      <c r="H217" s="81"/>
      <c r="I217" s="81"/>
      <c r="J217" s="53"/>
      <c r="K217" s="53"/>
      <c r="L217" s="53"/>
      <c r="M217" s="53"/>
      <c r="N217" s="54">
        <v>155.5</v>
      </c>
      <c r="O217" s="54">
        <v>127</v>
      </c>
      <c r="P217" s="54">
        <v>300</v>
      </c>
    </row>
    <row r="218" spans="1:16">
      <c r="A218" s="55" t="s">
        <v>42</v>
      </c>
      <c r="B218" s="55" t="s">
        <v>43</v>
      </c>
      <c r="C218" s="52">
        <v>2011</v>
      </c>
      <c r="D218" s="75"/>
      <c r="E218" s="75"/>
      <c r="F218" s="81">
        <v>2.4700000000000002</v>
      </c>
      <c r="G218" s="81">
        <v>2.5150000000000001</v>
      </c>
      <c r="H218" s="81"/>
      <c r="I218" s="81"/>
      <c r="J218" s="53"/>
      <c r="K218" s="53"/>
      <c r="L218" s="53"/>
      <c r="M218" s="53"/>
      <c r="N218" s="54">
        <v>155.5</v>
      </c>
      <c r="O218" s="54">
        <v>127</v>
      </c>
      <c r="P218" s="54">
        <v>300</v>
      </c>
    </row>
    <row r="219" spans="1:16">
      <c r="A219" s="55" t="s">
        <v>42</v>
      </c>
      <c r="B219" s="55" t="s">
        <v>43</v>
      </c>
      <c r="C219" s="52">
        <v>2012</v>
      </c>
      <c r="D219" s="75"/>
      <c r="E219" s="75"/>
      <c r="F219" s="81">
        <v>2.58</v>
      </c>
      <c r="G219" s="81">
        <v>2.68</v>
      </c>
      <c r="H219" s="81"/>
      <c r="I219" s="81"/>
      <c r="J219" s="53"/>
      <c r="K219" s="53"/>
      <c r="L219" s="53"/>
      <c r="M219" s="53"/>
      <c r="N219" s="54">
        <v>155.5</v>
      </c>
      <c r="O219" s="54">
        <v>127</v>
      </c>
      <c r="P219" s="54">
        <v>300</v>
      </c>
    </row>
    <row r="220" spans="1:16">
      <c r="A220" s="55" t="s">
        <v>42</v>
      </c>
      <c r="B220" s="55" t="s">
        <v>43</v>
      </c>
      <c r="C220" s="52">
        <v>2013</v>
      </c>
      <c r="D220" s="75"/>
      <c r="E220" s="75"/>
      <c r="F220" s="81">
        <v>2.38</v>
      </c>
      <c r="G220" s="81">
        <v>2.84</v>
      </c>
      <c r="H220" s="81"/>
      <c r="I220" s="81"/>
      <c r="J220" s="53"/>
      <c r="K220" s="53"/>
      <c r="L220" s="53"/>
      <c r="M220" s="53"/>
      <c r="N220" s="54">
        <v>155.5</v>
      </c>
      <c r="O220" s="54">
        <v>127</v>
      </c>
      <c r="P220" s="54">
        <v>300</v>
      </c>
    </row>
    <row r="221" spans="1:16">
      <c r="A221" s="55" t="s">
        <v>42</v>
      </c>
      <c r="B221" s="55" t="s">
        <v>43</v>
      </c>
      <c r="C221" s="52">
        <v>2014</v>
      </c>
      <c r="D221" s="75"/>
      <c r="E221" s="75"/>
      <c r="F221" s="81">
        <v>2.36</v>
      </c>
      <c r="G221" s="81">
        <v>2.92</v>
      </c>
      <c r="H221" s="81"/>
      <c r="I221" s="81"/>
      <c r="J221" s="53"/>
      <c r="K221" s="53"/>
      <c r="L221" s="53"/>
      <c r="M221" s="53"/>
      <c r="N221" s="54">
        <v>155.5</v>
      </c>
      <c r="O221" s="54">
        <v>127</v>
      </c>
      <c r="P221" s="54">
        <v>300</v>
      </c>
    </row>
    <row r="222" spans="1:16">
      <c r="A222" s="55" t="s">
        <v>42</v>
      </c>
      <c r="B222" s="55" t="s">
        <v>43</v>
      </c>
      <c r="C222" s="52">
        <v>2015</v>
      </c>
      <c r="D222" s="75"/>
      <c r="E222" s="75"/>
      <c r="F222" s="81">
        <v>1.52</v>
      </c>
      <c r="G222" s="81">
        <v>2.81</v>
      </c>
      <c r="H222" s="81"/>
      <c r="I222" s="81"/>
      <c r="J222" s="53"/>
      <c r="K222" s="53"/>
      <c r="L222" s="53"/>
      <c r="M222" s="53"/>
      <c r="N222" s="54">
        <v>131</v>
      </c>
      <c r="O222" s="54">
        <v>131</v>
      </c>
      <c r="P222" s="54">
        <v>300</v>
      </c>
    </row>
    <row r="223" spans="1:16">
      <c r="A223" s="38" t="s">
        <v>44</v>
      </c>
      <c r="B223" s="38" t="s">
        <v>45</v>
      </c>
      <c r="C223">
        <v>2015</v>
      </c>
      <c r="F223" s="85">
        <v>-0.61</v>
      </c>
      <c r="G223" s="85">
        <v>1.31</v>
      </c>
      <c r="N223" s="35">
        <v>98.5</v>
      </c>
      <c r="O223" s="35">
        <v>98.5</v>
      </c>
      <c r="P223" s="35">
        <v>300</v>
      </c>
    </row>
    <row r="224" spans="1:16">
      <c r="A224" s="55" t="s">
        <v>92</v>
      </c>
      <c r="B224" s="55" t="s">
        <v>195</v>
      </c>
      <c r="C224">
        <v>2008</v>
      </c>
      <c r="F224" s="85">
        <v>1.86</v>
      </c>
      <c r="G224" s="85">
        <v>1.76</v>
      </c>
      <c r="N224" s="35">
        <v>143.5</v>
      </c>
      <c r="O224" s="35">
        <v>159</v>
      </c>
      <c r="P224" s="35">
        <v>300</v>
      </c>
    </row>
    <row r="225" spans="1:16">
      <c r="A225" s="55" t="s">
        <v>92</v>
      </c>
      <c r="B225" s="55" t="s">
        <v>195</v>
      </c>
      <c r="C225">
        <v>2009</v>
      </c>
      <c r="F225" s="85">
        <v>1.9</v>
      </c>
      <c r="G225" s="85">
        <v>1.99</v>
      </c>
      <c r="N225" s="35">
        <v>143.5</v>
      </c>
      <c r="O225" s="35">
        <v>159</v>
      </c>
      <c r="P225" s="35">
        <v>300</v>
      </c>
    </row>
    <row r="226" spans="1:16">
      <c r="A226" s="55" t="s">
        <v>92</v>
      </c>
      <c r="B226" s="55" t="s">
        <v>195</v>
      </c>
      <c r="C226">
        <v>2010</v>
      </c>
      <c r="F226" s="85">
        <v>2.2400000000000002</v>
      </c>
      <c r="G226" s="85">
        <v>2.2999999999999998</v>
      </c>
      <c r="N226" s="35">
        <v>143.5</v>
      </c>
      <c r="O226" s="35">
        <v>159</v>
      </c>
      <c r="P226" s="35">
        <v>300</v>
      </c>
    </row>
    <row r="227" spans="1:16">
      <c r="A227" s="55" t="s">
        <v>92</v>
      </c>
      <c r="B227" s="55" t="s">
        <v>195</v>
      </c>
      <c r="C227">
        <v>2011</v>
      </c>
      <c r="F227" s="85">
        <v>2.7</v>
      </c>
      <c r="G227" s="85">
        <v>2.48</v>
      </c>
      <c r="N227" s="35">
        <v>143.5</v>
      </c>
      <c r="O227" s="35">
        <v>159</v>
      </c>
      <c r="P227" s="35">
        <v>300</v>
      </c>
    </row>
    <row r="228" spans="1:16">
      <c r="A228" s="55" t="s">
        <v>92</v>
      </c>
      <c r="B228" s="55" t="s">
        <v>195</v>
      </c>
      <c r="C228">
        <v>2012</v>
      </c>
      <c r="F228" s="85">
        <v>2.35</v>
      </c>
      <c r="G228" s="85">
        <v>2.56</v>
      </c>
      <c r="N228" s="35">
        <v>143.5</v>
      </c>
      <c r="O228" s="35">
        <v>159</v>
      </c>
      <c r="P228" s="35">
        <v>300</v>
      </c>
    </row>
    <row r="229" spans="1:16">
      <c r="A229" s="55" t="s">
        <v>92</v>
      </c>
      <c r="B229" s="55" t="s">
        <v>195</v>
      </c>
      <c r="C229">
        <v>2013</v>
      </c>
      <c r="F229" s="85">
        <v>2.79</v>
      </c>
      <c r="G229" s="85">
        <v>2.69</v>
      </c>
      <c r="N229" s="35">
        <v>143.5</v>
      </c>
      <c r="O229" s="35">
        <v>159</v>
      </c>
      <c r="P229" s="35">
        <v>300</v>
      </c>
    </row>
    <row r="230" spans="1:16">
      <c r="A230" s="55" t="s">
        <v>92</v>
      </c>
      <c r="B230" s="55" t="s">
        <v>195</v>
      </c>
      <c r="C230">
        <v>2014</v>
      </c>
      <c r="F230" s="85">
        <v>2.83</v>
      </c>
      <c r="G230" s="85">
        <v>2.82</v>
      </c>
      <c r="N230" s="35">
        <v>143.5</v>
      </c>
      <c r="O230" s="35">
        <v>159</v>
      </c>
      <c r="P230" s="35">
        <v>300</v>
      </c>
    </row>
    <row r="231" spans="1:16">
      <c r="A231" s="55" t="s">
        <v>92</v>
      </c>
      <c r="B231" s="55" t="s">
        <v>195</v>
      </c>
      <c r="C231">
        <v>2015</v>
      </c>
      <c r="F231" s="85">
        <v>1.97</v>
      </c>
      <c r="G231" s="85">
        <v>2.83</v>
      </c>
      <c r="N231" s="35">
        <v>143</v>
      </c>
      <c r="O231" s="35">
        <v>150</v>
      </c>
      <c r="P231" s="35">
        <v>300</v>
      </c>
    </row>
    <row r="232" spans="1:16">
      <c r="A232" s="55" t="s">
        <v>323</v>
      </c>
      <c r="B232" s="55" t="s">
        <v>325</v>
      </c>
      <c r="C232">
        <v>2006</v>
      </c>
      <c r="F232" s="85">
        <v>2.34</v>
      </c>
      <c r="G232" s="85">
        <v>2.37</v>
      </c>
      <c r="N232" s="35">
        <v>160.5</v>
      </c>
      <c r="O232" s="35">
        <v>159</v>
      </c>
      <c r="P232" s="35">
        <v>300</v>
      </c>
    </row>
    <row r="233" spans="1:16">
      <c r="A233" s="55" t="s">
        <v>323</v>
      </c>
      <c r="B233" s="55" t="s">
        <v>325</v>
      </c>
      <c r="C233">
        <v>2007</v>
      </c>
      <c r="F233" s="85">
        <v>0.93</v>
      </c>
      <c r="G233" s="85">
        <v>2.08</v>
      </c>
      <c r="N233" s="35">
        <v>160.5</v>
      </c>
      <c r="O233" s="35">
        <v>159</v>
      </c>
      <c r="P233" s="35">
        <v>300</v>
      </c>
    </row>
    <row r="234" spans="1:16">
      <c r="A234" s="55" t="s">
        <v>323</v>
      </c>
      <c r="B234" s="55" t="s">
        <v>325</v>
      </c>
      <c r="C234">
        <v>2008</v>
      </c>
      <c r="F234" s="85">
        <v>1.36</v>
      </c>
      <c r="G234" s="85">
        <v>1.88</v>
      </c>
      <c r="N234" s="35">
        <v>160.5</v>
      </c>
      <c r="O234" s="35">
        <v>159</v>
      </c>
      <c r="P234" s="35">
        <v>300</v>
      </c>
    </row>
    <row r="235" spans="1:16">
      <c r="A235" s="55" t="s">
        <v>323</v>
      </c>
      <c r="B235" s="55" t="s">
        <v>325</v>
      </c>
      <c r="C235">
        <v>2009</v>
      </c>
      <c r="F235" s="85">
        <v>1.9</v>
      </c>
      <c r="G235" s="85">
        <v>2.17</v>
      </c>
      <c r="N235" s="35">
        <v>160.5</v>
      </c>
      <c r="O235" s="35">
        <v>159</v>
      </c>
      <c r="P235" s="35">
        <v>300</v>
      </c>
    </row>
    <row r="236" spans="1:16">
      <c r="A236" s="55" t="s">
        <v>323</v>
      </c>
      <c r="B236" s="55" t="s">
        <v>325</v>
      </c>
      <c r="C236">
        <v>2010</v>
      </c>
      <c r="F236" s="85">
        <v>2.21</v>
      </c>
      <c r="G236" s="85">
        <v>2.5499999999999998</v>
      </c>
      <c r="N236" s="35">
        <v>160.5</v>
      </c>
      <c r="O236" s="35">
        <v>159</v>
      </c>
      <c r="P236" s="35">
        <v>300</v>
      </c>
    </row>
    <row r="237" spans="1:16">
      <c r="A237" s="55" t="s">
        <v>323</v>
      </c>
      <c r="B237" s="55" t="s">
        <v>325</v>
      </c>
      <c r="C237">
        <v>2011</v>
      </c>
      <c r="F237" s="85">
        <v>2.74</v>
      </c>
      <c r="G237" s="85">
        <v>2.83</v>
      </c>
      <c r="N237" s="35">
        <v>160.5</v>
      </c>
      <c r="O237" s="35">
        <v>159</v>
      </c>
      <c r="P237" s="35">
        <v>300</v>
      </c>
    </row>
    <row r="238" spans="1:16">
      <c r="A238" s="55" t="s">
        <v>323</v>
      </c>
      <c r="B238" s="55" t="s">
        <v>325</v>
      </c>
      <c r="C238">
        <v>2012</v>
      </c>
      <c r="F238" s="85">
        <v>2.89</v>
      </c>
      <c r="G238" s="85">
        <v>3.24</v>
      </c>
      <c r="N238" s="35">
        <v>160.5</v>
      </c>
      <c r="O238" s="35">
        <v>159</v>
      </c>
      <c r="P238" s="35">
        <v>300</v>
      </c>
    </row>
    <row r="239" spans="1:16">
      <c r="A239" s="55" t="s">
        <v>323</v>
      </c>
      <c r="B239" s="55" t="s">
        <v>325</v>
      </c>
      <c r="C239">
        <v>2013</v>
      </c>
      <c r="F239" s="85">
        <v>3.61</v>
      </c>
      <c r="G239" s="85">
        <v>3.72</v>
      </c>
      <c r="N239" s="35">
        <v>160.5</v>
      </c>
      <c r="O239" s="35">
        <v>159</v>
      </c>
      <c r="P239" s="35">
        <v>300</v>
      </c>
    </row>
    <row r="240" spans="1:16">
      <c r="A240" s="55" t="s">
        <v>323</v>
      </c>
      <c r="B240" s="55" t="s">
        <v>325</v>
      </c>
      <c r="C240">
        <v>2014</v>
      </c>
      <c r="F240" s="85">
        <v>3.77</v>
      </c>
      <c r="G240" s="85">
        <v>3.98</v>
      </c>
      <c r="N240" s="35">
        <v>160.5</v>
      </c>
      <c r="O240" s="35">
        <v>159</v>
      </c>
      <c r="P240" s="35">
        <v>300</v>
      </c>
    </row>
    <row r="241" spans="1:16">
      <c r="A241" s="55" t="s">
        <v>323</v>
      </c>
      <c r="B241" s="55" t="s">
        <v>325</v>
      </c>
      <c r="C241">
        <v>2015</v>
      </c>
      <c r="F241" s="85">
        <v>2.3199999999999998</v>
      </c>
      <c r="G241" s="85">
        <v>4.12</v>
      </c>
      <c r="N241" s="35">
        <v>139</v>
      </c>
      <c r="O241" s="35">
        <v>157.5</v>
      </c>
      <c r="P241" s="35">
        <v>300</v>
      </c>
    </row>
    <row r="242" spans="1:16">
      <c r="A242" s="55" t="s">
        <v>46</v>
      </c>
      <c r="B242" s="55" t="s">
        <v>47</v>
      </c>
      <c r="C242" s="52">
        <v>2010</v>
      </c>
      <c r="D242" s="75"/>
      <c r="E242" s="75"/>
      <c r="F242" s="81">
        <v>11.52</v>
      </c>
      <c r="G242" s="81">
        <v>11.32</v>
      </c>
      <c r="H242" s="81"/>
      <c r="I242" s="81"/>
      <c r="J242" s="53"/>
      <c r="K242" s="53"/>
      <c r="L242" s="53"/>
      <c r="M242" s="53"/>
      <c r="N242" s="54">
        <v>175.5</v>
      </c>
      <c r="O242" s="54">
        <v>173</v>
      </c>
      <c r="P242" s="54">
        <v>300</v>
      </c>
    </row>
    <row r="243" spans="1:16">
      <c r="A243" s="55" t="s">
        <v>46</v>
      </c>
      <c r="B243" s="55" t="s">
        <v>47</v>
      </c>
      <c r="C243" s="52">
        <v>2011</v>
      </c>
      <c r="D243" s="75"/>
      <c r="E243" s="75"/>
      <c r="F243" s="81">
        <v>13.06</v>
      </c>
      <c r="G243" s="81">
        <v>13.03</v>
      </c>
      <c r="H243" s="81"/>
      <c r="I243" s="81"/>
      <c r="J243" s="53"/>
      <c r="K243" s="53"/>
      <c r="L243" s="53"/>
      <c r="M243" s="53"/>
      <c r="N243" s="54">
        <v>175.5</v>
      </c>
      <c r="O243" s="54">
        <v>173</v>
      </c>
      <c r="P243" s="54">
        <v>300</v>
      </c>
    </row>
    <row r="244" spans="1:16">
      <c r="A244" s="55" t="s">
        <v>46</v>
      </c>
      <c r="B244" s="55" t="s">
        <v>47</v>
      </c>
      <c r="C244" s="52">
        <v>2012</v>
      </c>
      <c r="D244" s="75"/>
      <c r="E244" s="75"/>
      <c r="F244" s="81">
        <v>14.37</v>
      </c>
      <c r="G244" s="81">
        <v>14.7</v>
      </c>
      <c r="H244" s="81"/>
      <c r="I244" s="81"/>
      <c r="J244" s="53"/>
      <c r="K244" s="53"/>
      <c r="L244" s="53"/>
      <c r="M244" s="53"/>
      <c r="N244" s="54">
        <v>175.5</v>
      </c>
      <c r="O244" s="54">
        <v>173</v>
      </c>
      <c r="P244" s="54">
        <v>300</v>
      </c>
    </row>
    <row r="245" spans="1:16">
      <c r="A245" s="55" t="s">
        <v>46</v>
      </c>
      <c r="B245" s="55" t="s">
        <v>47</v>
      </c>
      <c r="C245" s="52">
        <v>2013</v>
      </c>
      <c r="D245" s="75"/>
      <c r="E245" s="75"/>
      <c r="F245" s="81">
        <v>14.94</v>
      </c>
      <c r="G245" s="81">
        <v>15.6</v>
      </c>
      <c r="H245" s="81"/>
      <c r="I245" s="81"/>
      <c r="J245" s="53"/>
      <c r="K245" s="53"/>
      <c r="L245" s="53"/>
      <c r="M245" s="53"/>
      <c r="N245" s="54">
        <v>175.5</v>
      </c>
      <c r="O245" s="54">
        <v>173</v>
      </c>
      <c r="P245" s="54">
        <v>300</v>
      </c>
    </row>
    <row r="246" spans="1:16">
      <c r="A246" s="55" t="s">
        <v>46</v>
      </c>
      <c r="B246" s="55" t="s">
        <v>47</v>
      </c>
      <c r="C246" s="52">
        <v>2014</v>
      </c>
      <c r="D246" s="75"/>
      <c r="E246" s="75"/>
      <c r="F246" s="81">
        <v>11.9</v>
      </c>
      <c r="G246" s="81">
        <v>15.87</v>
      </c>
      <c r="H246" s="81"/>
      <c r="I246" s="81"/>
      <c r="J246" s="53"/>
      <c r="K246" s="53"/>
      <c r="L246" s="53"/>
      <c r="M246" s="53"/>
      <c r="N246" s="54">
        <v>175.5</v>
      </c>
      <c r="O246" s="54">
        <v>173</v>
      </c>
      <c r="P246" s="54">
        <v>300</v>
      </c>
    </row>
    <row r="247" spans="1:16">
      <c r="A247" s="55" t="s">
        <v>46</v>
      </c>
      <c r="B247" s="55" t="s">
        <v>47</v>
      </c>
      <c r="C247" s="52">
        <v>2015</v>
      </c>
      <c r="D247" s="75"/>
      <c r="E247" s="75"/>
      <c r="F247" s="81">
        <v>13.42</v>
      </c>
      <c r="G247" s="81">
        <v>14.35</v>
      </c>
      <c r="H247" s="81"/>
      <c r="I247" s="81"/>
      <c r="J247" s="53"/>
      <c r="K247" s="53"/>
      <c r="L247" s="53"/>
      <c r="M247" s="53"/>
      <c r="N247" s="54">
        <v>175.5</v>
      </c>
      <c r="O247" s="54">
        <v>173</v>
      </c>
      <c r="P247" s="54">
        <v>300</v>
      </c>
    </row>
    <row r="248" spans="1:16">
      <c r="A248" s="55" t="s">
        <v>48</v>
      </c>
      <c r="B248" s="55" t="s">
        <v>49</v>
      </c>
      <c r="C248" s="52">
        <v>2006</v>
      </c>
      <c r="D248" s="75"/>
      <c r="E248" s="75"/>
      <c r="F248" s="81">
        <v>3.73</v>
      </c>
      <c r="G248" s="81">
        <v>3.76</v>
      </c>
      <c r="H248" s="81"/>
      <c r="I248" s="81"/>
      <c r="J248" s="53"/>
      <c r="K248" s="53"/>
      <c r="L248" s="53"/>
      <c r="M248" s="53"/>
      <c r="N248" s="54">
        <v>177</v>
      </c>
      <c r="O248" s="54">
        <v>170</v>
      </c>
      <c r="P248" s="54">
        <v>300</v>
      </c>
    </row>
    <row r="249" spans="1:16">
      <c r="A249" s="55" t="s">
        <v>48</v>
      </c>
      <c r="B249" s="55" t="s">
        <v>49</v>
      </c>
      <c r="C249" s="52">
        <v>2007</v>
      </c>
      <c r="D249" s="75"/>
      <c r="E249" s="75"/>
      <c r="F249" s="81">
        <v>3.63</v>
      </c>
      <c r="G249" s="81">
        <v>4.1500000000000004</v>
      </c>
      <c r="H249" s="81"/>
      <c r="I249" s="81"/>
      <c r="J249" s="53"/>
      <c r="K249" s="53"/>
      <c r="L249" s="53"/>
      <c r="M249" s="53"/>
      <c r="N249" s="54">
        <v>177</v>
      </c>
      <c r="O249" s="54">
        <v>170</v>
      </c>
      <c r="P249" s="54">
        <v>300</v>
      </c>
    </row>
    <row r="250" spans="1:16">
      <c r="A250" s="55" t="s">
        <v>48</v>
      </c>
      <c r="B250" s="55" t="s">
        <v>49</v>
      </c>
      <c r="C250" s="52">
        <v>2008</v>
      </c>
      <c r="D250" s="75"/>
      <c r="E250" s="75"/>
      <c r="F250" s="81">
        <v>4.57</v>
      </c>
      <c r="G250" s="81">
        <v>4.55</v>
      </c>
      <c r="H250" s="81"/>
      <c r="I250" s="81"/>
      <c r="J250" s="53"/>
      <c r="K250" s="53"/>
      <c r="L250" s="53"/>
      <c r="M250" s="53"/>
      <c r="N250" s="54">
        <v>177</v>
      </c>
      <c r="O250" s="54">
        <v>170</v>
      </c>
      <c r="P250" s="54">
        <v>300</v>
      </c>
    </row>
    <row r="251" spans="1:16">
      <c r="A251" s="55" t="s">
        <v>48</v>
      </c>
      <c r="B251" s="55" t="s">
        <v>49</v>
      </c>
      <c r="C251" s="52">
        <v>2009</v>
      </c>
      <c r="D251" s="75"/>
      <c r="E251" s="75"/>
      <c r="F251" s="81">
        <v>4.4000000000000004</v>
      </c>
      <c r="G251" s="81">
        <v>4.63</v>
      </c>
      <c r="H251" s="81"/>
      <c r="I251" s="81"/>
      <c r="J251" s="53"/>
      <c r="K251" s="53"/>
      <c r="L251" s="53"/>
      <c r="M251" s="53"/>
      <c r="N251" s="54">
        <v>177</v>
      </c>
      <c r="O251" s="54">
        <v>170</v>
      </c>
      <c r="P251" s="54">
        <v>300</v>
      </c>
    </row>
    <row r="252" spans="1:16">
      <c r="A252" s="55" t="s">
        <v>48</v>
      </c>
      <c r="B252" s="55" t="s">
        <v>49</v>
      </c>
      <c r="C252" s="52">
        <v>2010</v>
      </c>
      <c r="D252" s="75"/>
      <c r="E252" s="75"/>
      <c r="F252" s="81">
        <v>4.78</v>
      </c>
      <c r="G252" s="81">
        <v>4.76</v>
      </c>
      <c r="H252" s="81"/>
      <c r="I252" s="81"/>
      <c r="J252" s="53"/>
      <c r="K252" s="53"/>
      <c r="L252" s="53"/>
      <c r="M252" s="53"/>
      <c r="N252" s="54">
        <v>177</v>
      </c>
      <c r="O252" s="54">
        <v>170</v>
      </c>
      <c r="P252" s="54">
        <v>300</v>
      </c>
    </row>
    <row r="253" spans="1:16">
      <c r="A253" s="55" t="s">
        <v>48</v>
      </c>
      <c r="B253" s="55" t="s">
        <v>49</v>
      </c>
      <c r="C253" s="52">
        <v>2011</v>
      </c>
      <c r="D253" s="75"/>
      <c r="E253" s="75"/>
      <c r="F253" s="81">
        <v>3.49</v>
      </c>
      <c r="G253" s="81">
        <v>5</v>
      </c>
      <c r="H253" s="81"/>
      <c r="I253" s="81"/>
      <c r="J253" s="53"/>
      <c r="K253" s="53"/>
      <c r="L253" s="53"/>
      <c r="M253" s="53"/>
      <c r="N253" s="54">
        <v>176.5</v>
      </c>
      <c r="O253" s="54">
        <v>177</v>
      </c>
      <c r="P253" s="54">
        <v>300</v>
      </c>
    </row>
    <row r="254" spans="1:16">
      <c r="A254" s="55" t="s">
        <v>48</v>
      </c>
      <c r="B254" s="55" t="s">
        <v>49</v>
      </c>
      <c r="C254" s="52">
        <v>2012</v>
      </c>
      <c r="D254" s="75"/>
      <c r="E254" s="75"/>
      <c r="F254" s="81">
        <v>3.86</v>
      </c>
      <c r="G254" s="81">
        <v>5.0999999999999996</v>
      </c>
      <c r="H254" s="81"/>
      <c r="I254" s="81"/>
      <c r="J254" s="53"/>
      <c r="K254" s="53"/>
      <c r="L254" s="53"/>
      <c r="M254" s="53"/>
      <c r="N254" s="54">
        <v>176.5</v>
      </c>
      <c r="O254" s="54">
        <v>177</v>
      </c>
      <c r="P254" s="54">
        <v>300</v>
      </c>
    </row>
    <row r="255" spans="1:16">
      <c r="A255" s="55" t="s">
        <v>48</v>
      </c>
      <c r="B255" s="55" t="s">
        <v>49</v>
      </c>
      <c r="C255" s="52">
        <v>2013</v>
      </c>
      <c r="D255" s="75"/>
      <c r="E255" s="75"/>
      <c r="F255" s="81">
        <v>4.8099999999999996</v>
      </c>
      <c r="G255" s="81">
        <v>5.68</v>
      </c>
      <c r="H255" s="81"/>
      <c r="I255" s="81"/>
      <c r="J255" s="53"/>
      <c r="K255" s="53"/>
      <c r="L255" s="53"/>
      <c r="M255" s="53"/>
      <c r="N255" s="54">
        <v>101.5</v>
      </c>
      <c r="O255" s="54">
        <v>101.5</v>
      </c>
      <c r="P255" s="54">
        <v>175</v>
      </c>
    </row>
    <row r="256" spans="1:16">
      <c r="A256" s="55" t="s">
        <v>48</v>
      </c>
      <c r="B256" s="55" t="s">
        <v>49</v>
      </c>
      <c r="C256" s="52">
        <v>2014</v>
      </c>
      <c r="D256" s="75"/>
      <c r="E256" s="75"/>
      <c r="F256" s="81">
        <v>5.7</v>
      </c>
      <c r="G256" s="81">
        <v>5.97</v>
      </c>
      <c r="H256" s="81"/>
      <c r="I256" s="81"/>
      <c r="J256" s="53"/>
      <c r="K256" s="53"/>
      <c r="L256" s="53"/>
      <c r="M256" s="53"/>
      <c r="N256" s="54">
        <v>177</v>
      </c>
      <c r="O256" s="54">
        <v>170</v>
      </c>
      <c r="P256" s="54">
        <v>300</v>
      </c>
    </row>
    <row r="257" spans="1:16">
      <c r="A257" s="38" t="s">
        <v>48</v>
      </c>
      <c r="B257" s="38" t="s">
        <v>49</v>
      </c>
      <c r="C257">
        <v>2015</v>
      </c>
      <c r="F257" s="85">
        <v>5.48</v>
      </c>
      <c r="G257" s="85">
        <v>5.81</v>
      </c>
      <c r="N257" s="35">
        <v>158</v>
      </c>
      <c r="O257" s="35">
        <v>160.5</v>
      </c>
      <c r="P257" s="35">
        <v>300</v>
      </c>
    </row>
    <row r="258" spans="1:16">
      <c r="A258" t="s">
        <v>254</v>
      </c>
      <c r="B258" t="s">
        <v>262</v>
      </c>
      <c r="C258">
        <v>2006</v>
      </c>
      <c r="F258" s="85">
        <v>2.62</v>
      </c>
      <c r="G258" s="85">
        <v>2.5099999999999998</v>
      </c>
      <c r="O258" s="35">
        <v>126.5</v>
      </c>
      <c r="P258" s="35">
        <v>250</v>
      </c>
    </row>
    <row r="259" spans="1:16">
      <c r="A259" t="s">
        <v>254</v>
      </c>
      <c r="B259" t="s">
        <v>262</v>
      </c>
      <c r="C259">
        <v>2011</v>
      </c>
      <c r="F259" s="85">
        <v>2.38</v>
      </c>
      <c r="G259" s="85">
        <v>3.38</v>
      </c>
      <c r="O259" s="35">
        <v>126.5</v>
      </c>
      <c r="P259" s="35">
        <v>250</v>
      </c>
    </row>
    <row r="260" spans="1:16">
      <c r="A260" t="s">
        <v>254</v>
      </c>
      <c r="B260" t="s">
        <v>262</v>
      </c>
      <c r="C260">
        <v>2012</v>
      </c>
      <c r="F260" s="85">
        <v>2.67</v>
      </c>
      <c r="G260" s="85">
        <v>3.61</v>
      </c>
      <c r="O260" s="35">
        <v>126.5</v>
      </c>
      <c r="P260" s="35">
        <v>250</v>
      </c>
    </row>
    <row r="261" spans="1:16">
      <c r="A261" t="s">
        <v>254</v>
      </c>
      <c r="B261" t="s">
        <v>262</v>
      </c>
      <c r="C261">
        <v>2013</v>
      </c>
      <c r="F261" s="85">
        <v>4.9400000000000004</v>
      </c>
      <c r="G261" s="85">
        <v>3.77</v>
      </c>
      <c r="O261" s="35">
        <v>126.5</v>
      </c>
      <c r="P261" s="35">
        <v>250</v>
      </c>
    </row>
    <row r="262" spans="1:16">
      <c r="A262" t="s">
        <v>254</v>
      </c>
      <c r="B262" t="s">
        <v>262</v>
      </c>
      <c r="C262">
        <v>2014</v>
      </c>
      <c r="F262" s="85">
        <v>1.75</v>
      </c>
      <c r="G262" s="85">
        <v>3.81</v>
      </c>
      <c r="O262" s="35">
        <v>126.5</v>
      </c>
      <c r="P262" s="35">
        <v>250</v>
      </c>
    </row>
    <row r="263" spans="1:16">
      <c r="A263" s="38" t="s">
        <v>254</v>
      </c>
      <c r="B263" s="38" t="s">
        <v>262</v>
      </c>
      <c r="C263">
        <v>2015</v>
      </c>
      <c r="F263" s="85">
        <v>1.72</v>
      </c>
      <c r="G263" s="85">
        <v>3.52</v>
      </c>
      <c r="N263" s="35">
        <v>98.5</v>
      </c>
      <c r="O263" s="35">
        <v>113</v>
      </c>
      <c r="P263" s="35">
        <v>300</v>
      </c>
    </row>
    <row r="264" spans="1:16">
      <c r="A264" s="55" t="s">
        <v>94</v>
      </c>
      <c r="B264" s="55" t="s">
        <v>165</v>
      </c>
      <c r="C264" s="52">
        <v>2006</v>
      </c>
      <c r="D264" s="75"/>
      <c r="E264" s="75"/>
      <c r="F264" s="81">
        <v>3.25</v>
      </c>
      <c r="G264" s="81">
        <v>3.746</v>
      </c>
      <c r="H264" s="81"/>
      <c r="I264" s="81"/>
      <c r="J264" s="53">
        <v>13.38</v>
      </c>
      <c r="K264" s="53"/>
      <c r="L264" s="53"/>
      <c r="M264" s="53"/>
      <c r="N264" s="54">
        <v>116.5</v>
      </c>
      <c r="O264" s="54">
        <v>115</v>
      </c>
      <c r="P264" s="54">
        <v>300</v>
      </c>
    </row>
    <row r="265" spans="1:16">
      <c r="A265" s="55" t="s">
        <v>94</v>
      </c>
      <c r="B265" s="55" t="s">
        <v>165</v>
      </c>
      <c r="C265" s="52">
        <v>2007</v>
      </c>
      <c r="D265" s="75"/>
      <c r="E265" s="75"/>
      <c r="F265" s="81">
        <v>4.09</v>
      </c>
      <c r="G265" s="81">
        <v>4.0819999999999999</v>
      </c>
      <c r="H265" s="81"/>
      <c r="I265" s="81"/>
      <c r="J265" s="53">
        <v>12.41</v>
      </c>
      <c r="K265" s="53"/>
      <c r="L265" s="53"/>
      <c r="M265" s="53"/>
      <c r="N265" s="54">
        <v>116.5</v>
      </c>
      <c r="O265" s="54">
        <v>115</v>
      </c>
      <c r="P265" s="54">
        <v>300</v>
      </c>
    </row>
    <row r="266" spans="1:16">
      <c r="A266" s="55" t="s">
        <v>94</v>
      </c>
      <c r="B266" s="55" t="s">
        <v>165</v>
      </c>
      <c r="C266" s="52">
        <v>2008</v>
      </c>
      <c r="D266" s="75"/>
      <c r="E266" s="75"/>
      <c r="F266" s="81">
        <v>4.03</v>
      </c>
      <c r="G266" s="81">
        <v>3.9660000000000002</v>
      </c>
      <c r="H266" s="81"/>
      <c r="I266" s="81"/>
      <c r="J266" s="53">
        <v>9.3800000000000008</v>
      </c>
      <c r="K266" s="53"/>
      <c r="L266" s="53"/>
      <c r="M266" s="53"/>
      <c r="N266" s="54">
        <v>116.5</v>
      </c>
      <c r="O266" s="54">
        <v>115</v>
      </c>
      <c r="P266" s="54">
        <v>300</v>
      </c>
    </row>
    <row r="267" spans="1:16">
      <c r="A267" s="55" t="s">
        <v>94</v>
      </c>
      <c r="B267" s="55" t="s">
        <v>165</v>
      </c>
      <c r="C267" s="52">
        <v>2009</v>
      </c>
      <c r="D267" s="75"/>
      <c r="E267" s="75"/>
      <c r="F267" s="81">
        <v>4.5199999999999996</v>
      </c>
      <c r="G267" s="81">
        <v>4.3410000000000002</v>
      </c>
      <c r="H267" s="81"/>
      <c r="I267" s="81"/>
      <c r="J267" s="53">
        <v>12.99</v>
      </c>
      <c r="K267" s="53"/>
      <c r="L267" s="53"/>
      <c r="M267" s="53"/>
      <c r="N267" s="54">
        <v>116.5</v>
      </c>
      <c r="O267" s="54">
        <v>115</v>
      </c>
      <c r="P267" s="54">
        <v>300</v>
      </c>
    </row>
    <row r="268" spans="1:16">
      <c r="A268" s="55" t="s">
        <v>94</v>
      </c>
      <c r="B268" s="55" t="s">
        <v>165</v>
      </c>
      <c r="C268" s="52">
        <v>2010</v>
      </c>
      <c r="D268" s="75"/>
      <c r="E268" s="75"/>
      <c r="F268" s="81">
        <v>4.45</v>
      </c>
      <c r="G268" s="81">
        <v>4.4950000000000001</v>
      </c>
      <c r="H268" s="81"/>
      <c r="I268" s="81"/>
      <c r="J268" s="53">
        <v>14.54</v>
      </c>
      <c r="K268" s="53"/>
      <c r="L268" s="53"/>
      <c r="M268" s="53"/>
      <c r="N268" s="54">
        <v>116.5</v>
      </c>
      <c r="O268" s="54">
        <v>115</v>
      </c>
      <c r="P268" s="54">
        <v>300</v>
      </c>
    </row>
    <row r="269" spans="1:16">
      <c r="A269" s="55" t="s">
        <v>94</v>
      </c>
      <c r="B269" s="55" t="s">
        <v>165</v>
      </c>
      <c r="C269" s="52">
        <v>2011</v>
      </c>
      <c r="D269" s="75"/>
      <c r="E269" s="75"/>
      <c r="F269" s="81">
        <v>3.99</v>
      </c>
      <c r="G269" s="81">
        <v>4.6100000000000003</v>
      </c>
      <c r="H269" s="81"/>
      <c r="I269" s="81"/>
      <c r="J269" s="53">
        <v>13.27</v>
      </c>
      <c r="K269" s="53"/>
      <c r="L269" s="53"/>
      <c r="M269" s="53"/>
      <c r="N269" s="54">
        <v>116.5</v>
      </c>
      <c r="O269" s="54">
        <v>115</v>
      </c>
      <c r="P269" s="54">
        <v>300</v>
      </c>
    </row>
    <row r="270" spans="1:16">
      <c r="A270" s="55" t="s">
        <v>94</v>
      </c>
      <c r="B270" s="55" t="s">
        <v>165</v>
      </c>
      <c r="C270" s="52">
        <v>2012</v>
      </c>
      <c r="D270" s="75"/>
      <c r="E270" s="75"/>
      <c r="F270" s="81">
        <v>4.42</v>
      </c>
      <c r="G270" s="81">
        <v>5.0419999999999998</v>
      </c>
      <c r="H270" s="81"/>
      <c r="I270" s="81"/>
      <c r="J270" s="53">
        <v>12.81</v>
      </c>
      <c r="K270" s="53"/>
      <c r="L270" s="53"/>
      <c r="M270" s="53"/>
      <c r="N270" s="54">
        <v>116.5</v>
      </c>
      <c r="O270" s="54">
        <v>115</v>
      </c>
      <c r="P270" s="54">
        <v>300</v>
      </c>
    </row>
    <row r="271" spans="1:16">
      <c r="A271" s="55" t="s">
        <v>94</v>
      </c>
      <c r="B271" s="55" t="s">
        <v>165</v>
      </c>
      <c r="C271" s="52">
        <v>2013</v>
      </c>
      <c r="D271" s="75"/>
      <c r="E271" s="75"/>
      <c r="F271" s="81">
        <v>5.53</v>
      </c>
      <c r="G271" s="81">
        <v>5.5419999999999998</v>
      </c>
      <c r="H271" s="81"/>
      <c r="I271" s="81"/>
      <c r="J271" s="53">
        <v>12.75</v>
      </c>
      <c r="K271" s="53"/>
      <c r="L271" s="53"/>
      <c r="M271" s="53"/>
      <c r="N271" s="54">
        <v>116.5</v>
      </c>
      <c r="O271" s="54">
        <v>115</v>
      </c>
      <c r="P271" s="54">
        <v>300</v>
      </c>
    </row>
    <row r="272" spans="1:16">
      <c r="A272" s="55" t="s">
        <v>94</v>
      </c>
      <c r="B272" s="55" t="s">
        <v>165</v>
      </c>
      <c r="C272" s="52">
        <v>2014</v>
      </c>
      <c r="D272" s="75"/>
      <c r="E272" s="75"/>
      <c r="F272" s="81">
        <v>4.04</v>
      </c>
      <c r="G272" s="81">
        <v>5.7720000000000002</v>
      </c>
      <c r="H272" s="81"/>
      <c r="I272" s="81"/>
      <c r="J272" s="53"/>
      <c r="K272" s="53"/>
      <c r="L272" s="53"/>
      <c r="M272" s="53"/>
      <c r="N272" s="54">
        <v>116.5</v>
      </c>
      <c r="O272" s="54">
        <v>115</v>
      </c>
      <c r="P272" s="54">
        <v>300</v>
      </c>
    </row>
    <row r="273" spans="1:16">
      <c r="A273" s="55" t="s">
        <v>94</v>
      </c>
      <c r="B273" s="55" t="s">
        <v>165</v>
      </c>
      <c r="C273" s="52">
        <v>2015</v>
      </c>
      <c r="D273" s="75"/>
      <c r="E273" s="75"/>
      <c r="F273" s="81">
        <v>2.77</v>
      </c>
      <c r="G273" s="81">
        <v>5.76</v>
      </c>
      <c r="H273" s="81"/>
      <c r="I273" s="81"/>
      <c r="J273" s="53"/>
      <c r="K273" s="53"/>
      <c r="L273" s="53"/>
      <c r="M273" s="53"/>
      <c r="N273" s="54">
        <v>116.5</v>
      </c>
      <c r="O273" s="54">
        <v>115</v>
      </c>
      <c r="P273" s="54">
        <v>300</v>
      </c>
    </row>
    <row r="274" spans="1:16">
      <c r="A274" s="38" t="s">
        <v>314</v>
      </c>
      <c r="B274" s="38" t="s">
        <v>315</v>
      </c>
      <c r="C274">
        <v>2010</v>
      </c>
      <c r="G274" s="85">
        <v>3.18</v>
      </c>
      <c r="N274" s="35">
        <v>131.5</v>
      </c>
      <c r="O274" s="35">
        <v>102.5</v>
      </c>
      <c r="P274" s="35">
        <v>300</v>
      </c>
    </row>
    <row r="275" spans="1:16">
      <c r="A275" s="38" t="s">
        <v>314</v>
      </c>
      <c r="B275" s="38" t="s">
        <v>315</v>
      </c>
      <c r="C275">
        <v>2011</v>
      </c>
      <c r="G275" s="85">
        <v>3.01</v>
      </c>
      <c r="N275" s="35">
        <v>131.5</v>
      </c>
      <c r="O275" s="35">
        <v>102.5</v>
      </c>
      <c r="P275" s="35">
        <v>300</v>
      </c>
    </row>
    <row r="276" spans="1:16">
      <c r="A276" s="38" t="s">
        <v>314</v>
      </c>
      <c r="B276" s="38" t="s">
        <v>315</v>
      </c>
      <c r="C276">
        <v>2012</v>
      </c>
      <c r="G276" s="85">
        <v>3.37</v>
      </c>
      <c r="N276" s="35">
        <v>131.5</v>
      </c>
      <c r="O276" s="35">
        <v>102.5</v>
      </c>
      <c r="P276" s="35">
        <v>300</v>
      </c>
    </row>
    <row r="277" spans="1:16">
      <c r="A277" s="38" t="s">
        <v>314</v>
      </c>
      <c r="B277" s="38" t="s">
        <v>315</v>
      </c>
      <c r="C277">
        <v>2013</v>
      </c>
      <c r="G277" s="85">
        <v>-3</v>
      </c>
      <c r="N277" s="35">
        <v>131.5</v>
      </c>
      <c r="O277" s="35">
        <v>102.5</v>
      </c>
      <c r="P277" s="35">
        <v>300</v>
      </c>
    </row>
    <row r="278" spans="1:16">
      <c r="A278" s="38" t="s">
        <v>314</v>
      </c>
      <c r="B278" s="38" t="s">
        <v>315</v>
      </c>
      <c r="C278">
        <v>2014</v>
      </c>
      <c r="F278" s="85">
        <v>1.31</v>
      </c>
      <c r="G278" s="85">
        <v>1.98</v>
      </c>
      <c r="N278" s="35">
        <v>131.5</v>
      </c>
      <c r="O278" s="35">
        <v>102.5</v>
      </c>
      <c r="P278" s="35">
        <v>300</v>
      </c>
    </row>
    <row r="279" spans="1:16">
      <c r="A279" s="38" t="s">
        <v>314</v>
      </c>
      <c r="B279" s="38" t="s">
        <v>315</v>
      </c>
      <c r="C279">
        <v>2015</v>
      </c>
      <c r="F279" s="85">
        <v>-0.34</v>
      </c>
      <c r="G279" s="85">
        <v>2.04</v>
      </c>
      <c r="N279" s="35">
        <v>131.5</v>
      </c>
      <c r="O279" s="35">
        <v>102.5</v>
      </c>
      <c r="P279" s="35">
        <v>300</v>
      </c>
    </row>
    <row r="280" spans="1:16">
      <c r="A280" s="52" t="s">
        <v>256</v>
      </c>
      <c r="B280" s="52" t="s">
        <v>263</v>
      </c>
      <c r="C280" s="52">
        <v>2006</v>
      </c>
      <c r="D280" s="75"/>
      <c r="E280" s="75"/>
      <c r="F280" s="81">
        <v>3.6999999999999998E-2</v>
      </c>
      <c r="G280" s="81">
        <v>0.33700000000000002</v>
      </c>
      <c r="H280" s="81"/>
      <c r="I280" s="81"/>
      <c r="J280" s="53"/>
      <c r="K280" s="53"/>
      <c r="L280" s="53"/>
      <c r="M280" s="53"/>
      <c r="N280" s="54">
        <v>162.5</v>
      </c>
      <c r="O280" s="54">
        <v>162.5</v>
      </c>
      <c r="P280" s="54">
        <v>300</v>
      </c>
    </row>
    <row r="281" spans="1:16">
      <c r="A281" s="55" t="s">
        <v>256</v>
      </c>
      <c r="B281" s="55" t="s">
        <v>263</v>
      </c>
      <c r="C281" s="52">
        <v>2007</v>
      </c>
      <c r="D281" s="75"/>
      <c r="E281" s="75"/>
      <c r="F281" s="81">
        <v>0.8</v>
      </c>
      <c r="G281" s="81">
        <v>0.75800000000000001</v>
      </c>
      <c r="H281" s="81"/>
      <c r="I281" s="81"/>
      <c r="J281" s="53"/>
      <c r="K281" s="53"/>
      <c r="L281" s="53"/>
      <c r="M281" s="53"/>
      <c r="N281" s="54">
        <v>162.5</v>
      </c>
      <c r="O281" s="54">
        <v>162.5</v>
      </c>
      <c r="P281" s="54">
        <v>300</v>
      </c>
    </row>
    <row r="282" spans="1:16">
      <c r="A282" s="52" t="s">
        <v>256</v>
      </c>
      <c r="B282" s="52" t="s">
        <v>263</v>
      </c>
      <c r="C282" s="52">
        <v>2008</v>
      </c>
      <c r="D282" s="75"/>
      <c r="E282" s="75"/>
      <c r="F282" s="81">
        <v>-0.19400000000000001</v>
      </c>
      <c r="G282" s="81">
        <v>0.94099999999999995</v>
      </c>
      <c r="H282" s="81"/>
      <c r="I282" s="81"/>
      <c r="J282" s="53"/>
      <c r="K282" s="53"/>
      <c r="L282" s="53"/>
      <c r="M282" s="53"/>
      <c r="N282" s="54">
        <v>162.5</v>
      </c>
      <c r="O282" s="54">
        <v>162.5</v>
      </c>
      <c r="P282" s="54">
        <v>300</v>
      </c>
    </row>
    <row r="283" spans="1:16">
      <c r="A283" s="55" t="s">
        <v>256</v>
      </c>
      <c r="B283" s="55" t="s">
        <v>263</v>
      </c>
      <c r="C283" s="52">
        <v>2009</v>
      </c>
      <c r="D283" s="75"/>
      <c r="E283" s="75"/>
      <c r="F283" s="81">
        <v>1.1160000000000001</v>
      </c>
      <c r="G283" s="81">
        <v>1.119</v>
      </c>
      <c r="H283" s="81"/>
      <c r="I283" s="81"/>
      <c r="J283" s="53"/>
      <c r="K283" s="53"/>
      <c r="L283" s="53"/>
      <c r="M283" s="53"/>
      <c r="N283" s="54">
        <v>162.5</v>
      </c>
      <c r="O283" s="54">
        <v>162.5</v>
      </c>
      <c r="P283" s="54">
        <v>300</v>
      </c>
    </row>
    <row r="284" spans="1:16">
      <c r="A284" s="55" t="s">
        <v>256</v>
      </c>
      <c r="B284" s="55" t="s">
        <v>263</v>
      </c>
      <c r="C284" s="52">
        <v>2011</v>
      </c>
      <c r="D284" s="75"/>
      <c r="E284" s="75"/>
      <c r="F284" s="81">
        <v>1.4850000000000001</v>
      </c>
      <c r="G284" s="81">
        <v>1.87</v>
      </c>
      <c r="H284" s="81"/>
      <c r="I284" s="81"/>
      <c r="J284" s="53"/>
      <c r="K284" s="53"/>
      <c r="L284" s="53"/>
      <c r="M284" s="53"/>
      <c r="N284" s="54">
        <v>162.5</v>
      </c>
      <c r="O284" s="54">
        <v>162.5</v>
      </c>
      <c r="P284" s="54">
        <v>300</v>
      </c>
    </row>
    <row r="285" spans="1:16">
      <c r="A285" s="55" t="s">
        <v>256</v>
      </c>
      <c r="B285" s="55" t="s">
        <v>263</v>
      </c>
      <c r="C285" s="52">
        <v>2012</v>
      </c>
      <c r="D285" s="75"/>
      <c r="E285" s="75"/>
      <c r="F285" s="81">
        <v>2.194</v>
      </c>
      <c r="G285" s="81">
        <v>2.2040000000000002</v>
      </c>
      <c r="H285" s="81"/>
      <c r="I285" s="81"/>
      <c r="J285" s="53"/>
      <c r="K285" s="53"/>
      <c r="L285" s="53"/>
      <c r="M285" s="53"/>
      <c r="N285" s="54">
        <v>162.5</v>
      </c>
      <c r="O285" s="54">
        <v>162.5</v>
      </c>
      <c r="P285" s="54">
        <v>300</v>
      </c>
    </row>
    <row r="286" spans="1:16">
      <c r="A286" s="55" t="s">
        <v>256</v>
      </c>
      <c r="B286" s="55" t="s">
        <v>263</v>
      </c>
      <c r="C286" s="52">
        <v>2013</v>
      </c>
      <c r="D286" s="75"/>
      <c r="E286" s="75"/>
      <c r="F286" s="81">
        <v>2.56</v>
      </c>
      <c r="G286" s="81">
        <v>2.61</v>
      </c>
      <c r="H286" s="81"/>
      <c r="I286" s="81"/>
      <c r="J286" s="53"/>
      <c r="K286" s="53"/>
      <c r="L286" s="53"/>
      <c r="M286" s="53"/>
      <c r="N286" s="54">
        <v>162.5</v>
      </c>
      <c r="O286" s="54">
        <v>162.5</v>
      </c>
      <c r="P286" s="54">
        <v>300</v>
      </c>
    </row>
    <row r="287" spans="1:16">
      <c r="A287" s="55" t="s">
        <v>256</v>
      </c>
      <c r="B287" s="55" t="s">
        <v>263</v>
      </c>
      <c r="C287" s="52">
        <v>2015</v>
      </c>
      <c r="D287" s="75"/>
      <c r="E287" s="75"/>
      <c r="F287" s="81">
        <v>3.35</v>
      </c>
      <c r="G287" s="81">
        <v>3.43</v>
      </c>
      <c r="H287" s="81"/>
      <c r="I287" s="81"/>
      <c r="J287" s="53"/>
      <c r="K287" s="53"/>
      <c r="L287" s="53"/>
      <c r="M287" s="53"/>
      <c r="N287" s="54">
        <v>162.5</v>
      </c>
      <c r="O287" s="54">
        <v>162.5</v>
      </c>
      <c r="P287" s="54">
        <v>300</v>
      </c>
    </row>
    <row r="288" spans="1:16">
      <c r="A288" s="55" t="s">
        <v>50</v>
      </c>
      <c r="B288" s="55" t="s">
        <v>51</v>
      </c>
      <c r="C288" s="52">
        <v>2006</v>
      </c>
      <c r="D288" s="75"/>
      <c r="E288" s="75"/>
      <c r="F288" s="81">
        <v>2.83</v>
      </c>
      <c r="G288" s="81">
        <v>2.9</v>
      </c>
      <c r="H288" s="81"/>
      <c r="I288" s="81"/>
      <c r="J288" s="53"/>
      <c r="K288" s="53"/>
      <c r="L288" s="53"/>
      <c r="M288" s="53"/>
      <c r="N288" s="54">
        <v>113</v>
      </c>
      <c r="O288" s="54">
        <v>115.5</v>
      </c>
      <c r="P288" s="54">
        <v>300</v>
      </c>
    </row>
    <row r="289" spans="1:16">
      <c r="A289" s="52" t="s">
        <v>50</v>
      </c>
      <c r="B289" s="52" t="s">
        <v>51</v>
      </c>
      <c r="C289" s="52">
        <v>2007</v>
      </c>
      <c r="D289" s="75"/>
      <c r="E289" s="75"/>
      <c r="F289" s="81">
        <v>1.98</v>
      </c>
      <c r="G289" s="81">
        <v>3.04</v>
      </c>
      <c r="H289" s="81"/>
      <c r="I289" s="81"/>
      <c r="J289" s="53"/>
      <c r="K289" s="53"/>
      <c r="L289" s="53"/>
      <c r="M289" s="53"/>
      <c r="N289" s="54">
        <v>113</v>
      </c>
      <c r="O289" s="54">
        <v>115.5</v>
      </c>
      <c r="P289" s="54">
        <v>300</v>
      </c>
    </row>
    <row r="290" spans="1:16">
      <c r="A290" s="55" t="s">
        <v>50</v>
      </c>
      <c r="B290" s="55" t="s">
        <v>51</v>
      </c>
      <c r="C290" s="52">
        <v>2008</v>
      </c>
      <c r="D290" s="75"/>
      <c r="E290" s="75"/>
      <c r="F290" s="81">
        <v>3.76</v>
      </c>
      <c r="G290" s="81">
        <v>3.67</v>
      </c>
      <c r="H290" s="81"/>
      <c r="I290" s="81"/>
      <c r="J290" s="53"/>
      <c r="K290" s="53"/>
      <c r="L290" s="53"/>
      <c r="M290" s="53"/>
      <c r="N290" s="54">
        <v>113</v>
      </c>
      <c r="O290" s="54">
        <v>115.5</v>
      </c>
      <c r="P290" s="54">
        <v>300</v>
      </c>
    </row>
    <row r="291" spans="1:16">
      <c r="A291" s="55" t="s">
        <v>50</v>
      </c>
      <c r="B291" s="55" t="s">
        <v>51</v>
      </c>
      <c r="C291" s="52">
        <v>2009</v>
      </c>
      <c r="D291" s="75"/>
      <c r="E291" s="75"/>
      <c r="F291" s="81">
        <v>4.1100000000000003</v>
      </c>
      <c r="G291" s="81">
        <v>3.98</v>
      </c>
      <c r="H291" s="81"/>
      <c r="I291" s="81"/>
      <c r="J291" s="53"/>
      <c r="K291" s="53"/>
      <c r="L291" s="53"/>
      <c r="M291" s="53"/>
      <c r="N291" s="54">
        <v>113</v>
      </c>
      <c r="O291" s="54">
        <v>115.5</v>
      </c>
      <c r="P291" s="54">
        <v>300</v>
      </c>
    </row>
    <row r="292" spans="1:16">
      <c r="A292" s="55" t="s">
        <v>50</v>
      </c>
      <c r="B292" s="55" t="s">
        <v>51</v>
      </c>
      <c r="C292" s="52">
        <v>2010</v>
      </c>
      <c r="D292" s="75"/>
      <c r="E292" s="75"/>
      <c r="F292" s="81">
        <v>4.58</v>
      </c>
      <c r="G292" s="81">
        <v>4.5999999999999996</v>
      </c>
      <c r="H292" s="81"/>
      <c r="I292" s="81"/>
      <c r="J292" s="53"/>
      <c r="K292" s="53"/>
      <c r="L292" s="53"/>
      <c r="M292" s="53"/>
      <c r="N292" s="54">
        <v>113</v>
      </c>
      <c r="O292" s="54">
        <v>115.5</v>
      </c>
      <c r="P292" s="54">
        <v>300</v>
      </c>
    </row>
    <row r="293" spans="1:16">
      <c r="A293" s="55" t="s">
        <v>50</v>
      </c>
      <c r="B293" s="55" t="s">
        <v>51</v>
      </c>
      <c r="C293" s="52">
        <v>2014</v>
      </c>
      <c r="D293" s="75"/>
      <c r="E293" s="75"/>
      <c r="F293" s="81">
        <v>4.82</v>
      </c>
      <c r="G293" s="81">
        <v>5.36</v>
      </c>
      <c r="H293" s="81"/>
      <c r="I293" s="81"/>
      <c r="J293" s="53"/>
      <c r="K293" s="53"/>
      <c r="L293" s="53"/>
      <c r="M293" s="53"/>
      <c r="N293" s="54">
        <v>113</v>
      </c>
      <c r="O293" s="54">
        <v>115.5</v>
      </c>
      <c r="P293" s="54">
        <v>300</v>
      </c>
    </row>
    <row r="294" spans="1:16">
      <c r="A294" s="55" t="s">
        <v>50</v>
      </c>
      <c r="B294" s="55" t="s">
        <v>51</v>
      </c>
      <c r="C294" s="52">
        <v>2015</v>
      </c>
      <c r="D294" s="75"/>
      <c r="E294" s="75"/>
      <c r="F294" s="81">
        <v>4.8</v>
      </c>
      <c r="G294" s="81">
        <v>4.9800000000000004</v>
      </c>
      <c r="H294" s="81"/>
      <c r="I294" s="81"/>
      <c r="J294" s="53"/>
      <c r="K294" s="53"/>
      <c r="L294" s="53"/>
      <c r="M294" s="53"/>
      <c r="N294" s="54">
        <v>113</v>
      </c>
      <c r="O294" s="54">
        <v>115.5</v>
      </c>
      <c r="P294" s="54">
        <v>300</v>
      </c>
    </row>
    <row r="295" spans="1:16">
      <c r="A295" s="52" t="s">
        <v>52</v>
      </c>
      <c r="B295" s="52" t="s">
        <v>53</v>
      </c>
      <c r="C295" s="52">
        <v>2005</v>
      </c>
      <c r="D295" s="75"/>
      <c r="E295" s="75"/>
      <c r="F295" s="81"/>
      <c r="G295" s="81"/>
      <c r="H295" s="81"/>
      <c r="I295" s="81"/>
      <c r="J295" s="53">
        <v>8.2100000000000009</v>
      </c>
      <c r="K295" s="53"/>
      <c r="L295" s="53">
        <v>2182</v>
      </c>
      <c r="M295" s="53"/>
      <c r="N295" s="54">
        <v>82.5</v>
      </c>
      <c r="O295" s="54">
        <v>85.5</v>
      </c>
      <c r="P295" s="54">
        <v>250</v>
      </c>
    </row>
    <row r="296" spans="1:16">
      <c r="A296" s="52" t="s">
        <v>52</v>
      </c>
      <c r="B296" s="52" t="s">
        <v>53</v>
      </c>
      <c r="C296" s="52">
        <v>2006</v>
      </c>
      <c r="D296" s="75"/>
      <c r="E296" s="75"/>
      <c r="F296" s="81"/>
      <c r="G296" s="81"/>
      <c r="H296" s="81"/>
      <c r="I296" s="81"/>
      <c r="J296" s="53">
        <v>8.1</v>
      </c>
      <c r="K296" s="53"/>
      <c r="L296" s="53">
        <v>2168</v>
      </c>
      <c r="M296" s="53"/>
      <c r="N296" s="54">
        <v>82.5</v>
      </c>
      <c r="O296" s="54">
        <v>85.5</v>
      </c>
      <c r="P296" s="54">
        <v>250</v>
      </c>
    </row>
    <row r="297" spans="1:16">
      <c r="A297" s="52" t="s">
        <v>52</v>
      </c>
      <c r="B297" s="52" t="s">
        <v>53</v>
      </c>
      <c r="C297" s="52">
        <v>2007</v>
      </c>
      <c r="D297" s="75"/>
      <c r="E297" s="75"/>
      <c r="F297" s="81">
        <v>1.49</v>
      </c>
      <c r="G297" s="81">
        <v>3.5590000000000002</v>
      </c>
      <c r="H297" s="81"/>
      <c r="I297" s="81"/>
      <c r="J297" s="53">
        <v>8.3699999999999992</v>
      </c>
      <c r="K297" s="53"/>
      <c r="L297" s="53">
        <v>2173</v>
      </c>
      <c r="M297" s="53"/>
      <c r="N297" s="54">
        <v>99</v>
      </c>
      <c r="O297" s="54">
        <v>99.5</v>
      </c>
      <c r="P297" s="54">
        <v>300</v>
      </c>
    </row>
    <row r="298" spans="1:16">
      <c r="A298" s="52" t="s">
        <v>52</v>
      </c>
      <c r="B298" s="52" t="s">
        <v>53</v>
      </c>
      <c r="C298" s="52">
        <v>2008</v>
      </c>
      <c r="D298" s="75"/>
      <c r="E298" s="75"/>
      <c r="F298" s="81">
        <v>3.64</v>
      </c>
      <c r="G298" s="81">
        <v>2.85</v>
      </c>
      <c r="H298" s="81"/>
      <c r="I298" s="81"/>
      <c r="J298" s="53">
        <v>8.9</v>
      </c>
      <c r="K298" s="53"/>
      <c r="L298" s="53">
        <v>2108</v>
      </c>
      <c r="M298" s="53"/>
      <c r="N298" s="54">
        <v>82.5</v>
      </c>
      <c r="O298" s="54">
        <v>104</v>
      </c>
      <c r="P298" s="54">
        <v>250</v>
      </c>
    </row>
    <row r="299" spans="1:16">
      <c r="A299" s="52" t="s">
        <v>52</v>
      </c>
      <c r="B299" s="52" t="s">
        <v>53</v>
      </c>
      <c r="C299" s="52">
        <v>2009</v>
      </c>
      <c r="D299" s="75"/>
      <c r="E299" s="75"/>
      <c r="F299" s="81">
        <v>5.65</v>
      </c>
      <c r="G299" s="81">
        <v>1.69</v>
      </c>
      <c r="H299" s="81"/>
      <c r="I299" s="81"/>
      <c r="J299" s="53"/>
      <c r="K299" s="53"/>
      <c r="L299" s="53"/>
      <c r="M299" s="53"/>
      <c r="N299" s="54">
        <v>99</v>
      </c>
      <c r="O299" s="54">
        <v>99.5</v>
      </c>
      <c r="P299" s="54">
        <v>300</v>
      </c>
    </row>
    <row r="300" spans="1:16">
      <c r="A300" s="52" t="s">
        <v>52</v>
      </c>
      <c r="B300" s="52" t="s">
        <v>53</v>
      </c>
      <c r="C300" s="52">
        <v>2010</v>
      </c>
      <c r="D300" s="75"/>
      <c r="E300" s="75"/>
      <c r="F300" s="81">
        <v>0.28000000000000003</v>
      </c>
      <c r="G300" s="81">
        <v>3.42</v>
      </c>
      <c r="H300" s="81"/>
      <c r="I300" s="81"/>
      <c r="J300" s="53"/>
      <c r="K300" s="53"/>
      <c r="L300" s="53"/>
      <c r="M300" s="53"/>
      <c r="N300" s="54">
        <v>25.5</v>
      </c>
      <c r="O300" s="54">
        <v>24</v>
      </c>
      <c r="P300" s="54">
        <v>100</v>
      </c>
    </row>
    <row r="301" spans="1:16">
      <c r="A301" s="52" t="s">
        <v>52</v>
      </c>
      <c r="B301" s="52" t="s">
        <v>53</v>
      </c>
      <c r="C301" s="52">
        <v>2014</v>
      </c>
      <c r="D301" s="75"/>
      <c r="E301" s="75"/>
      <c r="F301" s="81">
        <v>4.07</v>
      </c>
      <c r="G301" s="81">
        <v>1.3959999999999999</v>
      </c>
      <c r="H301" s="81"/>
      <c r="I301" s="81"/>
      <c r="J301" s="53"/>
      <c r="K301" s="53"/>
      <c r="L301" s="53"/>
      <c r="M301" s="53"/>
      <c r="N301" s="54">
        <v>99</v>
      </c>
      <c r="O301" s="54">
        <v>99.5</v>
      </c>
      <c r="P301" s="54">
        <v>300</v>
      </c>
    </row>
    <row r="302" spans="1:16">
      <c r="A302" s="55" t="s">
        <v>54</v>
      </c>
      <c r="B302" s="55" t="s">
        <v>55</v>
      </c>
      <c r="C302" s="52">
        <v>2012</v>
      </c>
      <c r="D302" s="75"/>
      <c r="E302" s="75"/>
      <c r="F302" s="81">
        <v>2</v>
      </c>
      <c r="G302" s="81">
        <v>2.73</v>
      </c>
      <c r="H302" s="81"/>
      <c r="I302" s="81"/>
      <c r="J302" s="53"/>
      <c r="K302" s="53"/>
      <c r="L302" s="53"/>
      <c r="M302" s="53"/>
      <c r="N302" s="54">
        <v>99</v>
      </c>
      <c r="O302" s="54">
        <v>99</v>
      </c>
      <c r="P302" s="54">
        <v>175</v>
      </c>
    </row>
    <row r="303" spans="1:16">
      <c r="A303" s="55" t="s">
        <v>54</v>
      </c>
      <c r="B303" s="55" t="s">
        <v>55</v>
      </c>
      <c r="C303" s="52">
        <v>2013</v>
      </c>
      <c r="D303" s="75"/>
      <c r="E303" s="75"/>
      <c r="F303" s="81">
        <v>2.58</v>
      </c>
      <c r="G303" s="81">
        <v>2.67</v>
      </c>
      <c r="H303" s="81"/>
      <c r="I303" s="81"/>
      <c r="J303" s="53"/>
      <c r="K303" s="53"/>
      <c r="L303" s="53"/>
      <c r="M303" s="53"/>
      <c r="N303" s="54">
        <v>99</v>
      </c>
      <c r="O303" s="54">
        <v>99</v>
      </c>
      <c r="P303" s="54">
        <v>175</v>
      </c>
    </row>
    <row r="304" spans="1:16">
      <c r="A304" s="38" t="s">
        <v>54</v>
      </c>
      <c r="B304" s="38" t="s">
        <v>55</v>
      </c>
      <c r="C304">
        <v>2015</v>
      </c>
      <c r="F304" s="85">
        <v>1.48</v>
      </c>
      <c r="G304" s="85">
        <v>2.63</v>
      </c>
      <c r="N304" s="35">
        <v>163</v>
      </c>
      <c r="O304" s="35">
        <v>181.5</v>
      </c>
      <c r="P304" s="35">
        <v>300</v>
      </c>
    </row>
    <row r="305" spans="1:16">
      <c r="A305" s="55" t="s">
        <v>56</v>
      </c>
      <c r="B305" s="55" t="s">
        <v>57</v>
      </c>
      <c r="C305" s="52">
        <v>2008</v>
      </c>
      <c r="D305" s="75"/>
      <c r="E305" s="75">
        <v>1.242</v>
      </c>
      <c r="F305" s="81">
        <v>1.92</v>
      </c>
      <c r="G305" s="81">
        <v>0.09</v>
      </c>
      <c r="H305" s="81">
        <v>1.1200000000000001</v>
      </c>
      <c r="I305" s="81">
        <v>4.080971659919029E-2</v>
      </c>
      <c r="J305" s="53">
        <v>15.18</v>
      </c>
      <c r="K305" s="53">
        <v>11.385</v>
      </c>
      <c r="L305" s="53"/>
      <c r="M305" s="53"/>
      <c r="N305" s="54">
        <v>63.5</v>
      </c>
      <c r="O305" s="54">
        <v>93.5</v>
      </c>
      <c r="P305" s="54">
        <v>175</v>
      </c>
    </row>
    <row r="306" spans="1:16">
      <c r="A306" s="55" t="s">
        <v>56</v>
      </c>
      <c r="B306" s="55" t="s">
        <v>57</v>
      </c>
      <c r="C306" s="52">
        <v>2009</v>
      </c>
      <c r="D306" s="75"/>
      <c r="E306" s="75">
        <v>7.5809999999999995</v>
      </c>
      <c r="F306" s="81">
        <v>2.0299999999999998</v>
      </c>
      <c r="G306" s="81">
        <v>0.56999999999999995</v>
      </c>
      <c r="H306" s="81">
        <v>1.1599999999999999</v>
      </c>
      <c r="I306" s="81">
        <v>0.17492063492063489</v>
      </c>
      <c r="J306" s="53">
        <v>17.510000000000002</v>
      </c>
      <c r="K306" s="53">
        <v>13.1325</v>
      </c>
      <c r="L306" s="53"/>
      <c r="M306" s="53"/>
      <c r="N306" s="54">
        <v>63.5</v>
      </c>
      <c r="O306" s="54">
        <v>93.5</v>
      </c>
      <c r="P306" s="54">
        <v>175</v>
      </c>
    </row>
    <row r="307" spans="1:16">
      <c r="A307" s="55" t="s">
        <v>56</v>
      </c>
      <c r="B307" s="55" t="s">
        <v>57</v>
      </c>
      <c r="C307" s="52">
        <v>2010</v>
      </c>
      <c r="D307" s="75"/>
      <c r="E307" s="75">
        <v>4.9779999999999998</v>
      </c>
      <c r="F307" s="81">
        <v>2.39</v>
      </c>
      <c r="G307" s="81">
        <v>0.38</v>
      </c>
      <c r="H307" s="81">
        <v>1.1599999999999999</v>
      </c>
      <c r="I307" s="81">
        <v>0.12312849162011172</v>
      </c>
      <c r="J307" s="53">
        <v>20.5</v>
      </c>
      <c r="K307" s="53">
        <v>15.375</v>
      </c>
      <c r="L307" s="53"/>
      <c r="M307" s="53"/>
      <c r="N307" s="54">
        <v>63.5</v>
      </c>
      <c r="O307" s="54">
        <v>93.5</v>
      </c>
      <c r="P307" s="54">
        <v>175</v>
      </c>
    </row>
    <row r="308" spans="1:16">
      <c r="A308" s="55" t="s">
        <v>56</v>
      </c>
      <c r="B308" s="55" t="s">
        <v>57</v>
      </c>
      <c r="C308" s="52">
        <v>2011</v>
      </c>
      <c r="D308" s="75"/>
      <c r="E308" s="75">
        <v>18.138999999999999</v>
      </c>
      <c r="F308" s="81">
        <v>1.99</v>
      </c>
      <c r="G308" s="81">
        <v>0.97</v>
      </c>
      <c r="H308" s="81">
        <v>1.1599999999999999</v>
      </c>
      <c r="I308" s="81">
        <v>0.28342569269521412</v>
      </c>
      <c r="J308" s="53">
        <v>19.920000000000002</v>
      </c>
      <c r="K308" s="53">
        <v>14.940000000000001</v>
      </c>
      <c r="L308" s="53"/>
      <c r="M308" s="53"/>
      <c r="N308" s="54">
        <v>63.5</v>
      </c>
      <c r="O308" s="54">
        <v>93.5</v>
      </c>
      <c r="P308" s="54">
        <v>175</v>
      </c>
    </row>
    <row r="309" spans="1:16">
      <c r="A309" s="55" t="s">
        <v>56</v>
      </c>
      <c r="B309" s="55" t="s">
        <v>57</v>
      </c>
      <c r="C309" s="52">
        <v>2012</v>
      </c>
      <c r="D309" s="75"/>
      <c r="E309" s="75">
        <v>12.9</v>
      </c>
      <c r="F309" s="81">
        <v>1.69</v>
      </c>
      <c r="G309" s="81">
        <v>0.86</v>
      </c>
      <c r="H309" s="81">
        <v>1</v>
      </c>
      <c r="I309" s="81">
        <v>0.35734072022160668</v>
      </c>
      <c r="J309" s="53"/>
      <c r="K309" s="53"/>
      <c r="L309" s="53"/>
      <c r="M309" s="53"/>
      <c r="N309" s="54">
        <v>63.5</v>
      </c>
      <c r="O309" s="54">
        <v>93.5</v>
      </c>
      <c r="P309" s="54">
        <v>175</v>
      </c>
    </row>
    <row r="310" spans="1:16">
      <c r="A310" s="55" t="s">
        <v>56</v>
      </c>
      <c r="B310" s="55" t="s">
        <v>57</v>
      </c>
      <c r="C310" s="52">
        <v>2013</v>
      </c>
      <c r="D310" s="75"/>
      <c r="E310" s="75"/>
      <c r="F310" s="81">
        <v>2.19</v>
      </c>
      <c r="G310" s="81">
        <v>1.54</v>
      </c>
      <c r="H310" s="81"/>
      <c r="I310" s="81"/>
      <c r="J310" s="53"/>
      <c r="K310" s="53"/>
      <c r="L310" s="53"/>
      <c r="M310" s="53"/>
      <c r="N310" s="54">
        <v>63.5</v>
      </c>
      <c r="O310" s="54">
        <v>93.5</v>
      </c>
      <c r="P310" s="54">
        <v>175</v>
      </c>
    </row>
    <row r="311" spans="1:16">
      <c r="A311" s="38" t="s">
        <v>56</v>
      </c>
      <c r="B311" s="38" t="s">
        <v>57</v>
      </c>
      <c r="C311">
        <v>2014</v>
      </c>
      <c r="F311" s="85">
        <v>1.28</v>
      </c>
      <c r="G311" s="85">
        <v>1.75</v>
      </c>
      <c r="N311" s="35">
        <v>132.5</v>
      </c>
      <c r="O311" s="35">
        <v>131.5</v>
      </c>
      <c r="P311" s="35">
        <v>300</v>
      </c>
    </row>
    <row r="312" spans="1:16">
      <c r="A312" s="38" t="s">
        <v>56</v>
      </c>
      <c r="B312" s="38" t="s">
        <v>57</v>
      </c>
      <c r="C312">
        <v>2015</v>
      </c>
      <c r="F312" s="85">
        <v>4.4400000000000004</v>
      </c>
      <c r="G312" s="85">
        <v>1.75</v>
      </c>
      <c r="N312" s="35">
        <v>132.5</v>
      </c>
      <c r="O312" s="35">
        <v>131.5</v>
      </c>
      <c r="P312" s="35">
        <v>300</v>
      </c>
    </row>
    <row r="313" spans="1:16">
      <c r="A313" s="55" t="s">
        <v>58</v>
      </c>
      <c r="B313" s="55" t="s">
        <v>59</v>
      </c>
      <c r="C313" s="52">
        <v>2006</v>
      </c>
      <c r="D313" s="75"/>
      <c r="E313" s="75"/>
      <c r="F313" s="81">
        <v>1.25</v>
      </c>
      <c r="G313" s="81">
        <v>1.3</v>
      </c>
      <c r="H313" s="81"/>
      <c r="I313" s="81"/>
      <c r="J313" s="53"/>
      <c r="K313" s="53"/>
      <c r="L313" s="53"/>
      <c r="M313" s="53"/>
      <c r="N313" s="54">
        <v>182.5</v>
      </c>
      <c r="O313" s="54">
        <v>172.5</v>
      </c>
      <c r="P313" s="54">
        <v>300</v>
      </c>
    </row>
    <row r="314" spans="1:16">
      <c r="A314" s="55" t="s">
        <v>58</v>
      </c>
      <c r="B314" s="55" t="s">
        <v>59</v>
      </c>
      <c r="C314" s="52">
        <v>2007</v>
      </c>
      <c r="D314" s="75"/>
      <c r="E314" s="75"/>
      <c r="F314" s="81">
        <v>1.79</v>
      </c>
      <c r="G314" s="81">
        <v>1.98</v>
      </c>
      <c r="H314" s="81"/>
      <c r="I314" s="81"/>
      <c r="J314" s="53"/>
      <c r="K314" s="53"/>
      <c r="L314" s="53"/>
      <c r="M314" s="53"/>
      <c r="N314" s="54">
        <v>182.5</v>
      </c>
      <c r="O314" s="54">
        <v>172.5</v>
      </c>
      <c r="P314" s="54">
        <v>300</v>
      </c>
    </row>
    <row r="315" spans="1:16">
      <c r="A315" s="55" t="s">
        <v>58</v>
      </c>
      <c r="B315" s="55" t="s">
        <v>59</v>
      </c>
      <c r="C315" s="52">
        <v>2008</v>
      </c>
      <c r="D315" s="75"/>
      <c r="E315" s="75"/>
      <c r="F315" s="81">
        <v>3.62</v>
      </c>
      <c r="G315" s="81">
        <v>3.64</v>
      </c>
      <c r="H315" s="81"/>
      <c r="I315" s="81"/>
      <c r="J315" s="53"/>
      <c r="K315" s="53"/>
      <c r="L315" s="53"/>
      <c r="M315" s="53"/>
      <c r="N315" s="54">
        <v>182.5</v>
      </c>
      <c r="O315" s="54">
        <v>172.5</v>
      </c>
      <c r="P315" s="54">
        <v>300</v>
      </c>
    </row>
    <row r="316" spans="1:16">
      <c r="A316" s="55" t="s">
        <v>58</v>
      </c>
      <c r="B316" s="55" t="s">
        <v>59</v>
      </c>
      <c r="C316" s="52">
        <v>2009</v>
      </c>
      <c r="D316" s="75"/>
      <c r="E316" s="75"/>
      <c r="F316" s="81">
        <v>3.8</v>
      </c>
      <c r="G316" s="81">
        <v>4.41</v>
      </c>
      <c r="H316" s="81"/>
      <c r="I316" s="81"/>
      <c r="J316" s="53"/>
      <c r="K316" s="53"/>
      <c r="L316" s="53"/>
      <c r="M316" s="53"/>
      <c r="N316" s="54">
        <v>182.5</v>
      </c>
      <c r="O316" s="54">
        <v>172.5</v>
      </c>
      <c r="P316" s="54">
        <v>300</v>
      </c>
    </row>
    <row r="317" spans="1:16">
      <c r="A317" s="55" t="s">
        <v>58</v>
      </c>
      <c r="B317" s="55" t="s">
        <v>59</v>
      </c>
      <c r="C317" s="52">
        <v>2010</v>
      </c>
      <c r="D317" s="75"/>
      <c r="E317" s="75"/>
      <c r="F317" s="81">
        <v>2.0099999999999998</v>
      </c>
      <c r="G317" s="81">
        <v>2.41</v>
      </c>
      <c r="H317" s="81"/>
      <c r="I317" s="81"/>
      <c r="J317" s="53"/>
      <c r="K317" s="53"/>
      <c r="L317" s="53"/>
      <c r="M317" s="53"/>
      <c r="N317" s="54">
        <v>182.5</v>
      </c>
      <c r="O317" s="54">
        <v>172.5</v>
      </c>
      <c r="P317" s="54">
        <v>300</v>
      </c>
    </row>
    <row r="318" spans="1:16">
      <c r="A318" s="55" t="s">
        <v>58</v>
      </c>
      <c r="B318" s="55" t="s">
        <v>59</v>
      </c>
      <c r="C318" s="52">
        <v>2012</v>
      </c>
      <c r="D318" s="75"/>
      <c r="E318" s="75"/>
      <c r="F318" s="81">
        <v>3.79</v>
      </c>
      <c r="G318" s="81">
        <v>3.7</v>
      </c>
      <c r="H318" s="81"/>
      <c r="I318" s="81"/>
      <c r="J318" s="53"/>
      <c r="K318" s="53"/>
      <c r="L318" s="53"/>
      <c r="M318" s="53"/>
      <c r="N318" s="54">
        <v>182.5</v>
      </c>
      <c r="O318" s="54">
        <v>172.5</v>
      </c>
      <c r="P318" s="54">
        <v>300</v>
      </c>
    </row>
    <row r="319" spans="1:16">
      <c r="A319" s="55" t="s">
        <v>58</v>
      </c>
      <c r="B319" s="55" t="s">
        <v>59</v>
      </c>
      <c r="C319" s="52">
        <v>2013</v>
      </c>
      <c r="D319" s="75"/>
      <c r="E319" s="75"/>
      <c r="F319" s="81">
        <v>4.5999999999999996</v>
      </c>
      <c r="G319" s="81">
        <v>4.5599999999999996</v>
      </c>
      <c r="H319" s="81"/>
      <c r="I319" s="81"/>
      <c r="J319" s="53"/>
      <c r="K319" s="53"/>
      <c r="L319" s="53"/>
      <c r="M319" s="53"/>
      <c r="N319" s="54">
        <v>182.5</v>
      </c>
      <c r="O319" s="54">
        <v>172.5</v>
      </c>
      <c r="P319" s="54">
        <v>300</v>
      </c>
    </row>
    <row r="320" spans="1:16">
      <c r="A320" s="55" t="s">
        <v>58</v>
      </c>
      <c r="B320" s="55" t="s">
        <v>59</v>
      </c>
      <c r="C320" s="52">
        <v>2014</v>
      </c>
      <c r="D320" s="75"/>
      <c r="E320" s="75"/>
      <c r="F320" s="81">
        <v>5.22</v>
      </c>
      <c r="G320" s="81">
        <v>5.23</v>
      </c>
      <c r="H320" s="81"/>
      <c r="I320" s="81"/>
      <c r="J320" s="53"/>
      <c r="K320" s="53"/>
      <c r="L320" s="53"/>
      <c r="M320" s="53"/>
      <c r="N320" s="54">
        <v>182.5</v>
      </c>
      <c r="O320" s="54">
        <v>172.5</v>
      </c>
      <c r="P320" s="54">
        <v>300</v>
      </c>
    </row>
    <row r="321" spans="1:16">
      <c r="A321" s="55" t="s">
        <v>58</v>
      </c>
      <c r="B321" s="55" t="s">
        <v>59</v>
      </c>
      <c r="C321" s="52">
        <v>2015</v>
      </c>
      <c r="D321" s="75"/>
      <c r="E321" s="75"/>
      <c r="F321" s="81">
        <v>4.8099999999999996</v>
      </c>
      <c r="G321" s="81">
        <v>5.73</v>
      </c>
      <c r="H321" s="81"/>
      <c r="I321" s="81"/>
      <c r="J321" s="53"/>
      <c r="K321" s="53"/>
      <c r="L321" s="53"/>
      <c r="M321" s="53"/>
      <c r="N321" s="54">
        <v>182.5</v>
      </c>
      <c r="O321" s="54">
        <v>172.5</v>
      </c>
      <c r="P321" s="54">
        <v>300</v>
      </c>
    </row>
    <row r="322" spans="1:16">
      <c r="A322" s="38" t="s">
        <v>258</v>
      </c>
      <c r="B322" s="38" t="s">
        <v>264</v>
      </c>
      <c r="C322">
        <v>2006</v>
      </c>
      <c r="F322" s="85">
        <v>2.58</v>
      </c>
      <c r="G322" s="85">
        <v>2.25</v>
      </c>
      <c r="N322" s="35">
        <v>155</v>
      </c>
      <c r="O322" s="35">
        <v>162.5</v>
      </c>
      <c r="P322" s="35">
        <v>300</v>
      </c>
    </row>
    <row r="323" spans="1:16">
      <c r="A323" s="38" t="s">
        <v>258</v>
      </c>
      <c r="B323" s="38" t="s">
        <v>264</v>
      </c>
      <c r="C323">
        <v>2007</v>
      </c>
      <c r="F323" s="85">
        <v>2.58</v>
      </c>
      <c r="G323" s="85">
        <v>2.5</v>
      </c>
      <c r="N323" s="35">
        <v>155</v>
      </c>
      <c r="O323" s="35">
        <v>162.5</v>
      </c>
      <c r="P323" s="35">
        <v>300</v>
      </c>
    </row>
    <row r="324" spans="1:16">
      <c r="A324" s="38" t="s">
        <v>258</v>
      </c>
      <c r="B324" s="38" t="s">
        <v>264</v>
      </c>
      <c r="C324">
        <v>2008</v>
      </c>
      <c r="F324" s="85">
        <v>1.87</v>
      </c>
      <c r="G324" s="85">
        <v>1.82</v>
      </c>
      <c r="N324" s="35">
        <v>155</v>
      </c>
      <c r="O324" s="35">
        <v>162.5</v>
      </c>
      <c r="P324" s="35">
        <v>300</v>
      </c>
    </row>
    <row r="325" spans="1:16">
      <c r="A325" s="38" t="s">
        <v>258</v>
      </c>
      <c r="B325" s="38" t="s">
        <v>264</v>
      </c>
      <c r="C325">
        <v>2009</v>
      </c>
      <c r="F325" s="85">
        <v>1.69</v>
      </c>
      <c r="G325" s="85">
        <v>1.7</v>
      </c>
      <c r="N325" s="35">
        <v>155</v>
      </c>
      <c r="O325" s="35">
        <v>162.5</v>
      </c>
      <c r="P325" s="35">
        <v>300</v>
      </c>
    </row>
    <row r="326" spans="1:16">
      <c r="A326" s="38" t="s">
        <v>258</v>
      </c>
      <c r="B326" s="38" t="s">
        <v>264</v>
      </c>
      <c r="C326">
        <v>2010</v>
      </c>
      <c r="F326" s="85">
        <v>2.15</v>
      </c>
      <c r="G326" s="85">
        <v>2.13</v>
      </c>
      <c r="N326" s="35">
        <v>155</v>
      </c>
      <c r="O326" s="35">
        <v>162.5</v>
      </c>
      <c r="P326" s="35">
        <v>300</v>
      </c>
    </row>
    <row r="327" spans="1:16">
      <c r="A327" s="38" t="s">
        <v>258</v>
      </c>
      <c r="B327" s="38" t="s">
        <v>264</v>
      </c>
      <c r="C327">
        <v>2011</v>
      </c>
      <c r="F327" s="85">
        <v>2.4900000000000002</v>
      </c>
      <c r="G327" s="85">
        <v>2.46</v>
      </c>
      <c r="N327" s="35">
        <v>155</v>
      </c>
      <c r="O327" s="35">
        <v>162.5</v>
      </c>
      <c r="P327" s="35">
        <v>300</v>
      </c>
    </row>
    <row r="328" spans="1:16">
      <c r="A328" s="38" t="s">
        <v>258</v>
      </c>
      <c r="B328" s="38" t="s">
        <v>264</v>
      </c>
      <c r="C328">
        <v>2012</v>
      </c>
      <c r="F328" s="85">
        <v>3.05</v>
      </c>
      <c r="G328" s="85">
        <v>2.99</v>
      </c>
      <c r="N328" s="35">
        <v>155</v>
      </c>
      <c r="O328" s="35">
        <v>162.5</v>
      </c>
      <c r="P328" s="35">
        <v>300</v>
      </c>
    </row>
    <row r="329" spans="1:16">
      <c r="A329" s="38" t="s">
        <v>258</v>
      </c>
      <c r="B329" s="38" t="s">
        <v>264</v>
      </c>
      <c r="C329">
        <v>2013</v>
      </c>
      <c r="F329" s="85">
        <v>3.6</v>
      </c>
      <c r="G329" s="85">
        <v>3.65</v>
      </c>
      <c r="N329" s="35">
        <v>155</v>
      </c>
      <c r="O329" s="35">
        <v>162.5</v>
      </c>
      <c r="P329" s="35">
        <v>300</v>
      </c>
    </row>
    <row r="330" spans="1:16">
      <c r="A330" s="38" t="s">
        <v>258</v>
      </c>
      <c r="B330" s="38" t="s">
        <v>264</v>
      </c>
      <c r="C330">
        <v>2014</v>
      </c>
      <c r="F330" s="85">
        <v>4.6100000000000003</v>
      </c>
      <c r="G330" s="85">
        <v>4.21</v>
      </c>
      <c r="N330" s="35">
        <v>155</v>
      </c>
      <c r="O330" s="35">
        <v>162.5</v>
      </c>
      <c r="P330" s="35">
        <v>300</v>
      </c>
    </row>
    <row r="331" spans="1:16">
      <c r="A331" s="38" t="s">
        <v>258</v>
      </c>
      <c r="B331" s="38" t="s">
        <v>264</v>
      </c>
      <c r="C331">
        <v>2015</v>
      </c>
      <c r="F331" s="85">
        <v>4.63</v>
      </c>
      <c r="G331" s="85">
        <v>4.5999999999999996</v>
      </c>
      <c r="N331" s="35">
        <v>140</v>
      </c>
      <c r="O331" s="35">
        <v>140</v>
      </c>
      <c r="P331" s="35">
        <v>300</v>
      </c>
    </row>
    <row r="332" spans="1:16">
      <c r="A332" s="38" t="s">
        <v>62</v>
      </c>
      <c r="B332" s="38" t="s">
        <v>63</v>
      </c>
      <c r="C332">
        <v>2006</v>
      </c>
      <c r="F332" s="85">
        <v>3.34</v>
      </c>
      <c r="G332" s="85">
        <v>3</v>
      </c>
      <c r="N332" s="35">
        <v>136.5</v>
      </c>
      <c r="O332" s="35">
        <v>143</v>
      </c>
      <c r="P332" s="35">
        <v>300</v>
      </c>
    </row>
    <row r="333" spans="1:16">
      <c r="A333" s="38" t="s">
        <v>62</v>
      </c>
      <c r="B333" s="38" t="s">
        <v>63</v>
      </c>
      <c r="C333">
        <v>2007</v>
      </c>
      <c r="F333" s="85">
        <v>3.41</v>
      </c>
      <c r="G333" s="85">
        <v>3.38</v>
      </c>
      <c r="N333" s="35">
        <v>136.5</v>
      </c>
      <c r="O333" s="35">
        <v>143</v>
      </c>
      <c r="P333" s="35">
        <v>300</v>
      </c>
    </row>
    <row r="334" spans="1:16">
      <c r="A334" s="38" t="s">
        <v>62</v>
      </c>
      <c r="B334" s="38" t="s">
        <v>63</v>
      </c>
      <c r="C334">
        <v>2008</v>
      </c>
      <c r="F334" s="85">
        <v>3.21</v>
      </c>
      <c r="G334" s="85">
        <v>3.68</v>
      </c>
      <c r="N334" s="35">
        <v>136.5</v>
      </c>
      <c r="O334" s="35">
        <v>143</v>
      </c>
      <c r="P334" s="35">
        <v>300</v>
      </c>
    </row>
    <row r="335" spans="1:16">
      <c r="A335" s="38" t="s">
        <v>62</v>
      </c>
      <c r="B335" s="38" t="s">
        <v>63</v>
      </c>
      <c r="C335">
        <v>2009</v>
      </c>
      <c r="F335" s="85">
        <v>3.77</v>
      </c>
      <c r="G335" s="85">
        <v>3.71</v>
      </c>
      <c r="N335" s="35">
        <v>136.5</v>
      </c>
      <c r="O335" s="35">
        <v>143</v>
      </c>
      <c r="P335" s="35">
        <v>300</v>
      </c>
    </row>
    <row r="336" spans="1:16">
      <c r="A336" s="38" t="s">
        <v>62</v>
      </c>
      <c r="B336" s="38" t="s">
        <v>63</v>
      </c>
      <c r="C336">
        <v>2010</v>
      </c>
      <c r="F336" s="85">
        <v>3.91</v>
      </c>
      <c r="G336" s="85">
        <v>4.13</v>
      </c>
      <c r="N336" s="35">
        <v>136.5</v>
      </c>
      <c r="O336" s="35">
        <v>143</v>
      </c>
      <c r="P336" s="35">
        <v>300</v>
      </c>
    </row>
    <row r="337" spans="1:16">
      <c r="A337" s="38" t="s">
        <v>62</v>
      </c>
      <c r="B337" s="38" t="s">
        <v>63</v>
      </c>
      <c r="C337">
        <v>2011</v>
      </c>
      <c r="F337" s="85">
        <v>4.03</v>
      </c>
      <c r="G337" s="85">
        <v>4.4000000000000004</v>
      </c>
      <c r="N337" s="35">
        <v>136.5</v>
      </c>
      <c r="O337" s="35">
        <v>143</v>
      </c>
      <c r="P337" s="35">
        <v>300</v>
      </c>
    </row>
    <row r="338" spans="1:16">
      <c r="A338" s="38" t="s">
        <v>62</v>
      </c>
      <c r="B338" s="38" t="s">
        <v>63</v>
      </c>
      <c r="C338">
        <v>2012</v>
      </c>
      <c r="F338" s="85">
        <v>3.92</v>
      </c>
      <c r="G338" s="85">
        <v>4.0999999999999996</v>
      </c>
      <c r="N338" s="35">
        <v>136.5</v>
      </c>
      <c r="O338" s="35">
        <v>143</v>
      </c>
      <c r="P338" s="35">
        <v>300</v>
      </c>
    </row>
    <row r="339" spans="1:16">
      <c r="A339" s="38" t="s">
        <v>62</v>
      </c>
      <c r="B339" s="38" t="s">
        <v>63</v>
      </c>
      <c r="C339">
        <v>2013</v>
      </c>
      <c r="F339" s="85">
        <v>4.32</v>
      </c>
      <c r="G339" s="85">
        <v>4.37</v>
      </c>
      <c r="N339" s="35">
        <v>136.5</v>
      </c>
      <c r="O339" s="35">
        <v>143</v>
      </c>
      <c r="P339" s="35">
        <v>300</v>
      </c>
    </row>
    <row r="340" spans="1:16">
      <c r="A340" s="38" t="s">
        <v>62</v>
      </c>
      <c r="B340" s="38" t="s">
        <v>63</v>
      </c>
      <c r="C340">
        <v>2014</v>
      </c>
      <c r="F340" s="85">
        <v>4.2699999999999996</v>
      </c>
      <c r="G340" s="85">
        <v>4.63</v>
      </c>
      <c r="N340" s="35">
        <v>136.5</v>
      </c>
      <c r="O340" s="35">
        <v>143</v>
      </c>
      <c r="P340" s="35">
        <v>300</v>
      </c>
    </row>
    <row r="341" spans="1:16">
      <c r="A341" s="38" t="s">
        <v>62</v>
      </c>
      <c r="B341" s="38" t="s">
        <v>63</v>
      </c>
      <c r="C341">
        <v>2015</v>
      </c>
      <c r="F341" s="85">
        <v>3.67</v>
      </c>
      <c r="G341" s="85">
        <v>4.57</v>
      </c>
      <c r="N341" s="35">
        <v>136.5</v>
      </c>
      <c r="O341" s="35">
        <v>143</v>
      </c>
      <c r="P341" s="35">
        <v>300</v>
      </c>
    </row>
    <row r="342" spans="1:16">
      <c r="A342" s="52" t="s">
        <v>64</v>
      </c>
      <c r="B342" s="52" t="s">
        <v>65</v>
      </c>
      <c r="C342" s="52">
        <v>2005</v>
      </c>
      <c r="D342" s="75"/>
      <c r="E342" s="75"/>
      <c r="F342" s="81"/>
      <c r="G342" s="81"/>
      <c r="H342" s="81"/>
      <c r="I342" s="81"/>
      <c r="J342" s="53">
        <v>8.92</v>
      </c>
      <c r="K342" s="53"/>
      <c r="L342" s="53">
        <v>7361</v>
      </c>
      <c r="M342" s="53"/>
      <c r="N342" s="54">
        <v>99</v>
      </c>
      <c r="O342" s="54">
        <v>104</v>
      </c>
      <c r="P342" s="54">
        <v>250</v>
      </c>
    </row>
    <row r="343" spans="1:16">
      <c r="A343" s="52" t="s">
        <v>64</v>
      </c>
      <c r="B343" s="52" t="s">
        <v>65</v>
      </c>
      <c r="C343" s="52">
        <v>2006</v>
      </c>
      <c r="D343" s="75"/>
      <c r="E343" s="75"/>
      <c r="F343" s="81">
        <v>2.66</v>
      </c>
      <c r="G343" s="81">
        <v>1.52</v>
      </c>
      <c r="H343" s="81"/>
      <c r="I343" s="81"/>
      <c r="J343" s="53">
        <v>10.02</v>
      </c>
      <c r="K343" s="53"/>
      <c r="L343" s="53">
        <v>7124</v>
      </c>
      <c r="M343" s="53"/>
      <c r="N343" s="54">
        <v>99</v>
      </c>
      <c r="O343" s="54">
        <v>104</v>
      </c>
      <c r="P343" s="54">
        <v>250</v>
      </c>
    </row>
    <row r="344" spans="1:16">
      <c r="A344" s="52" t="s">
        <v>64</v>
      </c>
      <c r="B344" s="52" t="s">
        <v>65</v>
      </c>
      <c r="C344" s="52">
        <v>2007</v>
      </c>
      <c r="D344" s="75"/>
      <c r="E344" s="75"/>
      <c r="F344" s="81"/>
      <c r="G344" s="81"/>
      <c r="H344" s="81"/>
      <c r="I344" s="81"/>
      <c r="J344" s="53">
        <v>9.6199999999999992</v>
      </c>
      <c r="K344" s="53"/>
      <c r="L344" s="53">
        <v>6761</v>
      </c>
      <c r="M344" s="53"/>
      <c r="N344" s="54">
        <v>99</v>
      </c>
      <c r="O344" s="54">
        <v>104</v>
      </c>
      <c r="P344" s="54">
        <v>250</v>
      </c>
    </row>
    <row r="345" spans="1:16">
      <c r="A345" s="52" t="s">
        <v>64</v>
      </c>
      <c r="B345" s="52" t="s">
        <v>65</v>
      </c>
      <c r="C345" s="52">
        <v>2008</v>
      </c>
      <c r="D345" s="75"/>
      <c r="E345" s="75"/>
      <c r="F345" s="81"/>
      <c r="G345" s="81"/>
      <c r="H345" s="81"/>
      <c r="I345" s="81"/>
      <c r="J345" s="53">
        <v>8.5299999999999994</v>
      </c>
      <c r="K345" s="53"/>
      <c r="L345" s="53">
        <v>6746</v>
      </c>
      <c r="M345" s="53"/>
      <c r="N345" s="54">
        <v>99</v>
      </c>
      <c r="O345" s="54">
        <v>104</v>
      </c>
      <c r="P345" s="54">
        <v>250</v>
      </c>
    </row>
    <row r="346" spans="1:16">
      <c r="A346" t="s">
        <v>64</v>
      </c>
      <c r="B346" t="s">
        <v>65</v>
      </c>
      <c r="C346">
        <v>2013</v>
      </c>
      <c r="F346" s="85">
        <v>3.19</v>
      </c>
      <c r="G346" s="85">
        <v>1.65</v>
      </c>
      <c r="N346" s="35">
        <v>26</v>
      </c>
      <c r="O346" s="35">
        <v>35.5</v>
      </c>
      <c r="P346" s="35">
        <v>100</v>
      </c>
    </row>
    <row r="347" spans="1:16">
      <c r="A347" s="38" t="s">
        <v>66</v>
      </c>
      <c r="B347" s="38" t="s">
        <v>67</v>
      </c>
      <c r="C347">
        <v>2006</v>
      </c>
      <c r="G347" s="85">
        <v>2.91</v>
      </c>
      <c r="N347" s="35">
        <v>116</v>
      </c>
      <c r="O347" s="35">
        <v>114</v>
      </c>
      <c r="P347" s="35">
        <v>300</v>
      </c>
    </row>
    <row r="348" spans="1:16">
      <c r="A348" s="38" t="s">
        <v>66</v>
      </c>
      <c r="B348" s="38" t="s">
        <v>67</v>
      </c>
      <c r="C348">
        <v>2007</v>
      </c>
      <c r="F348" s="85">
        <v>2.86</v>
      </c>
      <c r="G348" s="85">
        <v>2.8</v>
      </c>
      <c r="N348" s="35">
        <v>116</v>
      </c>
      <c r="O348" s="35">
        <v>114</v>
      </c>
      <c r="P348" s="35">
        <v>300</v>
      </c>
    </row>
    <row r="349" spans="1:16">
      <c r="A349" s="38" t="s">
        <v>66</v>
      </c>
      <c r="B349" s="38" t="s">
        <v>67</v>
      </c>
      <c r="C349">
        <v>2009</v>
      </c>
      <c r="F349" s="85">
        <v>3.24</v>
      </c>
      <c r="G349" s="85">
        <v>3.29</v>
      </c>
      <c r="N349" s="35">
        <v>116</v>
      </c>
      <c r="O349" s="35">
        <v>114</v>
      </c>
      <c r="P349" s="35">
        <v>300</v>
      </c>
    </row>
    <row r="350" spans="1:16">
      <c r="A350" s="38" t="s">
        <v>66</v>
      </c>
      <c r="B350" s="38" t="s">
        <v>67</v>
      </c>
      <c r="C350">
        <v>2010</v>
      </c>
      <c r="F350" s="85">
        <v>3.91</v>
      </c>
      <c r="G350" s="85">
        <v>3.87</v>
      </c>
      <c r="N350" s="35">
        <v>116</v>
      </c>
      <c r="O350" s="35">
        <v>114</v>
      </c>
      <c r="P350" s="35">
        <v>300</v>
      </c>
    </row>
    <row r="351" spans="1:16">
      <c r="A351" s="38" t="s">
        <v>66</v>
      </c>
      <c r="B351" s="38" t="s">
        <v>67</v>
      </c>
      <c r="C351">
        <v>2011</v>
      </c>
      <c r="F351" s="85">
        <v>4.8499999999999996</v>
      </c>
      <c r="G351" s="85">
        <v>4.88</v>
      </c>
      <c r="N351" s="35">
        <v>116</v>
      </c>
      <c r="O351" s="35">
        <v>114</v>
      </c>
      <c r="P351" s="35">
        <v>300</v>
      </c>
    </row>
    <row r="352" spans="1:16">
      <c r="A352" s="38" t="s">
        <v>66</v>
      </c>
      <c r="B352" s="38" t="s">
        <v>67</v>
      </c>
      <c r="C352">
        <v>2012</v>
      </c>
      <c r="F352" s="85">
        <v>5.17</v>
      </c>
      <c r="G352" s="85">
        <v>5.22</v>
      </c>
      <c r="N352" s="35">
        <v>116</v>
      </c>
      <c r="O352" s="35">
        <v>114</v>
      </c>
      <c r="P352" s="35">
        <v>300</v>
      </c>
    </row>
    <row r="353" spans="1:16">
      <c r="A353" s="38" t="s">
        <v>66</v>
      </c>
      <c r="B353" s="38" t="s">
        <v>67</v>
      </c>
      <c r="C353">
        <v>2013</v>
      </c>
      <c r="F353" s="85">
        <v>5.26</v>
      </c>
      <c r="G353" s="85">
        <v>5.4</v>
      </c>
      <c r="N353" s="35">
        <v>116</v>
      </c>
      <c r="O353" s="35">
        <v>114</v>
      </c>
      <c r="P353" s="35">
        <v>300</v>
      </c>
    </row>
    <row r="354" spans="1:16">
      <c r="A354" s="38" t="s">
        <v>66</v>
      </c>
      <c r="B354" s="38" t="s">
        <v>67</v>
      </c>
      <c r="C354">
        <v>2014</v>
      </c>
      <c r="F354" s="85">
        <v>4.76</v>
      </c>
      <c r="G354" s="85">
        <v>5.0199999999999996</v>
      </c>
      <c r="N354" s="35">
        <v>116</v>
      </c>
      <c r="O354" s="35">
        <v>114</v>
      </c>
      <c r="P354" s="35">
        <v>300</v>
      </c>
    </row>
    <row r="355" spans="1:16">
      <c r="A355" s="52" t="s">
        <v>68</v>
      </c>
      <c r="B355" s="52" t="s">
        <v>69</v>
      </c>
      <c r="C355" s="52">
        <v>2005</v>
      </c>
      <c r="D355" s="75"/>
      <c r="E355" s="75"/>
      <c r="F355" s="81"/>
      <c r="G355" s="81"/>
      <c r="H355" s="81"/>
      <c r="I355" s="81"/>
      <c r="J355" s="53">
        <v>7.07</v>
      </c>
      <c r="K355" s="53"/>
      <c r="L355" s="53">
        <v>2473</v>
      </c>
      <c r="M355" s="53"/>
      <c r="N355" s="54">
        <v>139</v>
      </c>
      <c r="O355" s="54">
        <v>134</v>
      </c>
      <c r="P355" s="54">
        <v>250</v>
      </c>
    </row>
    <row r="356" spans="1:16">
      <c r="A356" s="52" t="s">
        <v>68</v>
      </c>
      <c r="B356" s="52" t="s">
        <v>69</v>
      </c>
      <c r="C356" s="52">
        <v>2008</v>
      </c>
      <c r="D356" s="75"/>
      <c r="E356" s="75"/>
      <c r="F356" s="81">
        <v>3.64</v>
      </c>
      <c r="G356" s="81">
        <v>3.41</v>
      </c>
      <c r="H356" s="81"/>
      <c r="I356" s="81"/>
      <c r="J356" s="53"/>
      <c r="K356" s="53"/>
      <c r="L356" s="53"/>
      <c r="M356" s="53"/>
      <c r="N356" s="35">
        <v>161.5</v>
      </c>
      <c r="O356" s="54">
        <v>138.5</v>
      </c>
      <c r="P356" s="35">
        <v>300</v>
      </c>
    </row>
    <row r="357" spans="1:16">
      <c r="A357" s="52" t="s">
        <v>68</v>
      </c>
      <c r="B357" s="52" t="s">
        <v>69</v>
      </c>
      <c r="C357" s="52">
        <v>2009</v>
      </c>
      <c r="D357" s="75"/>
      <c r="E357" s="75"/>
      <c r="F357" s="81">
        <v>4.26</v>
      </c>
      <c r="G357" s="81">
        <v>3.47</v>
      </c>
      <c r="H357" s="81"/>
      <c r="I357" s="81"/>
      <c r="J357" s="53"/>
      <c r="K357" s="53"/>
      <c r="L357" s="53"/>
      <c r="M357" s="53"/>
      <c r="N357" s="35">
        <v>161.5</v>
      </c>
      <c r="O357" s="54">
        <v>138.5</v>
      </c>
      <c r="P357" s="35">
        <v>300</v>
      </c>
    </row>
    <row r="358" spans="1:16">
      <c r="A358" s="52" t="s">
        <v>68</v>
      </c>
      <c r="B358" s="52" t="s">
        <v>69</v>
      </c>
      <c r="C358" s="52">
        <v>2010</v>
      </c>
      <c r="D358" s="75"/>
      <c r="E358" s="75"/>
      <c r="F358" s="81">
        <v>4.1100000000000003</v>
      </c>
      <c r="G358" s="81">
        <v>3.67</v>
      </c>
      <c r="H358" s="81"/>
      <c r="I358" s="81"/>
      <c r="J358" s="53"/>
      <c r="K358" s="53"/>
      <c r="L358" s="53"/>
      <c r="M358" s="53"/>
      <c r="N358" s="35">
        <v>161.5</v>
      </c>
      <c r="O358" s="54">
        <v>138.5</v>
      </c>
      <c r="P358" s="35">
        <v>300</v>
      </c>
    </row>
    <row r="359" spans="1:16">
      <c r="A359" s="52" t="s">
        <v>68</v>
      </c>
      <c r="B359" s="52" t="s">
        <v>69</v>
      </c>
      <c r="C359" s="52">
        <v>2011</v>
      </c>
      <c r="D359" s="75"/>
      <c r="E359" s="75"/>
      <c r="F359" s="81">
        <v>3.93</v>
      </c>
      <c r="G359" s="81">
        <v>3.87</v>
      </c>
      <c r="H359" s="81"/>
      <c r="I359" s="81"/>
      <c r="J359" s="53"/>
      <c r="K359" s="53"/>
      <c r="L359" s="53"/>
      <c r="M359" s="53"/>
      <c r="N359" s="35">
        <v>161.5</v>
      </c>
      <c r="O359" s="54">
        <v>138.5</v>
      </c>
      <c r="P359" s="35">
        <v>300</v>
      </c>
    </row>
    <row r="360" spans="1:16">
      <c r="A360" s="52" t="s">
        <v>68</v>
      </c>
      <c r="B360" s="52" t="s">
        <v>69</v>
      </c>
      <c r="C360" s="52">
        <v>2012</v>
      </c>
      <c r="D360" s="75"/>
      <c r="E360" s="75"/>
      <c r="F360" s="81">
        <v>3.66</v>
      </c>
      <c r="G360" s="81">
        <v>3.85</v>
      </c>
      <c r="H360" s="81"/>
      <c r="I360" s="81"/>
      <c r="J360" s="53"/>
      <c r="K360" s="53"/>
      <c r="L360" s="53"/>
      <c r="M360" s="53"/>
      <c r="N360" s="35">
        <v>161.5</v>
      </c>
      <c r="O360" s="54">
        <v>138.5</v>
      </c>
      <c r="P360" s="35">
        <v>300</v>
      </c>
    </row>
    <row r="361" spans="1:16">
      <c r="A361" s="52" t="s">
        <v>68</v>
      </c>
      <c r="B361" s="52" t="s">
        <v>69</v>
      </c>
      <c r="C361" s="52">
        <v>2013</v>
      </c>
      <c r="D361" s="75"/>
      <c r="E361" s="75"/>
      <c r="F361" s="81">
        <v>3.86</v>
      </c>
      <c r="G361" s="81">
        <v>4.0199999999999996</v>
      </c>
      <c r="H361" s="81"/>
      <c r="I361" s="81"/>
      <c r="J361" s="53"/>
      <c r="K361" s="53"/>
      <c r="L361" s="53"/>
      <c r="M361" s="53"/>
      <c r="N361" s="35">
        <v>161.5</v>
      </c>
      <c r="O361" s="54">
        <v>138.5</v>
      </c>
      <c r="P361" s="35">
        <v>300</v>
      </c>
    </row>
    <row r="362" spans="1:16">
      <c r="A362" s="52" t="s">
        <v>68</v>
      </c>
      <c r="B362" s="52" t="s">
        <v>69</v>
      </c>
      <c r="C362" s="52">
        <v>2014</v>
      </c>
      <c r="D362" s="75"/>
      <c r="E362" s="75"/>
      <c r="F362" s="81">
        <v>4.01</v>
      </c>
      <c r="G362" s="81">
        <v>4.09</v>
      </c>
      <c r="H362" s="81"/>
      <c r="I362" s="81"/>
      <c r="J362" s="53"/>
      <c r="K362" s="53"/>
      <c r="L362" s="53"/>
      <c r="M362" s="53"/>
      <c r="N362" s="35">
        <v>161.5</v>
      </c>
      <c r="O362" s="54">
        <v>138.5</v>
      </c>
      <c r="P362" s="35">
        <v>300</v>
      </c>
    </row>
    <row r="363" spans="1:16">
      <c r="A363" s="38" t="s">
        <v>68</v>
      </c>
      <c r="B363" s="38" t="s">
        <v>69</v>
      </c>
      <c r="C363">
        <v>2015</v>
      </c>
      <c r="F363" s="85">
        <v>2.44</v>
      </c>
      <c r="G363" s="85">
        <v>4.0199999999999996</v>
      </c>
      <c r="N363" s="35">
        <v>161.5</v>
      </c>
      <c r="O363" s="54">
        <v>138.5</v>
      </c>
      <c r="P363" s="35">
        <v>300</v>
      </c>
    </row>
    <row r="364" spans="1:16">
      <c r="A364" s="55" t="s">
        <v>269</v>
      </c>
      <c r="B364" s="55" t="s">
        <v>275</v>
      </c>
      <c r="C364">
        <v>2007</v>
      </c>
      <c r="F364" s="85">
        <v>3.42</v>
      </c>
      <c r="G364" s="85">
        <v>3.5</v>
      </c>
      <c r="N364" s="35">
        <v>157</v>
      </c>
      <c r="O364" s="35">
        <v>161</v>
      </c>
      <c r="P364" s="35">
        <v>300</v>
      </c>
    </row>
    <row r="365" spans="1:16">
      <c r="A365" s="55" t="s">
        <v>269</v>
      </c>
      <c r="B365" s="55" t="s">
        <v>275</v>
      </c>
      <c r="C365">
        <v>2008</v>
      </c>
      <c r="F365" s="85">
        <v>2.4</v>
      </c>
      <c r="G365" s="85">
        <v>2.95</v>
      </c>
      <c r="N365" s="35">
        <v>157</v>
      </c>
      <c r="O365" s="35">
        <v>161</v>
      </c>
      <c r="P365" s="35">
        <v>300</v>
      </c>
    </row>
    <row r="366" spans="1:16">
      <c r="A366" s="52" t="s">
        <v>70</v>
      </c>
      <c r="B366" s="52" t="s">
        <v>71</v>
      </c>
      <c r="C366" s="52">
        <v>2005</v>
      </c>
      <c r="D366" s="75"/>
      <c r="E366" s="75"/>
      <c r="F366" s="81">
        <v>2.65</v>
      </c>
      <c r="G366" s="81">
        <v>2.56</v>
      </c>
      <c r="H366" s="81"/>
      <c r="I366" s="81"/>
      <c r="J366" s="53">
        <v>14.36</v>
      </c>
      <c r="K366" s="53"/>
      <c r="L366" s="53">
        <v>2763</v>
      </c>
      <c r="M366" s="53"/>
      <c r="N366" s="54">
        <v>218.5</v>
      </c>
      <c r="O366" s="54">
        <v>217.5</v>
      </c>
      <c r="P366" s="54">
        <v>300</v>
      </c>
    </row>
    <row r="367" spans="1:16">
      <c r="A367" s="52" t="s">
        <v>70</v>
      </c>
      <c r="B367" s="52" t="s">
        <v>71</v>
      </c>
      <c r="C367" s="52">
        <v>2006</v>
      </c>
      <c r="D367" s="75"/>
      <c r="E367" s="75"/>
      <c r="F367" s="81">
        <v>2.15</v>
      </c>
      <c r="G367" s="81">
        <v>2.06</v>
      </c>
      <c r="H367" s="81"/>
      <c r="I367" s="81"/>
      <c r="J367" s="53">
        <v>16.670000000000002</v>
      </c>
      <c r="K367" s="53"/>
      <c r="L367" s="53">
        <v>2912</v>
      </c>
      <c r="M367" s="53"/>
      <c r="N367" s="54">
        <v>218.5</v>
      </c>
      <c r="O367" s="54">
        <v>217.5</v>
      </c>
      <c r="P367" s="54">
        <v>300</v>
      </c>
    </row>
    <row r="368" spans="1:16">
      <c r="A368" s="52" t="s">
        <v>70</v>
      </c>
      <c r="B368" s="52" t="s">
        <v>71</v>
      </c>
      <c r="C368" s="52">
        <v>2007</v>
      </c>
      <c r="D368" s="75"/>
      <c r="E368" s="75"/>
      <c r="F368" s="81">
        <v>1.9</v>
      </c>
      <c r="G368" s="81">
        <v>2.36</v>
      </c>
      <c r="H368" s="81"/>
      <c r="I368" s="81"/>
      <c r="J368" s="53">
        <v>17.04</v>
      </c>
      <c r="K368" s="53"/>
      <c r="L368" s="53">
        <v>2968</v>
      </c>
      <c r="M368" s="53"/>
      <c r="N368" s="54">
        <v>218.5</v>
      </c>
      <c r="O368" s="54">
        <v>217.5</v>
      </c>
      <c r="P368" s="54">
        <v>300</v>
      </c>
    </row>
    <row r="369" spans="1:16">
      <c r="A369" s="52" t="s">
        <v>70</v>
      </c>
      <c r="B369" s="52" t="s">
        <v>71</v>
      </c>
      <c r="C369" s="52">
        <v>2008</v>
      </c>
      <c r="D369" s="75"/>
      <c r="E369" s="75"/>
      <c r="F369" s="81">
        <v>2.2599999999999998</v>
      </c>
      <c r="G369" s="81">
        <v>2.54</v>
      </c>
      <c r="H369" s="81"/>
      <c r="I369" s="81"/>
      <c r="J369" s="53">
        <v>14.05</v>
      </c>
      <c r="K369" s="53"/>
      <c r="L369" s="53">
        <v>2968</v>
      </c>
      <c r="M369" s="53"/>
      <c r="N369" s="54">
        <v>218.5</v>
      </c>
      <c r="O369" s="54">
        <v>217.5</v>
      </c>
      <c r="P369" s="54">
        <v>300</v>
      </c>
    </row>
    <row r="370" spans="1:16">
      <c r="A370" s="52" t="s">
        <v>70</v>
      </c>
      <c r="B370" s="52" t="s">
        <v>71</v>
      </c>
      <c r="C370" s="52">
        <v>2009</v>
      </c>
      <c r="D370" s="75"/>
      <c r="E370" s="75"/>
      <c r="F370" s="81">
        <v>1.29</v>
      </c>
      <c r="G370" s="81">
        <v>2.4</v>
      </c>
      <c r="H370" s="81"/>
      <c r="I370" s="81"/>
      <c r="J370" s="53">
        <v>14.67</v>
      </c>
      <c r="K370" s="53"/>
      <c r="L370" s="53">
        <v>2836</v>
      </c>
      <c r="M370" s="53"/>
      <c r="N370" s="54">
        <v>120.5</v>
      </c>
      <c r="O370" s="54">
        <v>136.5</v>
      </c>
      <c r="P370" s="54">
        <v>250</v>
      </c>
    </row>
    <row r="371" spans="1:16">
      <c r="A371" s="52" t="s">
        <v>70</v>
      </c>
      <c r="B371" s="52" t="s">
        <v>71</v>
      </c>
      <c r="C371" s="52">
        <v>2010</v>
      </c>
      <c r="D371" s="75"/>
      <c r="E371" s="75"/>
      <c r="F371" s="81">
        <v>0.9</v>
      </c>
      <c r="G371" s="81">
        <v>2.08</v>
      </c>
      <c r="H371" s="81"/>
      <c r="I371" s="81"/>
      <c r="J371" s="53">
        <v>13.64</v>
      </c>
      <c r="K371" s="53"/>
      <c r="L371" s="53">
        <v>2828</v>
      </c>
      <c r="M371" s="53"/>
      <c r="N371" s="54">
        <v>218.5</v>
      </c>
      <c r="O371" s="54">
        <v>217.5</v>
      </c>
      <c r="P371" s="54">
        <v>300</v>
      </c>
    </row>
    <row r="372" spans="1:16">
      <c r="A372" t="s">
        <v>70</v>
      </c>
      <c r="B372" t="s">
        <v>71</v>
      </c>
      <c r="C372">
        <v>2011</v>
      </c>
      <c r="F372" s="85">
        <v>0.85</v>
      </c>
      <c r="G372" s="85">
        <v>2.15</v>
      </c>
      <c r="J372" s="2">
        <v>12.69</v>
      </c>
      <c r="L372" s="2">
        <v>2836</v>
      </c>
      <c r="N372" s="35">
        <v>120.5</v>
      </c>
      <c r="O372" s="35">
        <v>136.5</v>
      </c>
      <c r="P372" s="35">
        <v>250</v>
      </c>
    </row>
    <row r="373" spans="1:16">
      <c r="A373" t="s">
        <v>70</v>
      </c>
      <c r="B373" t="s">
        <v>71</v>
      </c>
      <c r="C373">
        <v>2012</v>
      </c>
      <c r="F373" s="85">
        <v>0.31</v>
      </c>
      <c r="G373" s="85">
        <v>2.2400000000000002</v>
      </c>
      <c r="J373" s="2">
        <v>11.6</v>
      </c>
      <c r="L373" s="2">
        <v>2858</v>
      </c>
      <c r="N373" s="35">
        <v>120.5</v>
      </c>
      <c r="O373" s="35">
        <v>136.5</v>
      </c>
      <c r="P373" s="35">
        <v>250</v>
      </c>
    </row>
    <row r="374" spans="1:16">
      <c r="A374" t="s">
        <v>70</v>
      </c>
      <c r="B374" t="s">
        <v>71</v>
      </c>
      <c r="C374">
        <v>2013</v>
      </c>
      <c r="F374" s="85">
        <v>4</v>
      </c>
      <c r="G374" s="85">
        <v>2.84</v>
      </c>
      <c r="J374" s="2">
        <v>13.57</v>
      </c>
      <c r="L374" s="2">
        <v>2862</v>
      </c>
      <c r="N374" s="35">
        <v>197</v>
      </c>
      <c r="O374" s="35">
        <v>207.5</v>
      </c>
      <c r="P374" s="35">
        <v>300</v>
      </c>
    </row>
    <row r="375" spans="1:16">
      <c r="A375" s="38" t="s">
        <v>70</v>
      </c>
      <c r="B375" s="38" t="s">
        <v>71</v>
      </c>
      <c r="C375">
        <v>2014</v>
      </c>
      <c r="F375" s="85">
        <v>2.42</v>
      </c>
      <c r="G375" s="85">
        <v>3.35</v>
      </c>
      <c r="N375" s="35">
        <v>179.5</v>
      </c>
      <c r="O375" s="35">
        <v>197</v>
      </c>
      <c r="P375" s="35">
        <v>300</v>
      </c>
    </row>
    <row r="376" spans="1:16">
      <c r="A376" t="s">
        <v>70</v>
      </c>
      <c r="B376" t="s">
        <v>71</v>
      </c>
      <c r="C376">
        <v>2015</v>
      </c>
      <c r="F376" s="85">
        <v>4.37</v>
      </c>
      <c r="G376" s="85">
        <v>3.99</v>
      </c>
      <c r="N376" s="35">
        <v>209</v>
      </c>
      <c r="O376" s="35">
        <v>209</v>
      </c>
      <c r="P376" s="35">
        <v>300</v>
      </c>
    </row>
    <row r="377" spans="1:16">
      <c r="A377" t="s">
        <v>260</v>
      </c>
      <c r="B377" t="s">
        <v>265</v>
      </c>
      <c r="C377">
        <v>2012</v>
      </c>
      <c r="F377" s="85">
        <v>0.79</v>
      </c>
      <c r="G377" s="85">
        <v>1.54</v>
      </c>
      <c r="O377" s="35">
        <v>148.5</v>
      </c>
      <c r="P377" s="35">
        <v>250</v>
      </c>
    </row>
    <row r="378" spans="1:16">
      <c r="A378" s="38" t="s">
        <v>72</v>
      </c>
      <c r="B378" s="38" t="s">
        <v>73</v>
      </c>
      <c r="C378">
        <v>2009</v>
      </c>
      <c r="F378" s="85">
        <v>3.35</v>
      </c>
      <c r="G378" s="85">
        <v>3.42</v>
      </c>
      <c r="N378" s="35">
        <v>207.5</v>
      </c>
      <c r="O378" s="35">
        <v>205</v>
      </c>
      <c r="P378" s="35">
        <v>300</v>
      </c>
    </row>
    <row r="379" spans="1:16">
      <c r="A379" s="38" t="s">
        <v>72</v>
      </c>
      <c r="B379" s="38" t="s">
        <v>73</v>
      </c>
      <c r="C379">
        <v>2010</v>
      </c>
      <c r="F379" s="85">
        <v>3.72</v>
      </c>
      <c r="G379" s="85">
        <v>3.66</v>
      </c>
      <c r="N379" s="35">
        <v>207.5</v>
      </c>
      <c r="O379" s="35">
        <v>205</v>
      </c>
      <c r="P379" s="35">
        <v>300</v>
      </c>
    </row>
    <row r="380" spans="1:16">
      <c r="A380" s="38" t="s">
        <v>72</v>
      </c>
      <c r="B380" s="38" t="s">
        <v>73</v>
      </c>
      <c r="C380">
        <v>2011</v>
      </c>
      <c r="F380" s="85">
        <v>4.18</v>
      </c>
      <c r="G380" s="85">
        <v>4.07</v>
      </c>
      <c r="N380" s="35">
        <v>207.5</v>
      </c>
      <c r="O380" s="35">
        <v>205</v>
      </c>
      <c r="P380" s="35">
        <v>300</v>
      </c>
    </row>
    <row r="381" spans="1:16">
      <c r="A381" s="38" t="s">
        <v>72</v>
      </c>
      <c r="B381" s="38" t="s">
        <v>73</v>
      </c>
      <c r="C381">
        <v>2012</v>
      </c>
      <c r="F381" s="85">
        <v>4.54</v>
      </c>
      <c r="G381" s="85">
        <v>4.49</v>
      </c>
      <c r="N381" s="35">
        <v>207.5</v>
      </c>
      <c r="O381" s="35">
        <v>205</v>
      </c>
      <c r="P381" s="35">
        <v>300</v>
      </c>
    </row>
    <row r="382" spans="1:16">
      <c r="A382" s="38" t="s">
        <v>72</v>
      </c>
      <c r="B382" s="38" t="s">
        <v>73</v>
      </c>
      <c r="C382">
        <v>2014</v>
      </c>
      <c r="F382" s="85">
        <v>4.8499999999999996</v>
      </c>
      <c r="G382" s="85">
        <v>5.1100000000000003</v>
      </c>
      <c r="N382" s="35">
        <v>207.5</v>
      </c>
      <c r="O382" s="35">
        <v>205</v>
      </c>
      <c r="P382" s="35">
        <v>300</v>
      </c>
    </row>
    <row r="383" spans="1:16">
      <c r="A383" s="38" t="s">
        <v>72</v>
      </c>
      <c r="B383" s="38" t="s">
        <v>73</v>
      </c>
      <c r="C383">
        <v>2015</v>
      </c>
      <c r="F383" s="85">
        <v>4.99</v>
      </c>
      <c r="G383" s="85">
        <v>5.07</v>
      </c>
      <c r="N383" s="35">
        <v>207.5</v>
      </c>
      <c r="O383" s="35">
        <v>205</v>
      </c>
      <c r="P383" s="35">
        <v>300</v>
      </c>
    </row>
    <row r="384" spans="1:16">
      <c r="A384" s="38" t="s">
        <v>72</v>
      </c>
      <c r="B384" s="38" t="s">
        <v>73</v>
      </c>
      <c r="C384">
        <v>2016</v>
      </c>
      <c r="F384" s="85">
        <v>4.57</v>
      </c>
      <c r="G384" s="85">
        <v>4.59</v>
      </c>
      <c r="N384" s="35">
        <v>172.5</v>
      </c>
      <c r="O384" s="35">
        <v>175</v>
      </c>
      <c r="P384" s="35">
        <v>300</v>
      </c>
    </row>
  </sheetData>
  <autoFilter ref="A1:P256">
    <sortState ref="A2:P384">
      <sortCondition ref="B1:B256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67"/>
  <sheetViews>
    <sheetView tabSelected="1" topLeftCell="C1" zoomScale="60" zoomScaleNormal="60" workbookViewId="0">
      <pane ySplit="2" topLeftCell="A3" activePane="bottomLeft" state="frozenSplit"/>
      <selection pane="bottomLeft" activeCell="AA56" sqref="AA56"/>
    </sheetView>
  </sheetViews>
  <sheetFormatPr baseColWidth="10" defaultRowHeight="15" outlineLevelCol="1"/>
  <cols>
    <col min="1" max="1" width="28" style="38" bestFit="1" customWidth="1"/>
    <col min="2" max="2" width="20.85546875" style="38" bestFit="1" customWidth="1"/>
    <col min="3" max="3" width="12.28515625" style="38" bestFit="1" customWidth="1"/>
    <col min="4" max="4" width="18.42578125" style="38" customWidth="1"/>
    <col min="5" max="5" width="2.7109375" style="38" customWidth="1"/>
    <col min="6" max="6" width="18.42578125" style="60" hidden="1" customWidth="1" outlineLevel="1"/>
    <col min="7" max="7" width="12.7109375" style="38" hidden="1" customWidth="1" outlineLevel="1"/>
    <col min="8" max="8" width="14.7109375" style="38" hidden="1" customWidth="1" outlineLevel="1"/>
    <col min="9" max="9" width="16.85546875" style="38" hidden="1" customWidth="1" outlineLevel="1"/>
    <col min="10" max="10" width="18" style="38" hidden="1" customWidth="1" outlineLevel="1"/>
    <col min="11" max="11" width="22.7109375" style="38" hidden="1" customWidth="1" outlineLevel="1"/>
    <col min="12" max="12" width="12.7109375" style="38" hidden="1" customWidth="1" outlineLevel="1"/>
    <col min="13" max="13" width="14.7109375" style="38" hidden="1" customWidth="1" outlineLevel="1"/>
    <col min="14" max="14" width="16.85546875" style="38" hidden="1" customWidth="1" outlineLevel="1"/>
    <col min="15" max="15" width="18" style="38" hidden="1" customWidth="1" outlineLevel="1"/>
    <col min="16" max="16" width="22.7109375" style="38" hidden="1" customWidth="1" outlineLevel="1"/>
    <col min="17" max="17" width="16.85546875" style="38" bestFit="1" customWidth="1" collapsed="1"/>
    <col min="18" max="18" width="25.85546875" style="38" customWidth="1"/>
    <col min="19" max="19" width="2.7109375" style="38" customWidth="1"/>
    <col min="20" max="22" width="17" style="38" hidden="1" customWidth="1" outlineLevel="1"/>
    <col min="23" max="23" width="18" style="38" hidden="1" customWidth="1" outlineLevel="1"/>
    <col min="24" max="25" width="24.140625" style="38" hidden="1" customWidth="1" outlineLevel="1"/>
    <col min="26" max="26" width="17" style="38" customWidth="1" collapsed="1"/>
    <col min="27" max="27" width="18" style="38" customWidth="1"/>
    <col min="28" max="28" width="24.140625" style="38" customWidth="1"/>
    <col min="29" max="29" width="2.7109375" style="38" customWidth="1"/>
    <col min="30" max="31" width="16.28515625" style="38" hidden="1" customWidth="1" outlineLevel="1"/>
    <col min="32" max="32" width="16.85546875" style="38" hidden="1" customWidth="1" outlineLevel="1"/>
    <col min="33" max="33" width="17.28515625" style="38" hidden="1" customWidth="1" outlineLevel="1"/>
    <col min="34" max="35" width="23.28515625" style="38" hidden="1" customWidth="1" outlineLevel="1"/>
    <col min="36" max="36" width="16.85546875" style="38" bestFit="1" customWidth="1" collapsed="1"/>
    <col min="37" max="37" width="17.28515625" style="38" bestFit="1" customWidth="1"/>
    <col min="38" max="38" width="23.28515625" style="38" bestFit="1" customWidth="1"/>
    <col min="39" max="39" width="2.7109375" style="38" customWidth="1"/>
    <col min="40" max="42" width="17.7109375" style="38" hidden="1" customWidth="1" outlineLevel="1"/>
    <col min="43" max="43" width="20.140625" style="38" hidden="1" customWidth="1" outlineLevel="1"/>
    <col min="44" max="45" width="24.85546875" style="38" hidden="1" customWidth="1" outlineLevel="1"/>
    <col min="46" max="46" width="17.7109375" style="38" bestFit="1" customWidth="1" collapsed="1"/>
    <col min="47" max="47" width="20.140625" style="38" bestFit="1" customWidth="1"/>
    <col min="48" max="48" width="24.85546875" style="38" bestFit="1" customWidth="1"/>
    <col min="49" max="49" width="2.7109375" style="38" customWidth="1"/>
    <col min="50" max="50" width="12.7109375" style="38" hidden="1" customWidth="1" outlineLevel="1"/>
    <col min="51" max="51" width="13" style="38" hidden="1" customWidth="1" outlineLevel="1"/>
    <col min="52" max="52" width="16.85546875" style="38" hidden="1" customWidth="1" outlineLevel="1"/>
    <col min="53" max="53" width="12.7109375" style="38" customWidth="1" collapsed="1"/>
    <col min="54" max="54" width="13" style="38" customWidth="1"/>
    <col min="55" max="55" width="16.85546875" style="38" bestFit="1" customWidth="1"/>
    <col min="56" max="56" width="2.7109375" style="38" customWidth="1"/>
    <col min="57" max="57" width="11.28515625" style="38" hidden="1" customWidth="1" outlineLevel="1"/>
    <col min="58" max="58" width="13" style="38" hidden="1" customWidth="1" outlineLevel="1"/>
    <col min="59" max="59" width="16.85546875" style="38" hidden="1" customWidth="1" outlineLevel="1"/>
    <col min="60" max="60" width="11.28515625" style="38" bestFit="1" customWidth="1" collapsed="1"/>
    <col min="61" max="61" width="13" style="38" bestFit="1" customWidth="1"/>
    <col min="62" max="62" width="16.85546875" style="38" bestFit="1" customWidth="1"/>
    <col min="63" max="63" width="2.7109375" style="38" customWidth="1"/>
    <col min="64" max="65" width="13.28515625" style="38" hidden="1" customWidth="1" outlineLevel="1"/>
    <col min="66" max="66" width="16.85546875" style="38" hidden="1" customWidth="1" outlineLevel="1"/>
    <col min="67" max="67" width="13.28515625" style="38" bestFit="1" customWidth="1" collapsed="1"/>
    <col min="68" max="68" width="13.28515625" style="38" bestFit="1" customWidth="1"/>
    <col min="69" max="69" width="16.85546875" style="38" bestFit="1" customWidth="1"/>
    <col min="70" max="16384" width="11.42578125" style="38"/>
  </cols>
  <sheetData>
    <row r="1" spans="1:69">
      <c r="A1" s="37" t="s">
        <v>141</v>
      </c>
      <c r="B1" s="42">
        <v>42470</v>
      </c>
      <c r="C1" s="42"/>
      <c r="D1" s="37"/>
      <c r="E1" s="44"/>
      <c r="G1" s="39"/>
      <c r="H1" s="39"/>
      <c r="I1" s="39"/>
      <c r="J1" s="39"/>
      <c r="K1" s="39"/>
      <c r="Q1" s="108" t="str">
        <f>CONCATENATE("Preis (",Bewertung_Stammdaten!A9," von ",Bewertung_Stammdaten!B7,")")</f>
        <v>Preis (85 von 300)</v>
      </c>
      <c r="R1" s="108"/>
      <c r="S1" s="36"/>
      <c r="T1" s="39"/>
      <c r="U1" s="39"/>
      <c r="V1" s="39"/>
      <c r="W1" s="39"/>
      <c r="X1" s="39"/>
      <c r="Y1" s="39"/>
      <c r="Z1" s="108" t="str">
        <f>CONCATENATE("Wert (",Bewertung_Stammdaten!A22," von ",Bewertung_Stammdaten!B7,")")</f>
        <v>Wert (40 von 300)</v>
      </c>
      <c r="AA1" s="108"/>
      <c r="AB1" s="108"/>
      <c r="AC1" s="36"/>
      <c r="AD1" s="39"/>
      <c r="AE1" s="39"/>
      <c r="AF1" s="39"/>
      <c r="AG1" s="39"/>
      <c r="AH1" s="39"/>
      <c r="AI1" s="39"/>
      <c r="AJ1" s="108" t="str">
        <f>CONCATENATE("Ergebnis (",Bewertung_Stammdaten!A35," von ",Bewertung_Stammdaten!B7,")")</f>
        <v>Ergebnis (45 von 300)</v>
      </c>
      <c r="AK1" s="108"/>
      <c r="AL1" s="108"/>
      <c r="AM1" s="36"/>
      <c r="AN1" s="39"/>
      <c r="AO1" s="39"/>
      <c r="AP1" s="39"/>
      <c r="AQ1" s="39"/>
      <c r="AR1" s="39"/>
      <c r="AS1" s="39"/>
      <c r="AT1" s="108" t="str">
        <f>CONCATENATE("Dividende (",Bewertung_Stammdaten!A48," von ",Bewertung_Stammdaten!B7,")")</f>
        <v>Dividende (45 von 300)</v>
      </c>
      <c r="AU1" s="108"/>
      <c r="AV1" s="108"/>
      <c r="AW1" s="36"/>
      <c r="AX1" s="39"/>
      <c r="AY1" s="39"/>
      <c r="AZ1" s="39"/>
      <c r="BA1" s="108" t="str">
        <f>CONCATENATE("Dividendenrendite (",Bewertung_Stammdaten!A61," von ",Bewertung_Stammdaten!B7,")")</f>
        <v>Dividendenrendite (30 von 300)</v>
      </c>
      <c r="BB1" s="108"/>
      <c r="BC1" s="108"/>
      <c r="BD1" s="36"/>
      <c r="BE1" s="39"/>
      <c r="BF1" s="39"/>
      <c r="BG1" s="39"/>
      <c r="BH1" s="108" t="str">
        <f>CONCATENATE("Aktienrückkäufe (",Bewertung_Stammdaten!A74," von ",Bewertung_Stammdaten!B7,")")</f>
        <v>Aktienrückkäufe (25 von 300)</v>
      </c>
      <c r="BI1" s="108"/>
      <c r="BJ1" s="108"/>
      <c r="BK1" s="36"/>
      <c r="BL1" s="39"/>
      <c r="BM1" s="39"/>
      <c r="BN1" s="39"/>
      <c r="BO1" s="108" t="str">
        <f>CONCATENATE("Ausschüttungsquote (",Bewertung_Stammdaten!A87," von ",Bewertung_Stammdaten!B7,")")</f>
        <v>Ausschüttungsquote (30 von 300)</v>
      </c>
      <c r="BP1" s="108"/>
      <c r="BQ1" s="108"/>
    </row>
    <row r="2" spans="1:69" ht="60">
      <c r="A2" s="37" t="s">
        <v>0</v>
      </c>
      <c r="B2" s="37" t="s">
        <v>1</v>
      </c>
      <c r="C2" s="37" t="s">
        <v>281</v>
      </c>
      <c r="D2" s="37" t="s">
        <v>120</v>
      </c>
      <c r="E2" s="44"/>
      <c r="F2" s="86" t="s">
        <v>284</v>
      </c>
      <c r="G2" s="7" t="s">
        <v>111</v>
      </c>
      <c r="H2" s="7" t="s">
        <v>207</v>
      </c>
      <c r="I2" s="7" t="s">
        <v>216</v>
      </c>
      <c r="J2" s="8" t="s">
        <v>142</v>
      </c>
      <c r="K2" s="8" t="s">
        <v>203</v>
      </c>
      <c r="L2" s="7" t="s">
        <v>286</v>
      </c>
      <c r="M2" s="7" t="s">
        <v>287</v>
      </c>
      <c r="N2" s="7" t="s">
        <v>288</v>
      </c>
      <c r="O2" s="8" t="s">
        <v>289</v>
      </c>
      <c r="P2" s="8" t="s">
        <v>290</v>
      </c>
      <c r="Q2" s="7" t="s">
        <v>291</v>
      </c>
      <c r="R2" s="8" t="s">
        <v>285</v>
      </c>
      <c r="S2" s="45"/>
      <c r="T2" s="8" t="s">
        <v>143</v>
      </c>
      <c r="U2" s="8" t="s">
        <v>208</v>
      </c>
      <c r="V2" s="8" t="s">
        <v>217</v>
      </c>
      <c r="W2" s="8" t="s">
        <v>215</v>
      </c>
      <c r="X2" s="8" t="s">
        <v>145</v>
      </c>
      <c r="Y2" s="8" t="s">
        <v>204</v>
      </c>
      <c r="Z2" s="8" t="s">
        <v>217</v>
      </c>
      <c r="AA2" s="8" t="s">
        <v>215</v>
      </c>
      <c r="AB2" s="8" t="s">
        <v>204</v>
      </c>
      <c r="AC2" s="45"/>
      <c r="AD2" s="8" t="s">
        <v>114</v>
      </c>
      <c r="AE2" s="8" t="s">
        <v>209</v>
      </c>
      <c r="AF2" s="8" t="s">
        <v>218</v>
      </c>
      <c r="AG2" s="8" t="s">
        <v>210</v>
      </c>
      <c r="AH2" s="8" t="s">
        <v>119</v>
      </c>
      <c r="AI2" s="8" t="s">
        <v>205</v>
      </c>
      <c r="AJ2" s="8" t="s">
        <v>218</v>
      </c>
      <c r="AK2" s="8" t="s">
        <v>210</v>
      </c>
      <c r="AL2" s="8" t="s">
        <v>205</v>
      </c>
      <c r="AM2" s="45"/>
      <c r="AN2" s="8" t="s">
        <v>201</v>
      </c>
      <c r="AO2" s="8" t="s">
        <v>211</v>
      </c>
      <c r="AP2" s="8" t="s">
        <v>219</v>
      </c>
      <c r="AQ2" s="8" t="s">
        <v>212</v>
      </c>
      <c r="AR2" s="8" t="s">
        <v>202</v>
      </c>
      <c r="AS2" s="8" t="s">
        <v>206</v>
      </c>
      <c r="AT2" s="8" t="s">
        <v>219</v>
      </c>
      <c r="AU2" s="8" t="s">
        <v>212</v>
      </c>
      <c r="AV2" s="8" t="s">
        <v>206</v>
      </c>
      <c r="AW2" s="45"/>
      <c r="AX2" s="8" t="s">
        <v>112</v>
      </c>
      <c r="AY2" s="8" t="s">
        <v>213</v>
      </c>
      <c r="AZ2" s="8" t="s">
        <v>220</v>
      </c>
      <c r="BA2" s="8" t="s">
        <v>112</v>
      </c>
      <c r="BB2" s="8" t="s">
        <v>213</v>
      </c>
      <c r="BC2" s="8" t="s">
        <v>220</v>
      </c>
      <c r="BD2" s="45"/>
      <c r="BE2" s="8" t="s">
        <v>150</v>
      </c>
      <c r="BF2" s="8" t="s">
        <v>151</v>
      </c>
      <c r="BG2" s="8" t="s">
        <v>221</v>
      </c>
      <c r="BH2" s="8" t="s">
        <v>150</v>
      </c>
      <c r="BI2" s="8" t="s">
        <v>151</v>
      </c>
      <c r="BJ2" s="8" t="s">
        <v>221</v>
      </c>
      <c r="BK2" s="45"/>
      <c r="BL2" s="8" t="s">
        <v>113</v>
      </c>
      <c r="BM2" s="8" t="s">
        <v>214</v>
      </c>
      <c r="BN2" s="8" t="s">
        <v>222</v>
      </c>
      <c r="BO2" s="8" t="s">
        <v>113</v>
      </c>
      <c r="BP2" s="8" t="s">
        <v>214</v>
      </c>
      <c r="BQ2" s="8" t="s">
        <v>222</v>
      </c>
    </row>
    <row r="3" spans="1:69">
      <c r="A3" s="38" t="s">
        <v>14</v>
      </c>
      <c r="B3" s="38" t="s">
        <v>15</v>
      </c>
      <c r="C3" s="38" t="s">
        <v>283</v>
      </c>
      <c r="D3" s="32">
        <f t="shared" ref="D3:D34" ca="1" si="0">SUM(Q3:R3,Z3:AB3,AJ3:AL3,BA3:BC3,BH3:BJ3,BO3:BQ3,AT3:AV3)</f>
        <v>226.5</v>
      </c>
      <c r="E3" s="43"/>
      <c r="F3" s="60">
        <v>1</v>
      </c>
      <c r="G3" s="11">
        <f ca="1">VLOOKUP(A3,KGV!A$3:R$103,17,FALSE)</f>
        <v>18.602920914852579</v>
      </c>
      <c r="H3" s="11">
        <f>VLOOKUP(A3,KGV!A$3:R$103,16,FALSE)</f>
        <v>20.787535410764871</v>
      </c>
      <c r="I3" s="12">
        <f ca="1">VLOOKUP(A3,KGV!A$3:R$103,18,FALSE)</f>
        <v>-0.10509252072186415</v>
      </c>
      <c r="J3" s="16">
        <f t="shared" ref="J3:J34" ca="1" si="1">IF(AG3&gt;0,G3,IF(G3/(1+AG3)&lt;0,99,G3/(1+AG3)))</f>
        <v>21.364291988151006</v>
      </c>
      <c r="K3" s="12">
        <f t="shared" ref="K3:K34" ca="1" si="2">(J3/H3)-1</f>
        <v>2.7745308233483978E-2</v>
      </c>
      <c r="L3" s="11">
        <f ca="1">VLOOKUP(A3,KBV!A$3:R$103,17,FALSE)</f>
        <v>3.225513616817965</v>
      </c>
      <c r="M3" s="11">
        <f>VLOOKUP(A3,KBV!A$3:R$103,16,FALSE)</f>
        <v>3.684719535783366</v>
      </c>
      <c r="N3" s="12">
        <f ca="1">VLOOKUP(A3,KBV!A$3:R$103,18,FALSE)</f>
        <v>-0.12462438850662061</v>
      </c>
      <c r="O3" s="16">
        <f t="shared" ref="O3:O34" ca="1" si="3">IF(W3&gt;0,L3,IF(L3/(1+W3)&lt;0,99,L3/(1+W3)))</f>
        <v>3.225513616817965</v>
      </c>
      <c r="P3" s="12">
        <f t="shared" ref="P3:P34" ca="1" si="4">(O3/M3)-1</f>
        <v>-0.12462438850662061</v>
      </c>
      <c r="Q3" s="32">
        <f ca="1">IF(F3=1,IF(I3&lt;Bewertung_Stammdaten!B$12,Bewertung_Stammdaten!A$12,IF(I3&lt;Bewertung_Stammdaten!B$13,Bewertung_Stammdaten!A$13,IF(I3&lt;Bewertung_Stammdaten!B$14,Bewertung_Stammdaten!A$14,IF(I3&lt;Bewertung_Stammdaten!B$15,Bewertung_Stammdaten!A$15,IF(I3&lt;Bewertung_Stammdaten!B$16,Bewertung_Stammdaten!A$16,IF(I3&lt;Bewertung_Stammdaten!B$17,Bewertung_Stammdaten!A$17,IF(I3&lt;Bewertung_Stammdaten!B$18,Bewertung_Stammdaten!A$18,IF(I3&lt;Bewertung_Stammdaten!B$19,Bewertung_Stammdaten!A$19,IF(I3&lt;Bewertung_Stammdaten!B$20,Bewertung_Stammdaten!A$20,Bewertung_Stammdaten!A$21))))))))),IF(N3&lt;Bewertung_Stammdaten!C$12,Bewertung_Stammdaten!A$12,IF(N3&lt;Bewertung_Stammdaten!C$13,Bewertung_Stammdaten!A$13,IF(N3&lt;Bewertung_Stammdaten!C$14,Bewertung_Stammdaten!A$14,IF(N3&lt;Bewertung_Stammdaten!C$15,Bewertung_Stammdaten!A$15,IF(N3&lt;Bewertung_Stammdaten!C$16,Bewertung_Stammdaten!A$16,IF(N3&lt;Bewertung_Stammdaten!C$17,Bewertung_Stammdaten!A$17,IF(N3&lt;Bewertung_Stammdaten!C$18,Bewertung_Stammdaten!A$18,IF(N3&lt;Bewertung_Stammdaten!C$19,Bewertung_Stammdaten!A$19,IF(N3&lt;Bewertung_Stammdaten!C$20,Bewertung_Stammdaten!A$20,Bewertung_Stammdaten!A$21))))))))))</f>
        <v>54</v>
      </c>
      <c r="R3" s="32">
        <f ca="1">IF(F3=1,IF(K3&lt;Bewertung_Stammdaten!F$12,Bewertung_Stammdaten!E$12,IF(K3&lt;Bewertung_Stammdaten!F$13,Bewertung_Stammdaten!E$13,IF(K3&lt;Bewertung_Stammdaten!F$14,Bewertung_Stammdaten!E$14,IF(K3&lt;Bewertung_Stammdaten!F$15,Bewertung_Stammdaten!E$15,IF(K3&lt;Bewertung_Stammdaten!F$16,Bewertung_Stammdaten!E$16,IF(K3&lt;Bewertung_Stammdaten!F$17,Bewertung_Stammdaten!E$17,IF(K3&lt;Bewertung_Stammdaten!F$18,Bewertung_Stammdaten!E$18,IF(K3&lt;Bewertung_Stammdaten!F$19,Bewertung_Stammdaten!E$19,IF(K3&lt;Bewertung_Stammdaten!F$20,Bewertung_Stammdaten!E$20,Bewertung_Stammdaten!E$21))))))))),IF(P3&lt;Bewertung_Stammdaten!G$12,Bewertung_Stammdaten!E$12,IF(P3&lt;Bewertung_Stammdaten!G$13,Bewertung_Stammdaten!E$13,IF(P3&lt;Bewertung_Stammdaten!G$14,Bewertung_Stammdaten!E$14,IF(P3&lt;Bewertung_Stammdaten!G$15,Bewertung_Stammdaten!E$15,IF(P3&lt;Bewertung_Stammdaten!G$16,Bewertung_Stammdaten!E$16,IF(P3&lt;Bewertung_Stammdaten!G$17,Bewertung_Stammdaten!E$17,IF(P3&lt;Bewertung_Stammdaten!G$18,Bewertung_Stammdaten!E$18,IF(P3&lt;Bewertung_Stammdaten!G$19,Bewertung_Stammdaten!E$19,IF(P3&lt;Bewertung_Stammdaten!G$20,Bewertung_Stammdaten!E$20,Bewertung_Stammdaten!E$21))))))))))</f>
        <v>22.5</v>
      </c>
      <c r="S3" s="43"/>
      <c r="T3" s="11">
        <f ca="1">VLOOKUP(A3,Buchwert_je_Aktie!A$3:AK$103,23,FALSE)</f>
        <v>20.93</v>
      </c>
      <c r="U3" s="11">
        <f>VLOOKUP(A3,Buchwert_je_Aktie!A$3:AK$103,19,FALSE)</f>
        <v>12.997692307692308</v>
      </c>
      <c r="V3" s="12">
        <f ca="1">VLOOKUP(A3,Buchwert_je_Aktie!A$3:AK$103,24,FALSE)</f>
        <v>0.61028584955909326</v>
      </c>
      <c r="W3" s="12">
        <f>VLOOKUP(A3,Buchwert_je_Aktie!A$3:AK$103,37,FALSE)</f>
        <v>7.1805702217528911E-2</v>
      </c>
      <c r="X3" s="16">
        <f t="shared" ref="X3:X34" ca="1" si="5">IF(W3&gt;0,T3,IF(T3&lt;0,ABS(T3)*(1+W3),T3*(1+W3)))</f>
        <v>20.93</v>
      </c>
      <c r="Y3" s="12">
        <f t="shared" ref="Y3:Y34" ca="1" si="6">IF(U3&gt;0,(X3/U3)-1,-99.99999)</f>
        <v>0.61028584955909326</v>
      </c>
      <c r="Z3" s="51">
        <f ca="1">IF(V3&lt;Bewertung_Stammdaten!B$25,Bewertung_Stammdaten!A$25,IF(V3&lt;Bewertung_Stammdaten!B$26,Bewertung_Stammdaten!A$26,IF(V3&lt;Bewertung_Stammdaten!B$27,Bewertung_Stammdaten!A$27,IF(V3&lt;Bewertung_Stammdaten!B$28,Bewertung_Stammdaten!A$28,IF(V3&lt;Bewertung_Stammdaten!B$29,Bewertung_Stammdaten!A$29,IF(V3&lt;Bewertung_Stammdaten!B$30,Bewertung_Stammdaten!A$30,IF(V3&lt;Bewertung_Stammdaten!B$31,Bewertung_Stammdaten!A$31,IF(V3&lt;Bewertung_Stammdaten!B$32,Bewertung_Stammdaten!A$32,IF(V3&lt;Bewertung_Stammdaten!B$33,Bewertung_Stammdaten!A$33,Bewertung_Stammdaten!A$34)))))))))</f>
        <v>13.5</v>
      </c>
      <c r="AA3" s="51">
        <f>IF(W3&lt;Bewertung_Stammdaten!F$25,Bewertung_Stammdaten!E$25,IF(W3&lt;Bewertung_Stammdaten!F$26,Bewertung_Stammdaten!E$26,IF(W3&lt;Bewertung_Stammdaten!F$27,Bewertung_Stammdaten!E$27,IF(W3&lt;Bewertung_Stammdaten!F$28,Bewertung_Stammdaten!E$28,IF(W3&lt;Bewertung_Stammdaten!F$29,Bewertung_Stammdaten!E$29,IF(W3&lt;Bewertung_Stammdaten!F$30,Bewertung_Stammdaten!E$30,IF(W3&lt;Bewertung_Stammdaten!F$31,Bewertung_Stammdaten!E$31,IF(W3&lt;Bewertung_Stammdaten!F$32,Bewertung_Stammdaten!E$32,IF(W3&lt;Bewertung_Stammdaten!F$33,Bewertung_Stammdaten!E$33,Bewertung_Stammdaten!E$34)))))))))</f>
        <v>13.5</v>
      </c>
      <c r="AB3" s="51">
        <f ca="1">IF(Y3&lt;Bewertung_Stammdaten!J$25,Bewertung_Stammdaten!I$25,IF(Y3&lt;Bewertung_Stammdaten!J$26,Bewertung_Stammdaten!I$26,IF(Y3&lt;Bewertung_Stammdaten!J$27,Bewertung_Stammdaten!I$27,IF(Y3&lt;Bewertung_Stammdaten!J$28,Bewertung_Stammdaten!I$28,IF(Y3&lt;Bewertung_Stammdaten!J$29,Bewertung_Stammdaten!I$29,IF(Y3&lt;Bewertung_Stammdaten!J$30,Bewertung_Stammdaten!I$30,IF(Y3&lt;Bewertung_Stammdaten!J$31,Bewertung_Stammdaten!I$31,IF(Y3&lt;Bewertung_Stammdaten!J$32,Bewertung_Stammdaten!I$32,IF(Y3&lt;Bewertung_Stammdaten!J$33,Bewertung_Stammdaten!I$33,Bewertung_Stammdaten!I$34)))))))))</f>
        <v>9</v>
      </c>
      <c r="AC3" s="43"/>
      <c r="AD3" s="14">
        <f ca="1">VLOOKUP(A3,Ergebnis_je_Aktie_verwässert!A$3:AK$103,23,FALSE)</f>
        <v>3.629</v>
      </c>
      <c r="AE3" s="14">
        <f>VLOOKUP(A3,Ergebnis_je_Aktie_verwässert!A$3:AK$103,19,FALSE)</f>
        <v>2.5469230769230773</v>
      </c>
      <c r="AF3" s="12">
        <f ca="1">VLOOKUP(A3,Ergebnis_je_Aktie_verwässert!A$3:AK$103,24,FALSE)</f>
        <v>0.42485653881002694</v>
      </c>
      <c r="AG3" s="40">
        <f>VLOOKUP(A3,Ergebnis_je_Aktie_verwässert!A$3:AK$103,37,FALSE)</f>
        <v>-0.12925170068027203</v>
      </c>
      <c r="AH3" s="16">
        <f t="shared" ref="AH3:AH34" ca="1" si="7">IF(AG3&gt;0,AD3,AD3*(1+AG3))</f>
        <v>3.1599455782312926</v>
      </c>
      <c r="AI3" s="12">
        <f t="shared" ref="AI3:AI34" ca="1" si="8">IF(AE3&gt;0,(AH3/AE3)-1,-99.99999)</f>
        <v>0.24069140794342481</v>
      </c>
      <c r="AJ3" s="32">
        <f ca="1">IF(AF3&lt;Bewertung_Stammdaten!B$38,Bewertung_Stammdaten!A$38,IF(AF3&lt;Bewertung_Stammdaten!B$39,Bewertung_Stammdaten!A$39,IF(AF3&lt;Bewertung_Stammdaten!B$40,Bewertung_Stammdaten!A$40,IF(AF3&lt;Bewertung_Stammdaten!B$41,Bewertung_Stammdaten!A$41,IF(AF3&lt;Bewertung_Stammdaten!B$42,Bewertung_Stammdaten!A$42,IF(AF3&lt;Bewertung_Stammdaten!B$43,Bewertung_Stammdaten!A$43,IF(AF3&lt;Bewertung_Stammdaten!B$44,Bewertung_Stammdaten!A$44,IF(AF3&lt;Bewertung_Stammdaten!B$45,Bewertung_Stammdaten!A$45,IF(AF3&lt;Bewertung_Stammdaten!B$46,Bewertung_Stammdaten!A$46,Bewertung_Stammdaten!A$47)))))))))</f>
        <v>16</v>
      </c>
      <c r="AK3" s="32">
        <f>IF(AG3&lt;Bewertung_Stammdaten!F$38,Bewertung_Stammdaten!E$38,IF(AG3&lt;Bewertung_Stammdaten!F$39,Bewertung_Stammdaten!E$39,IF(AG3&lt;Bewertung_Stammdaten!F$40,Bewertung_Stammdaten!E$40,IF(AG3&lt;Bewertung_Stammdaten!F$41,Bewertung_Stammdaten!E$41,IF(AG3&lt;Bewertung_Stammdaten!F$42,Bewertung_Stammdaten!E$42,IF(AG3&lt;Bewertung_Stammdaten!F$43,Bewertung_Stammdaten!E$43,IF(AG3&lt;Bewertung_Stammdaten!F$44,Bewertung_Stammdaten!E$44,IF(AG3&lt;Bewertung_Stammdaten!F$45,Bewertung_Stammdaten!E$45,IF(AG3&lt;Bewertung_Stammdaten!F$46,Bewertung_Stammdaten!E$46,Bewertung_Stammdaten!E$47)))))))))</f>
        <v>9</v>
      </c>
      <c r="AL3" s="32">
        <f ca="1">IF(AI3&lt;Bewertung_Stammdaten!J$38,Bewertung_Stammdaten!I$38,IF(AI3&lt;Bewertung_Stammdaten!J$39,Bewertung_Stammdaten!I$39,IF(AI3&lt;Bewertung_Stammdaten!J$40,Bewertung_Stammdaten!I$40,IF(AI3&lt;Bewertung_Stammdaten!J$41,Bewertung_Stammdaten!I$41,IF(AI3&lt;Bewertung_Stammdaten!J$42,Bewertung_Stammdaten!I$42,IF(AI3&lt;Bewertung_Stammdaten!J$43,Bewertung_Stammdaten!I$43,IF(AI3&lt;Bewertung_Stammdaten!J$44,Bewertung_Stammdaten!I$44,IF(AI3&lt;Bewertung_Stammdaten!J$45,Bewertung_Stammdaten!I$45,IF(AI3&lt;Bewertung_Stammdaten!J$46,Bewertung_Stammdaten!I$46,Bewertung_Stammdaten!I$47)))))))))</f>
        <v>6</v>
      </c>
      <c r="AM3" s="43"/>
      <c r="AN3" s="14">
        <f ca="1">VLOOKUP(A3,Dividende_je_Aktie!A$3:AM$103,24,FALSE)</f>
        <v>1.3</v>
      </c>
      <c r="AO3" s="14">
        <f>VLOOKUP(A3,Dividende_je_Aktie!A$3:AM$103,20,FALSE)</f>
        <v>0.85071428571428576</v>
      </c>
      <c r="AP3" s="12">
        <f ca="1">VLOOKUP(A3,Dividende_je_Aktie!A$3:AM$103,25,FALSE)</f>
        <v>0.52812762384550793</v>
      </c>
      <c r="AQ3" s="40">
        <f>VLOOKUP(A3,Dividende_je_Aktie!A$3:AM$103,39,FALSE)</f>
        <v>0</v>
      </c>
      <c r="AR3" s="16">
        <f t="shared" ref="AR3:AR34" ca="1" si="9">IF(AQ3&gt;0,AN3,AN3*(1+AQ3))</f>
        <v>1.3</v>
      </c>
      <c r="AS3" s="12">
        <f t="shared" ref="AS3:AS34" ca="1" si="10">IF(AO3&gt;0,(AR3/AO3)-1,-99.99999)</f>
        <v>0.52812762384550793</v>
      </c>
      <c r="AT3" s="32">
        <f ca="1">IF(AP3&lt;Bewertung_Stammdaten!B$51,Bewertung_Stammdaten!A$51,IF(AP3&lt;Bewertung_Stammdaten!B$52,Bewertung_Stammdaten!A$52,IF(AP3&lt;Bewertung_Stammdaten!B$53,Bewertung_Stammdaten!A$53,IF(AP3&lt;Bewertung_Stammdaten!B$54,Bewertung_Stammdaten!A$54,IF(AP3&lt;Bewertung_Stammdaten!B$55,Bewertung_Stammdaten!A$55,IF(AP3&lt;Bewertung_Stammdaten!B$56,Bewertung_Stammdaten!A$56,IF(AP3&lt;Bewertung_Stammdaten!B$57,Bewertung_Stammdaten!A$57,IF(AP3&lt;Bewertung_Stammdaten!B$58,Bewertung_Stammdaten!A$58,IF(AP3&lt;Bewertung_Stammdaten!B$59,Bewertung_Stammdaten!A$59,Bewertung_Stammdaten!A$60)))))))))</f>
        <v>16</v>
      </c>
      <c r="AU3" s="32">
        <f>IF(AQ3&lt;Bewertung_Stammdaten!F$51,Bewertung_Stammdaten!E$51,IF(AQ3&lt;Bewertung_Stammdaten!F$52,Bewertung_Stammdaten!E$52,IF(AQ3&lt;Bewertung_Stammdaten!F$53,Bewertung_Stammdaten!E$53,IF(AQ3&lt;Bewertung_Stammdaten!F$54,Bewertung_Stammdaten!E$54,IF(AQ3&lt;Bewertung_Stammdaten!F$55,Bewertung_Stammdaten!E$55,IF(AQ3&lt;Bewertung_Stammdaten!F$56,Bewertung_Stammdaten!E$56,IF(AQ3&lt;Bewertung_Stammdaten!F$57,Bewertung_Stammdaten!E$57,IF(AQ3&lt;Bewertung_Stammdaten!F$58,Bewertung_Stammdaten!E$58,IF(AQ3&lt;Bewertung_Stammdaten!F$59,Bewertung_Stammdaten!E$59,Bewertung_Stammdaten!E$60)))))))))</f>
        <v>12</v>
      </c>
      <c r="AV3" s="32">
        <f ca="1">IF(AS3&lt;Bewertung_Stammdaten!J$51,Bewertung_Stammdaten!I$51,IF(AS3&lt;Bewertung_Stammdaten!J$52,Bewertung_Stammdaten!I$52,IF(AS3&lt;Bewertung_Stammdaten!J$53,Bewertung_Stammdaten!I$53,IF(AS3&lt;Bewertung_Stammdaten!J$54,Bewertung_Stammdaten!I$54,IF(AS3&lt;Bewertung_Stammdaten!J$55,Bewertung_Stammdaten!I$55,IF(AS3&lt;Bewertung_Stammdaten!J$56,Bewertung_Stammdaten!I$56,IF(AS3&lt;Bewertung_Stammdaten!J$57,Bewertung_Stammdaten!I$57,IF(AS3&lt;Bewertung_Stammdaten!J$58,Bewertung_Stammdaten!I$58,IF(AS3&lt;Bewertung_Stammdaten!J$59,Bewertung_Stammdaten!I$59,Bewertung_Stammdaten!I$60)))))))))</f>
        <v>9</v>
      </c>
      <c r="AW3" s="43"/>
      <c r="AX3" s="12">
        <f ca="1">VLOOKUP(A3,Dividendenrendite!A$3:R$103,17,FALSE)</f>
        <v>1.9256406458302473E-2</v>
      </c>
      <c r="AY3" s="12">
        <f>VLOOKUP(A3,Dividendenrendite!A$3:R$103,16,FALSE)</f>
        <v>1.5975533675952676E-2</v>
      </c>
      <c r="AZ3" s="12">
        <f ca="1">VLOOKUP(A3,Dividendenrendite!A$3:R$103,18,FALSE)</f>
        <v>0.2053685872972344</v>
      </c>
      <c r="BA3" s="32">
        <f ca="1">IF(AX3&lt;Bewertung_Stammdaten!B$64,Bewertung_Stammdaten!A$64,IF(AX3&lt;Bewertung_Stammdaten!B$65,Bewertung_Stammdaten!A$65,IF(AX3&lt;Bewertung_Stammdaten!B$66,Bewertung_Stammdaten!A$66,IF(AX3&lt;Bewertung_Stammdaten!B$67,Bewertung_Stammdaten!A$67,IF(AX3&lt;Bewertung_Stammdaten!B$68,Bewertung_Stammdaten!A$68,IF(AX3&lt;Bewertung_Stammdaten!B$69,Bewertung_Stammdaten!A$69,IF(AX3&lt;Bewertung_Stammdaten!B$70,Bewertung_Stammdaten!A$70,IF(AX3&lt;Bewertung_Stammdaten!B$71,Bewertung_Stammdaten!A$71,IF(AX3&lt;Bewertung_Stammdaten!B$72,Bewertung_Stammdaten!A$72,Bewertung_Stammdaten!A$73)))))))))</f>
        <v>6</v>
      </c>
      <c r="BB3" s="32">
        <f>IF(AY3&lt;Bewertung_Stammdaten!F$64,Bewertung_Stammdaten!E$64,IF(AY3&lt;Bewertung_Stammdaten!F$65,Bewertung_Stammdaten!E$65,IF(AY3&lt;Bewertung_Stammdaten!F$66,Bewertung_Stammdaten!E$66,IF(AY3&lt;Bewertung_Stammdaten!F$67,Bewertung_Stammdaten!E$67,IF(AY3&lt;Bewertung_Stammdaten!F$68,Bewertung_Stammdaten!E$68,IF(AY3&lt;Bewertung_Stammdaten!F$69,Bewertung_Stammdaten!E$69,IF(AY3&lt;Bewertung_Stammdaten!F$70,Bewertung_Stammdaten!E$70,IF(AY3&lt;Bewertung_Stammdaten!F$71,Bewertung_Stammdaten!E$71,IF(AY3&lt;Bewertung_Stammdaten!F$72,Bewertung_Stammdaten!E$72,Bewertung_Stammdaten!E$73)))))))))</f>
        <v>4</v>
      </c>
      <c r="BC3" s="32">
        <f ca="1">IF(AZ3&lt;Bewertung_Stammdaten!J$64,Bewertung_Stammdaten!I$64,IF(AZ3&lt;Bewertung_Stammdaten!J$65,Bewertung_Stammdaten!I$65,IF(AZ3&lt;Bewertung_Stammdaten!J$66,Bewertung_Stammdaten!I$66,IF(AZ3&lt;Bewertung_Stammdaten!J$67,Bewertung_Stammdaten!I$67,IF(AZ3&lt;Bewertung_Stammdaten!J$68,Bewertung_Stammdaten!I$68,IF(AZ3&lt;Bewertung_Stammdaten!J$69,Bewertung_Stammdaten!I$69,IF(AZ3&lt;Bewertung_Stammdaten!J$70,Bewertung_Stammdaten!I$70,IF(AZ3&lt;Bewertung_Stammdaten!J$71,Bewertung_Stammdaten!I$71,IF(AZ3&lt;Bewertung_Stammdaten!J$72,Bewertung_Stammdaten!I$72,Bewertung_Stammdaten!I$73)))))))))</f>
        <v>5</v>
      </c>
      <c r="BD3" s="43"/>
      <c r="BE3" s="12">
        <f>VLOOKUP(A3,Aktien_im_Umlauf_splitbereinigt!A$3:AB$103,28,FALSE)</f>
        <v>0</v>
      </c>
      <c r="BF3" s="12">
        <f>VLOOKUP(A3,Aktien_im_Umlauf_splitbereinigt!A$3:AA$103,26,FALSE)</f>
        <v>-2.9376754405981754E-3</v>
      </c>
      <c r="BG3" s="12">
        <f>VLOOKUP(A3,Aktien_im_Umlauf_splitbereinigt!A$3:AA$103,27,FALSE)</f>
        <v>-1</v>
      </c>
      <c r="BH3" s="41">
        <f>IF(BE3&lt;Bewertung_Stammdaten!B$77,Bewertung_Stammdaten!A$77,IF(BE3&lt;Bewertung_Stammdaten!B$78,Bewertung_Stammdaten!A$78,IF(BE3&lt;Bewertung_Stammdaten!B$79,Bewertung_Stammdaten!A$79,IF(BE3&lt;Bewertung_Stammdaten!B$80,Bewertung_Stammdaten!A$80,IF(BE3&lt;Bewertung_Stammdaten!B$81,Bewertung_Stammdaten!A$81,IF(BE3&lt;Bewertung_Stammdaten!B$82,Bewertung_Stammdaten!A$82,IF(BE3&lt;Bewertung_Stammdaten!B$83,Bewertung_Stammdaten!A$83,IF(BE3&lt;Bewertung_Stammdaten!B$84,Bewertung_Stammdaten!A$84,IF(BE3&lt;Bewertung_Stammdaten!B$85,Bewertung_Stammdaten!A$85,Bewertung_Stammdaten!A$86)))))))))</f>
        <v>2</v>
      </c>
      <c r="BI3" s="41">
        <f>IF(BF3&lt;Bewertung_Stammdaten!F$77,Bewertung_Stammdaten!E$77,IF(BF3&lt;Bewertung_Stammdaten!F$78,Bewertung_Stammdaten!E$78,IF(BF3&lt;Bewertung_Stammdaten!F$79,Bewertung_Stammdaten!E$79,IF(BF3&lt;Bewertung_Stammdaten!F$80,Bewertung_Stammdaten!E$80,IF(BF3&lt;Bewertung_Stammdaten!F$81,Bewertung_Stammdaten!E$81,IF(BF3&lt;Bewertung_Stammdaten!F$82,Bewertung_Stammdaten!E$82,IF(BF3&lt;Bewertung_Stammdaten!F$83,Bewertung_Stammdaten!E$83,IF(BF3&lt;Bewertung_Stammdaten!F$84,Bewertung_Stammdaten!E$84,IF(BF3&lt;Bewertung_Stammdaten!F$85,Bewertung_Stammdaten!E$85,Bewertung_Stammdaten!E$86)))))))))</f>
        <v>3</v>
      </c>
      <c r="BJ3" s="41">
        <f>IF(BG3&lt;Bewertung_Stammdaten!J$77,Bewertung_Stammdaten!I$77,IF(BG3&lt;Bewertung_Stammdaten!J$78,Bewertung_Stammdaten!I$78,IF(BG3&lt;Bewertung_Stammdaten!J$79,Bewertung_Stammdaten!I$79,IF(BG3&lt;Bewertung_Stammdaten!J$80,Bewertung_Stammdaten!I$80,IF(BG3&lt;Bewertung_Stammdaten!J$81,Bewertung_Stammdaten!I$81,IF(BG3&lt;Bewertung_Stammdaten!J$82,Bewertung_Stammdaten!I$82,IF(BG3&lt;Bewertung_Stammdaten!J$83,Bewertung_Stammdaten!I$83,IF(BG3&lt;Bewertung_Stammdaten!J$84,Bewertung_Stammdaten!I$84,IF(BG3&lt;Bewertung_Stammdaten!J$85,Bewertung_Stammdaten!I$85,Bewertung_Stammdaten!I$86)))))))))</f>
        <v>1</v>
      </c>
      <c r="BK3" s="43"/>
      <c r="BL3" s="12">
        <f ca="1">VLOOKUP(A3,Ausschüttungsquote!A$3:AL$103,37,FALSE)</f>
        <v>0.35831804371119502</v>
      </c>
      <c r="BM3" s="12">
        <f>VLOOKUP(A3,Ausschüttungsquote!A$3:AL$103,19,FALSE)</f>
        <v>0.39484761195350576</v>
      </c>
      <c r="BN3" s="12">
        <f ca="1">VLOOKUP(A3,Ausschüttungsquote!A$3:AL$103,38,FALSE)</f>
        <v>4.1429845243452501E-2</v>
      </c>
      <c r="BO3" s="32">
        <f ca="1">IF(BL3&lt;Bewertung_Stammdaten!B$90,Bewertung_Stammdaten!A$90,IF(BL3&lt;Bewertung_Stammdaten!B$91,Bewertung_Stammdaten!A$91,IF(BL3&lt;Bewertung_Stammdaten!B$92,Bewertung_Stammdaten!A$92,IF(BL3&lt;Bewertung_Stammdaten!B$93,Bewertung_Stammdaten!A$93,IF(BL3&lt;Bewertung_Stammdaten!B$94,Bewertung_Stammdaten!A$94,IF(BL3&lt;Bewertung_Stammdaten!B$95,Bewertung_Stammdaten!A$95,IF(BL3&lt;Bewertung_Stammdaten!B$96,Bewertung_Stammdaten!A$96,IF(BL3&lt;Bewertung_Stammdaten!B$97,Bewertung_Stammdaten!A$97,IF(BL3&lt;Bewertung_Stammdaten!B$98,Bewertung_Stammdaten!A$98,Bewertung_Stammdaten!A$99)))))))))</f>
        <v>10</v>
      </c>
      <c r="BP3" s="41">
        <f>IF(BM3&lt;Bewertung_Stammdaten!F$90,Bewertung_Stammdaten!E$90,IF(BM3&lt;Bewertung_Stammdaten!F$91,Bewertung_Stammdaten!E$91,IF(BM3&lt;Bewertung_Stammdaten!F$92,Bewertung_Stammdaten!E$92,IF(BM3&lt;Bewertung_Stammdaten!F$93,Bewertung_Stammdaten!E$93,IF(BM3&lt;Bewertung_Stammdaten!F$94,Bewertung_Stammdaten!E$94,IF(BM3&lt;Bewertung_Stammdaten!F$95,Bewertung_Stammdaten!E$95,IF(BM3&lt;Bewertung_Stammdaten!F$96,Bewertung_Stammdaten!E$96,IF(BM3&lt;Bewertung_Stammdaten!F$97,Bewertung_Stammdaten!E$97,IF(BM3&lt;Bewertung_Stammdaten!F$98,Bewertung_Stammdaten!E$98,Bewertung_Stammdaten!E$99)))))))))</f>
        <v>10</v>
      </c>
      <c r="BQ3" s="32">
        <f ca="1">IF(BN3&lt;Bewertung_Stammdaten!J$90,Bewertung_Stammdaten!I$90,IF(BN3&lt;Bewertung_Stammdaten!J$91,Bewertung_Stammdaten!I$91,IF(BN3&lt;Bewertung_Stammdaten!J$92,Bewertung_Stammdaten!I$92,IF(BN3&lt;Bewertung_Stammdaten!J$93,Bewertung_Stammdaten!I$93,IF(BN3&lt;Bewertung_Stammdaten!J$94,Bewertung_Stammdaten!I$94,IF(BN3&lt;Bewertung_Stammdaten!J$95,Bewertung_Stammdaten!I$95,IF(BN3&lt;Bewertung_Stammdaten!J$96,Bewertung_Stammdaten!I$96,IF(BN3&lt;Bewertung_Stammdaten!J$97,Bewertung_Stammdaten!I$97,IF(BN3&lt;Bewertung_Stammdaten!J$98,Bewertung_Stammdaten!I$98,Bewertung_Stammdaten!I$99)))))))))</f>
        <v>5</v>
      </c>
    </row>
    <row r="4" spans="1:69">
      <c r="A4" s="55" t="s">
        <v>279</v>
      </c>
      <c r="B4" s="55" t="s">
        <v>280</v>
      </c>
      <c r="C4" s="38" t="s">
        <v>283</v>
      </c>
      <c r="D4" s="32">
        <f t="shared" ca="1" si="0"/>
        <v>219.5</v>
      </c>
      <c r="E4" s="43"/>
      <c r="F4" s="60">
        <v>1</v>
      </c>
      <c r="G4" s="11">
        <f ca="1">VLOOKUP(A4,KGV!A$3:R$103,17,FALSE)</f>
        <v>13.166904422253923</v>
      </c>
      <c r="H4" s="11">
        <f>VLOOKUP(A4,KGV!A$3:R$103,16,FALSE)</f>
        <v>15.282051282051283</v>
      </c>
      <c r="I4" s="12">
        <f ca="1">VLOOKUP(A4,KGV!A$3:R$103,18,FALSE)</f>
        <v>-0.13840726095989431</v>
      </c>
      <c r="J4" s="16">
        <f t="shared" ca="1" si="1"/>
        <v>16.427280755383467</v>
      </c>
      <c r="K4" s="12">
        <f t="shared" ca="1" si="2"/>
        <v>7.4939512516703388E-2</v>
      </c>
      <c r="L4" s="11">
        <f ca="1">VLOOKUP(A4,KBV!A$3:R$103,17,FALSE)</f>
        <v>2.0995829647415647</v>
      </c>
      <c r="M4" s="11">
        <f>VLOOKUP(A4,KBV!A$3:R$103,16,FALSE)</f>
        <v>2.3074842200180341</v>
      </c>
      <c r="N4" s="12">
        <f ca="1">VLOOKUP(A4,KBV!A$3:R$103,18,FALSE)</f>
        <v>-9.0098668269482096E-2</v>
      </c>
      <c r="O4" s="16">
        <f t="shared" ca="1" si="3"/>
        <v>2.0995829647415647</v>
      </c>
      <c r="P4" s="12">
        <f t="shared" ca="1" si="4"/>
        <v>-9.0098668269482096E-2</v>
      </c>
      <c r="Q4" s="32">
        <f ca="1">IF(F4=1,IF(I4&lt;Bewertung_Stammdaten!B$12,Bewertung_Stammdaten!A$12,IF(I4&lt;Bewertung_Stammdaten!B$13,Bewertung_Stammdaten!A$13,IF(I4&lt;Bewertung_Stammdaten!B$14,Bewertung_Stammdaten!A$14,IF(I4&lt;Bewertung_Stammdaten!B$15,Bewertung_Stammdaten!A$15,IF(I4&lt;Bewertung_Stammdaten!B$16,Bewertung_Stammdaten!A$16,IF(I4&lt;Bewertung_Stammdaten!B$17,Bewertung_Stammdaten!A$17,IF(I4&lt;Bewertung_Stammdaten!B$18,Bewertung_Stammdaten!A$18,IF(I4&lt;Bewertung_Stammdaten!B$19,Bewertung_Stammdaten!A$19,IF(I4&lt;Bewertung_Stammdaten!B$20,Bewertung_Stammdaten!A$20,Bewertung_Stammdaten!A$21))))))))),IF(N4&lt;Bewertung_Stammdaten!C$12,Bewertung_Stammdaten!A$12,IF(N4&lt;Bewertung_Stammdaten!C$13,Bewertung_Stammdaten!A$13,IF(N4&lt;Bewertung_Stammdaten!C$14,Bewertung_Stammdaten!A$14,IF(N4&lt;Bewertung_Stammdaten!C$15,Bewertung_Stammdaten!A$15,IF(N4&lt;Bewertung_Stammdaten!C$16,Bewertung_Stammdaten!A$16,IF(N4&lt;Bewertung_Stammdaten!C$17,Bewertung_Stammdaten!A$17,IF(N4&lt;Bewertung_Stammdaten!C$18,Bewertung_Stammdaten!A$18,IF(N4&lt;Bewertung_Stammdaten!C$19,Bewertung_Stammdaten!A$19,IF(N4&lt;Bewertung_Stammdaten!C$20,Bewertung_Stammdaten!A$20,Bewertung_Stammdaten!A$21))))))))))</f>
        <v>54</v>
      </c>
      <c r="R4" s="32">
        <f ca="1">IF(F4=1,IF(K4&lt;Bewertung_Stammdaten!F$12,Bewertung_Stammdaten!E$12,IF(K4&lt;Bewertung_Stammdaten!F$13,Bewertung_Stammdaten!E$13,IF(K4&lt;Bewertung_Stammdaten!F$14,Bewertung_Stammdaten!E$14,IF(K4&lt;Bewertung_Stammdaten!F$15,Bewertung_Stammdaten!E$15,IF(K4&lt;Bewertung_Stammdaten!F$16,Bewertung_Stammdaten!E$16,IF(K4&lt;Bewertung_Stammdaten!F$17,Bewertung_Stammdaten!E$17,IF(K4&lt;Bewertung_Stammdaten!F$18,Bewertung_Stammdaten!E$18,IF(K4&lt;Bewertung_Stammdaten!F$19,Bewertung_Stammdaten!E$19,IF(K4&lt;Bewertung_Stammdaten!F$20,Bewertung_Stammdaten!E$20,Bewertung_Stammdaten!E$21))))))))),IF(P4&lt;Bewertung_Stammdaten!G$12,Bewertung_Stammdaten!E$12,IF(P4&lt;Bewertung_Stammdaten!G$13,Bewertung_Stammdaten!E$13,IF(P4&lt;Bewertung_Stammdaten!G$14,Bewertung_Stammdaten!E$14,IF(P4&lt;Bewertung_Stammdaten!G$15,Bewertung_Stammdaten!E$15,IF(P4&lt;Bewertung_Stammdaten!G$16,Bewertung_Stammdaten!E$16,IF(P4&lt;Bewertung_Stammdaten!G$17,Bewertung_Stammdaten!E$17,IF(P4&lt;Bewertung_Stammdaten!G$18,Bewertung_Stammdaten!E$18,IF(P4&lt;Bewertung_Stammdaten!G$19,Bewertung_Stammdaten!E$19,IF(P4&lt;Bewertung_Stammdaten!G$20,Bewertung_Stammdaten!E$20,Bewertung_Stammdaten!E$21))))))))))</f>
        <v>20</v>
      </c>
      <c r="S4" s="43"/>
      <c r="T4" s="11">
        <f ca="1">VLOOKUP(A4,Buchwert_je_Aktie!A$3:AK$103,23,FALSE)</f>
        <v>13.188333333333333</v>
      </c>
      <c r="U4" s="11">
        <f>VLOOKUP(A4,Buchwert_je_Aktie!A$3:AK$103,19,FALSE)</f>
        <v>9.3430769230769233</v>
      </c>
      <c r="V4" s="12">
        <f ca="1">VLOOKUP(A4,Buchwert_je_Aktie!A$3:AK$103,24,FALSE)</f>
        <v>0.4115621054942642</v>
      </c>
      <c r="W4" s="12">
        <f>VLOOKUP(A4,Buchwert_je_Aktie!A$3:AK$103,37,FALSE)</f>
        <v>1.0938924339106482E-2</v>
      </c>
      <c r="X4" s="16">
        <f t="shared" ca="1" si="5"/>
        <v>13.188333333333333</v>
      </c>
      <c r="Y4" s="12">
        <f t="shared" ca="1" si="6"/>
        <v>0.4115621054942642</v>
      </c>
      <c r="Z4" s="51">
        <f ca="1">IF(V4&lt;Bewertung_Stammdaten!B$25,Bewertung_Stammdaten!A$25,IF(V4&lt;Bewertung_Stammdaten!B$26,Bewertung_Stammdaten!A$26,IF(V4&lt;Bewertung_Stammdaten!B$27,Bewertung_Stammdaten!A$27,IF(V4&lt;Bewertung_Stammdaten!B$28,Bewertung_Stammdaten!A$28,IF(V4&lt;Bewertung_Stammdaten!B$29,Bewertung_Stammdaten!A$29,IF(V4&lt;Bewertung_Stammdaten!B$30,Bewertung_Stammdaten!A$30,IF(V4&lt;Bewertung_Stammdaten!B$31,Bewertung_Stammdaten!A$31,IF(V4&lt;Bewertung_Stammdaten!B$32,Bewertung_Stammdaten!A$32,IF(V4&lt;Bewertung_Stammdaten!B$33,Bewertung_Stammdaten!A$33,Bewertung_Stammdaten!A$34)))))))))</f>
        <v>10.5</v>
      </c>
      <c r="AA4" s="51">
        <f>IF(W4&lt;Bewertung_Stammdaten!F$25,Bewertung_Stammdaten!E$25,IF(W4&lt;Bewertung_Stammdaten!F$26,Bewertung_Stammdaten!E$26,IF(W4&lt;Bewertung_Stammdaten!F$27,Bewertung_Stammdaten!E$27,IF(W4&lt;Bewertung_Stammdaten!F$28,Bewertung_Stammdaten!E$28,IF(W4&lt;Bewertung_Stammdaten!F$29,Bewertung_Stammdaten!E$29,IF(W4&lt;Bewertung_Stammdaten!F$30,Bewertung_Stammdaten!E$30,IF(W4&lt;Bewertung_Stammdaten!F$31,Bewertung_Stammdaten!E$31,IF(W4&lt;Bewertung_Stammdaten!F$32,Bewertung_Stammdaten!E$32,IF(W4&lt;Bewertung_Stammdaten!F$33,Bewertung_Stammdaten!E$33,Bewertung_Stammdaten!E$34)))))))))</f>
        <v>12</v>
      </c>
      <c r="AB4" s="51">
        <f ca="1">IF(Y4&lt;Bewertung_Stammdaten!J$25,Bewertung_Stammdaten!I$25,IF(Y4&lt;Bewertung_Stammdaten!J$26,Bewertung_Stammdaten!I$26,IF(Y4&lt;Bewertung_Stammdaten!J$27,Bewertung_Stammdaten!I$27,IF(Y4&lt;Bewertung_Stammdaten!J$28,Bewertung_Stammdaten!I$28,IF(Y4&lt;Bewertung_Stammdaten!J$29,Bewertung_Stammdaten!I$29,IF(Y4&lt;Bewertung_Stammdaten!J$30,Bewertung_Stammdaten!I$30,IF(Y4&lt;Bewertung_Stammdaten!J$31,Bewertung_Stammdaten!I$31,IF(Y4&lt;Bewertung_Stammdaten!J$32,Bewertung_Stammdaten!I$32,IF(Y4&lt;Bewertung_Stammdaten!J$33,Bewertung_Stammdaten!I$33,Bewertung_Stammdaten!I$34)))))))))</f>
        <v>7</v>
      </c>
      <c r="AC4" s="43"/>
      <c r="AD4" s="14">
        <f ca="1">VLOOKUP(A4,Ergebnis_je_Aktie_verwässert!A$3:AK$103,23,FALSE)</f>
        <v>2.1030000000000002</v>
      </c>
      <c r="AE4" s="14">
        <f>VLOOKUP(A4,Ergebnis_je_Aktie_verwässert!A$3:AK$103,19,FALSE)</f>
        <v>1.5238461538461541</v>
      </c>
      <c r="AF4" s="12">
        <f ca="1">VLOOKUP(A4,Ergebnis_je_Aktie_verwässert!A$3:AK$103,24,FALSE)</f>
        <v>0.38006057546693572</v>
      </c>
      <c r="AG4" s="40">
        <f>VLOOKUP(A4,Ergebnis_je_Aktie_verwässert!A$3:AK$103,37,FALSE)</f>
        <v>-0.19847328244274809</v>
      </c>
      <c r="AH4" s="16">
        <f t="shared" ca="1" si="7"/>
        <v>1.6856106870229008</v>
      </c>
      <c r="AI4" s="12">
        <f t="shared" ca="1" si="8"/>
        <v>0.10615542308418524</v>
      </c>
      <c r="AJ4" s="32">
        <f ca="1">IF(AF4&lt;Bewertung_Stammdaten!B$38,Bewertung_Stammdaten!A$38,IF(AF4&lt;Bewertung_Stammdaten!B$39,Bewertung_Stammdaten!A$39,IF(AF4&lt;Bewertung_Stammdaten!B$40,Bewertung_Stammdaten!A$40,IF(AF4&lt;Bewertung_Stammdaten!B$41,Bewertung_Stammdaten!A$41,IF(AF4&lt;Bewertung_Stammdaten!B$42,Bewertung_Stammdaten!A$42,IF(AF4&lt;Bewertung_Stammdaten!B$43,Bewertung_Stammdaten!A$43,IF(AF4&lt;Bewertung_Stammdaten!B$44,Bewertung_Stammdaten!A$44,IF(AF4&lt;Bewertung_Stammdaten!B$45,Bewertung_Stammdaten!A$45,IF(AF4&lt;Bewertung_Stammdaten!B$46,Bewertung_Stammdaten!A$46,Bewertung_Stammdaten!A$47)))))))))</f>
        <v>14</v>
      </c>
      <c r="AK4" s="32">
        <f>IF(AG4&lt;Bewertung_Stammdaten!F$38,Bewertung_Stammdaten!E$38,IF(AG4&lt;Bewertung_Stammdaten!F$39,Bewertung_Stammdaten!E$39,IF(AG4&lt;Bewertung_Stammdaten!F$40,Bewertung_Stammdaten!E$40,IF(AG4&lt;Bewertung_Stammdaten!F$41,Bewertung_Stammdaten!E$41,IF(AG4&lt;Bewertung_Stammdaten!F$42,Bewertung_Stammdaten!E$42,IF(AG4&lt;Bewertung_Stammdaten!F$43,Bewertung_Stammdaten!E$43,IF(AG4&lt;Bewertung_Stammdaten!F$44,Bewertung_Stammdaten!E$44,IF(AG4&lt;Bewertung_Stammdaten!F$45,Bewertung_Stammdaten!E$45,IF(AG4&lt;Bewertung_Stammdaten!F$46,Bewertung_Stammdaten!E$46,Bewertung_Stammdaten!E$47)))))))))</f>
        <v>9</v>
      </c>
      <c r="AL4" s="32">
        <f ca="1">IF(AI4&lt;Bewertung_Stammdaten!J$38,Bewertung_Stammdaten!I$38,IF(AI4&lt;Bewertung_Stammdaten!J$39,Bewertung_Stammdaten!I$39,IF(AI4&lt;Bewertung_Stammdaten!J$40,Bewertung_Stammdaten!I$40,IF(AI4&lt;Bewertung_Stammdaten!J$41,Bewertung_Stammdaten!I$41,IF(AI4&lt;Bewertung_Stammdaten!J$42,Bewertung_Stammdaten!I$42,IF(AI4&lt;Bewertung_Stammdaten!J$43,Bewertung_Stammdaten!I$43,IF(AI4&lt;Bewertung_Stammdaten!J$44,Bewertung_Stammdaten!I$44,IF(AI4&lt;Bewertung_Stammdaten!J$45,Bewertung_Stammdaten!I$45,IF(AI4&lt;Bewertung_Stammdaten!J$46,Bewertung_Stammdaten!I$46,Bewertung_Stammdaten!I$47)))))))))</f>
        <v>5</v>
      </c>
      <c r="AM4" s="43"/>
      <c r="AN4" s="14">
        <f ca="1">VLOOKUP(A4,Dividende_je_Aktie!A$3:AM$103,24,FALSE)</f>
        <v>0.96883333333333344</v>
      </c>
      <c r="AO4" s="14">
        <f>VLOOKUP(A4,Dividende_je_Aktie!A$3:AM$103,20,FALSE)</f>
        <v>0.39642857142857146</v>
      </c>
      <c r="AP4" s="12">
        <f ca="1">VLOOKUP(A4,Dividende_je_Aktie!A$3:AM$103,25,FALSE)</f>
        <v>1.4439039039039039</v>
      </c>
      <c r="AQ4" s="40">
        <f>VLOOKUP(A4,Dividende_je_Aktie!A$3:AM$103,39,FALSE)</f>
        <v>0</v>
      </c>
      <c r="AR4" s="16">
        <f t="shared" ca="1" si="9"/>
        <v>0.96883333333333344</v>
      </c>
      <c r="AS4" s="12">
        <f t="shared" ca="1" si="10"/>
        <v>1.4439039039039039</v>
      </c>
      <c r="AT4" s="32">
        <f ca="1">IF(AP4&lt;Bewertung_Stammdaten!B$51,Bewertung_Stammdaten!A$51,IF(AP4&lt;Bewertung_Stammdaten!B$52,Bewertung_Stammdaten!A$52,IF(AP4&lt;Bewertung_Stammdaten!B$53,Bewertung_Stammdaten!A$53,IF(AP4&lt;Bewertung_Stammdaten!B$54,Bewertung_Stammdaten!A$54,IF(AP4&lt;Bewertung_Stammdaten!B$55,Bewertung_Stammdaten!A$55,IF(AP4&lt;Bewertung_Stammdaten!B$56,Bewertung_Stammdaten!A$56,IF(AP4&lt;Bewertung_Stammdaten!B$57,Bewertung_Stammdaten!A$57,IF(AP4&lt;Bewertung_Stammdaten!B$58,Bewertung_Stammdaten!A$58,IF(AP4&lt;Bewertung_Stammdaten!B$59,Bewertung_Stammdaten!A$59,Bewertung_Stammdaten!A$60)))))))))</f>
        <v>20</v>
      </c>
      <c r="AU4" s="32">
        <f>IF(AQ4&lt;Bewertung_Stammdaten!F$51,Bewertung_Stammdaten!E$51,IF(AQ4&lt;Bewertung_Stammdaten!F$52,Bewertung_Stammdaten!E$52,IF(AQ4&lt;Bewertung_Stammdaten!F$53,Bewertung_Stammdaten!E$53,IF(AQ4&lt;Bewertung_Stammdaten!F$54,Bewertung_Stammdaten!E$54,IF(AQ4&lt;Bewertung_Stammdaten!F$55,Bewertung_Stammdaten!E$55,IF(AQ4&lt;Bewertung_Stammdaten!F$56,Bewertung_Stammdaten!E$56,IF(AQ4&lt;Bewertung_Stammdaten!F$57,Bewertung_Stammdaten!E$57,IF(AQ4&lt;Bewertung_Stammdaten!F$58,Bewertung_Stammdaten!E$58,IF(AQ4&lt;Bewertung_Stammdaten!F$59,Bewertung_Stammdaten!E$59,Bewertung_Stammdaten!E$60)))))))))</f>
        <v>12</v>
      </c>
      <c r="AV4" s="32">
        <f ca="1">IF(AS4&lt;Bewertung_Stammdaten!J$51,Bewertung_Stammdaten!I$51,IF(AS4&lt;Bewertung_Stammdaten!J$52,Bewertung_Stammdaten!I$52,IF(AS4&lt;Bewertung_Stammdaten!J$53,Bewertung_Stammdaten!I$53,IF(AS4&lt;Bewertung_Stammdaten!J$54,Bewertung_Stammdaten!I$54,IF(AS4&lt;Bewertung_Stammdaten!J$55,Bewertung_Stammdaten!I$55,IF(AS4&lt;Bewertung_Stammdaten!J$56,Bewertung_Stammdaten!I$56,IF(AS4&lt;Bewertung_Stammdaten!J$57,Bewertung_Stammdaten!I$57,IF(AS4&lt;Bewertung_Stammdaten!J$58,Bewertung_Stammdaten!I$58,IF(AS4&lt;Bewertung_Stammdaten!J$59,Bewertung_Stammdaten!I$59,Bewertung_Stammdaten!I$60)))))))))</f>
        <v>10</v>
      </c>
      <c r="AW4" s="43"/>
      <c r="AX4" s="12">
        <f ca="1">VLOOKUP(A4,Dividendenrendite!A$3:R$103,17,FALSE)</f>
        <v>3.4988563861803303E-2</v>
      </c>
      <c r="AY4" s="12">
        <f>VLOOKUP(A4,Dividendenrendite!A$3:R$103,16,FALSE)</f>
        <v>1.3403038160925366E-2</v>
      </c>
      <c r="AZ4" s="12">
        <f ca="1">VLOOKUP(A4,Dividendenrendite!A$3:R$103,18,FALSE)</f>
        <v>1.6104949819368146</v>
      </c>
      <c r="BA4" s="32">
        <f ca="1">IF(AX4&lt;Bewertung_Stammdaten!B$64,Bewertung_Stammdaten!A$64,IF(AX4&lt;Bewertung_Stammdaten!B$65,Bewertung_Stammdaten!A$65,IF(AX4&lt;Bewertung_Stammdaten!B$66,Bewertung_Stammdaten!A$66,IF(AX4&lt;Bewertung_Stammdaten!B$67,Bewertung_Stammdaten!A$67,IF(AX4&lt;Bewertung_Stammdaten!B$68,Bewertung_Stammdaten!A$68,IF(AX4&lt;Bewertung_Stammdaten!B$69,Bewertung_Stammdaten!A$69,IF(AX4&lt;Bewertung_Stammdaten!B$70,Bewertung_Stammdaten!A$70,IF(AX4&lt;Bewertung_Stammdaten!B$71,Bewertung_Stammdaten!A$71,IF(AX4&lt;Bewertung_Stammdaten!B$72,Bewertung_Stammdaten!A$72,Bewertung_Stammdaten!A$73)))))))))</f>
        <v>10.5</v>
      </c>
      <c r="BB4" s="32">
        <f>IF(AY4&lt;Bewertung_Stammdaten!F$64,Bewertung_Stammdaten!E$64,IF(AY4&lt;Bewertung_Stammdaten!F$65,Bewertung_Stammdaten!E$65,IF(AY4&lt;Bewertung_Stammdaten!F$66,Bewertung_Stammdaten!E$66,IF(AY4&lt;Bewertung_Stammdaten!F$67,Bewertung_Stammdaten!E$67,IF(AY4&lt;Bewertung_Stammdaten!F$68,Bewertung_Stammdaten!E$68,IF(AY4&lt;Bewertung_Stammdaten!F$69,Bewertung_Stammdaten!E$69,IF(AY4&lt;Bewertung_Stammdaten!F$70,Bewertung_Stammdaten!E$70,IF(AY4&lt;Bewertung_Stammdaten!F$71,Bewertung_Stammdaten!E$71,IF(AY4&lt;Bewertung_Stammdaten!F$72,Bewertung_Stammdaten!E$72,Bewertung_Stammdaten!E$73)))))))))</f>
        <v>3</v>
      </c>
      <c r="BC4" s="32">
        <f ca="1">IF(AZ4&lt;Bewertung_Stammdaten!J$64,Bewertung_Stammdaten!I$64,IF(AZ4&lt;Bewertung_Stammdaten!J$65,Bewertung_Stammdaten!I$65,IF(AZ4&lt;Bewertung_Stammdaten!J$66,Bewertung_Stammdaten!I$66,IF(AZ4&lt;Bewertung_Stammdaten!J$67,Bewertung_Stammdaten!I$67,IF(AZ4&lt;Bewertung_Stammdaten!J$68,Bewertung_Stammdaten!I$68,IF(AZ4&lt;Bewertung_Stammdaten!J$69,Bewertung_Stammdaten!I$69,IF(AZ4&lt;Bewertung_Stammdaten!J$70,Bewertung_Stammdaten!I$70,IF(AZ4&lt;Bewertung_Stammdaten!J$71,Bewertung_Stammdaten!I$71,IF(AZ4&lt;Bewertung_Stammdaten!J$72,Bewertung_Stammdaten!I$72,Bewertung_Stammdaten!I$73)))))))))</f>
        <v>5</v>
      </c>
      <c r="BD4" s="43"/>
      <c r="BE4" s="12">
        <f>VLOOKUP(A4,Aktien_im_Umlauf_splitbereinigt!A$3:AB$103,28,FALSE)</f>
        <v>-4.3078128059526044E-3</v>
      </c>
      <c r="BF4" s="12">
        <f>VLOOKUP(A4,Aktien_im_Umlauf_splitbereinigt!A$3:AA$103,26,FALSE)</f>
        <v>-2.1473015045274789E-2</v>
      </c>
      <c r="BG4" s="12">
        <f>VLOOKUP(A4,Aktien_im_Umlauf_splitbereinigt!A$3:AA$103,27,FALSE)</f>
        <v>-0.79938481871922529</v>
      </c>
      <c r="BH4" s="41">
        <f>IF(BE4&lt;Bewertung_Stammdaten!B$77,Bewertung_Stammdaten!A$77,IF(BE4&lt;Bewertung_Stammdaten!B$78,Bewertung_Stammdaten!A$78,IF(BE4&lt;Bewertung_Stammdaten!B$79,Bewertung_Stammdaten!A$79,IF(BE4&lt;Bewertung_Stammdaten!B$80,Bewertung_Stammdaten!A$80,IF(BE4&lt;Bewertung_Stammdaten!B$81,Bewertung_Stammdaten!A$81,IF(BE4&lt;Bewertung_Stammdaten!B$82,Bewertung_Stammdaten!A$82,IF(BE4&lt;Bewertung_Stammdaten!B$83,Bewertung_Stammdaten!A$83,IF(BE4&lt;Bewertung_Stammdaten!B$84,Bewertung_Stammdaten!A$84,IF(BE4&lt;Bewertung_Stammdaten!B$85,Bewertung_Stammdaten!A$85,Bewertung_Stammdaten!A$86)))))))))</f>
        <v>3</v>
      </c>
      <c r="BI4" s="41">
        <f>IF(BF4&lt;Bewertung_Stammdaten!F$77,Bewertung_Stammdaten!E$77,IF(BF4&lt;Bewertung_Stammdaten!F$78,Bewertung_Stammdaten!E$78,IF(BF4&lt;Bewertung_Stammdaten!F$79,Bewertung_Stammdaten!E$79,IF(BF4&lt;Bewertung_Stammdaten!F$80,Bewertung_Stammdaten!E$80,IF(BF4&lt;Bewertung_Stammdaten!F$81,Bewertung_Stammdaten!E$81,IF(BF4&lt;Bewertung_Stammdaten!F$82,Bewertung_Stammdaten!E$82,IF(BF4&lt;Bewertung_Stammdaten!F$83,Bewertung_Stammdaten!E$83,IF(BF4&lt;Bewertung_Stammdaten!F$84,Bewertung_Stammdaten!E$84,IF(BF4&lt;Bewertung_Stammdaten!F$85,Bewertung_Stammdaten!E$85,Bewertung_Stammdaten!E$86)))))))))</f>
        <v>7</v>
      </c>
      <c r="BJ4" s="41">
        <f>IF(BG4&lt;Bewertung_Stammdaten!J$77,Bewertung_Stammdaten!I$77,IF(BG4&lt;Bewertung_Stammdaten!J$78,Bewertung_Stammdaten!I$78,IF(BG4&lt;Bewertung_Stammdaten!J$79,Bewertung_Stammdaten!I$79,IF(BG4&lt;Bewertung_Stammdaten!J$80,Bewertung_Stammdaten!I$80,IF(BG4&lt;Bewertung_Stammdaten!J$81,Bewertung_Stammdaten!I$81,IF(BG4&lt;Bewertung_Stammdaten!J$82,Bewertung_Stammdaten!I$82,IF(BG4&lt;Bewertung_Stammdaten!J$83,Bewertung_Stammdaten!I$83,IF(BG4&lt;Bewertung_Stammdaten!J$84,Bewertung_Stammdaten!I$84,IF(BG4&lt;Bewertung_Stammdaten!J$85,Bewertung_Stammdaten!I$85,Bewertung_Stammdaten!I$86)))))))))</f>
        <v>1.5</v>
      </c>
      <c r="BK4" s="43"/>
      <c r="BL4" s="12">
        <f ca="1">VLOOKUP(A4,Ausschüttungsquote!A$3:AL$103,37,FALSE)</f>
        <v>0.46046131770165477</v>
      </c>
      <c r="BM4" s="12">
        <f>VLOOKUP(A4,Ausschüttungsquote!A$3:AL$103,19,FALSE)</f>
        <v>0.53052785038713313</v>
      </c>
      <c r="BN4" s="12">
        <f ca="1">VLOOKUP(A4,Ausschüttungsquote!A$3:AL$103,38,FALSE)</f>
        <v>0.9939302814235389</v>
      </c>
      <c r="BO4" s="32">
        <f ca="1">IF(BL4&lt;Bewertung_Stammdaten!B$90,Bewertung_Stammdaten!A$90,IF(BL4&lt;Bewertung_Stammdaten!B$91,Bewertung_Stammdaten!A$91,IF(BL4&lt;Bewertung_Stammdaten!B$92,Bewertung_Stammdaten!A$92,IF(BL4&lt;Bewertung_Stammdaten!B$93,Bewertung_Stammdaten!A$93,IF(BL4&lt;Bewertung_Stammdaten!B$94,Bewertung_Stammdaten!A$94,IF(BL4&lt;Bewertung_Stammdaten!B$95,Bewertung_Stammdaten!A$95,IF(BL4&lt;Bewertung_Stammdaten!B$96,Bewertung_Stammdaten!A$96,IF(BL4&lt;Bewertung_Stammdaten!B$97,Bewertung_Stammdaten!A$97,IF(BL4&lt;Bewertung_Stammdaten!B$98,Bewertung_Stammdaten!A$98,Bewertung_Stammdaten!A$99)))))))))</f>
        <v>8</v>
      </c>
      <c r="BP4" s="41">
        <f>IF(BM4&lt;Bewertung_Stammdaten!F$90,Bewertung_Stammdaten!E$90,IF(BM4&lt;Bewertung_Stammdaten!F$91,Bewertung_Stammdaten!E$91,IF(BM4&lt;Bewertung_Stammdaten!F$92,Bewertung_Stammdaten!E$92,IF(BM4&lt;Bewertung_Stammdaten!F$93,Bewertung_Stammdaten!E$93,IF(BM4&lt;Bewertung_Stammdaten!F$94,Bewertung_Stammdaten!E$94,IF(BM4&lt;Bewertung_Stammdaten!F$95,Bewertung_Stammdaten!E$95,IF(BM4&lt;Bewertung_Stammdaten!F$96,Bewertung_Stammdaten!E$96,IF(BM4&lt;Bewertung_Stammdaten!F$97,Bewertung_Stammdaten!E$97,IF(BM4&lt;Bewertung_Stammdaten!F$98,Bewertung_Stammdaten!E$98,Bewertung_Stammdaten!E$99)))))))))</f>
        <v>7</v>
      </c>
      <c r="BQ4" s="32">
        <f ca="1">IF(BN4&lt;Bewertung_Stammdaten!J$90,Bewertung_Stammdaten!I$90,IF(BN4&lt;Bewertung_Stammdaten!J$91,Bewertung_Stammdaten!I$91,IF(BN4&lt;Bewertung_Stammdaten!J$92,Bewertung_Stammdaten!I$92,IF(BN4&lt;Bewertung_Stammdaten!J$93,Bewertung_Stammdaten!I$93,IF(BN4&lt;Bewertung_Stammdaten!J$94,Bewertung_Stammdaten!I$94,IF(BN4&lt;Bewertung_Stammdaten!J$95,Bewertung_Stammdaten!I$95,IF(BN4&lt;Bewertung_Stammdaten!J$96,Bewertung_Stammdaten!I$96,IF(BN4&lt;Bewertung_Stammdaten!J$97,Bewertung_Stammdaten!I$97,IF(BN4&lt;Bewertung_Stammdaten!J$98,Bewertung_Stammdaten!I$98,Bewertung_Stammdaten!I$99)))))))))</f>
        <v>1</v>
      </c>
    </row>
    <row r="5" spans="1:69">
      <c r="A5" s="38" t="s">
        <v>70</v>
      </c>
      <c r="B5" s="38" t="s">
        <v>71</v>
      </c>
      <c r="C5" s="38" t="s">
        <v>283</v>
      </c>
      <c r="D5" s="32">
        <f t="shared" ca="1" si="0"/>
        <v>212.5</v>
      </c>
      <c r="E5" s="43"/>
      <c r="F5" s="60">
        <v>1</v>
      </c>
      <c r="G5" s="11">
        <f ca="1">VLOOKUP(A5,KGV!A$3:R$103,17,FALSE)</f>
        <v>12.954319761668319</v>
      </c>
      <c r="H5" s="11">
        <f>VLOOKUP(A5,KGV!A$3:R$103,16,FALSE)</f>
        <v>14.66865671641791</v>
      </c>
      <c r="I5" s="12">
        <f ca="1">VLOOKUP(A5,KGV!A$3:R$103,18,FALSE)</f>
        <v>-0.11687075291841942</v>
      </c>
      <c r="J5" s="16">
        <f t="shared" ca="1" si="1"/>
        <v>14.947292032694214</v>
      </c>
      <c r="K5" s="12">
        <f t="shared" ca="1" si="2"/>
        <v>1.8995285094131509E-2</v>
      </c>
      <c r="L5" s="11">
        <f ca="1">VLOOKUP(A5,KBV!A$3:R$103,17,FALSE)</f>
        <v>7.5198155353797373</v>
      </c>
      <c r="M5" s="11">
        <f>VLOOKUP(A5,KBV!A$3:R$103,16,FALSE)</f>
        <v>7.1658914728682168</v>
      </c>
      <c r="N5" s="12">
        <f ca="1">VLOOKUP(A5,KBV!A$3:R$103,18,FALSE)</f>
        <v>4.9390095266103495E-2</v>
      </c>
      <c r="O5" s="16">
        <f t="shared" ca="1" si="3"/>
        <v>7.5198155353797373</v>
      </c>
      <c r="P5" s="12">
        <f t="shared" ca="1" si="4"/>
        <v>4.9390095266103495E-2</v>
      </c>
      <c r="Q5" s="32">
        <f ca="1">IF(F5=1,IF(I5&lt;Bewertung_Stammdaten!B$12,Bewertung_Stammdaten!A$12,IF(I5&lt;Bewertung_Stammdaten!B$13,Bewertung_Stammdaten!A$13,IF(I5&lt;Bewertung_Stammdaten!B$14,Bewertung_Stammdaten!A$14,IF(I5&lt;Bewertung_Stammdaten!B$15,Bewertung_Stammdaten!A$15,IF(I5&lt;Bewertung_Stammdaten!B$16,Bewertung_Stammdaten!A$16,IF(I5&lt;Bewertung_Stammdaten!B$17,Bewertung_Stammdaten!A$17,IF(I5&lt;Bewertung_Stammdaten!B$18,Bewertung_Stammdaten!A$18,IF(I5&lt;Bewertung_Stammdaten!B$19,Bewertung_Stammdaten!A$19,IF(I5&lt;Bewertung_Stammdaten!B$20,Bewertung_Stammdaten!A$20,Bewertung_Stammdaten!A$21))))))))),IF(N5&lt;Bewertung_Stammdaten!C$12,Bewertung_Stammdaten!A$12,IF(N5&lt;Bewertung_Stammdaten!C$13,Bewertung_Stammdaten!A$13,IF(N5&lt;Bewertung_Stammdaten!C$14,Bewertung_Stammdaten!A$14,IF(N5&lt;Bewertung_Stammdaten!C$15,Bewertung_Stammdaten!A$15,IF(N5&lt;Bewertung_Stammdaten!C$16,Bewertung_Stammdaten!A$16,IF(N5&lt;Bewertung_Stammdaten!C$17,Bewertung_Stammdaten!A$17,IF(N5&lt;Bewertung_Stammdaten!C$18,Bewertung_Stammdaten!A$18,IF(N5&lt;Bewertung_Stammdaten!C$19,Bewertung_Stammdaten!A$19,IF(N5&lt;Bewertung_Stammdaten!C$20,Bewertung_Stammdaten!A$20,Bewertung_Stammdaten!A$21))))))))))</f>
        <v>54</v>
      </c>
      <c r="R5" s="32">
        <f ca="1">IF(F5=1,IF(K5&lt;Bewertung_Stammdaten!F$12,Bewertung_Stammdaten!E$12,IF(K5&lt;Bewertung_Stammdaten!F$13,Bewertung_Stammdaten!E$13,IF(K5&lt;Bewertung_Stammdaten!F$14,Bewertung_Stammdaten!E$14,IF(K5&lt;Bewertung_Stammdaten!F$15,Bewertung_Stammdaten!E$15,IF(K5&lt;Bewertung_Stammdaten!F$16,Bewertung_Stammdaten!E$16,IF(K5&lt;Bewertung_Stammdaten!F$17,Bewertung_Stammdaten!E$17,IF(K5&lt;Bewertung_Stammdaten!F$18,Bewertung_Stammdaten!E$18,IF(K5&lt;Bewertung_Stammdaten!F$19,Bewertung_Stammdaten!E$19,IF(K5&lt;Bewertung_Stammdaten!F$20,Bewertung_Stammdaten!E$20,Bewertung_Stammdaten!E$21))))))))),IF(P5&lt;Bewertung_Stammdaten!G$12,Bewertung_Stammdaten!E$12,IF(P5&lt;Bewertung_Stammdaten!G$13,Bewertung_Stammdaten!E$13,IF(P5&lt;Bewertung_Stammdaten!G$14,Bewertung_Stammdaten!E$14,IF(P5&lt;Bewertung_Stammdaten!G$15,Bewertung_Stammdaten!E$15,IF(P5&lt;Bewertung_Stammdaten!G$16,Bewertung_Stammdaten!E$16,IF(P5&lt;Bewertung_Stammdaten!G$17,Bewertung_Stammdaten!E$17,IF(P5&lt;Bewertung_Stammdaten!G$18,Bewertung_Stammdaten!E$18,IF(P5&lt;Bewertung_Stammdaten!G$19,Bewertung_Stammdaten!E$19,IF(P5&lt;Bewertung_Stammdaten!G$20,Bewertung_Stammdaten!E$20,Bewertung_Stammdaten!E$21))))))))))</f>
        <v>22.5</v>
      </c>
      <c r="S5" s="43"/>
      <c r="T5" s="11">
        <f ca="1">VLOOKUP(A5,Buchwert_je_Aktie!A$3:AK$103,23,FALSE)</f>
        <v>6.9390000000000001</v>
      </c>
      <c r="U5" s="11">
        <f>VLOOKUP(A5,Buchwert_je_Aktie!A$3:AK$103,19,FALSE)</f>
        <v>6.3440000000000003</v>
      </c>
      <c r="V5" s="12">
        <f ca="1">VLOOKUP(A5,Buchwert_je_Aktie!A$3:AK$103,24,FALSE)</f>
        <v>9.3789407313997541E-2</v>
      </c>
      <c r="W5" s="12">
        <f>VLOOKUP(A5,Buchwert_je_Aktie!A$3:AK$103,37,FALSE)</f>
        <v>0.25271317829457352</v>
      </c>
      <c r="X5" s="16">
        <f t="shared" ca="1" si="5"/>
        <v>6.9390000000000001</v>
      </c>
      <c r="Y5" s="12">
        <f t="shared" ca="1" si="6"/>
        <v>9.3789407313997541E-2</v>
      </c>
      <c r="Z5" s="51">
        <f ca="1">IF(V5&lt;Bewertung_Stammdaten!B$25,Bewertung_Stammdaten!A$25,IF(V5&lt;Bewertung_Stammdaten!B$26,Bewertung_Stammdaten!A$26,IF(V5&lt;Bewertung_Stammdaten!B$27,Bewertung_Stammdaten!A$27,IF(V5&lt;Bewertung_Stammdaten!B$28,Bewertung_Stammdaten!A$28,IF(V5&lt;Bewertung_Stammdaten!B$29,Bewertung_Stammdaten!A$29,IF(V5&lt;Bewertung_Stammdaten!B$30,Bewertung_Stammdaten!A$30,IF(V5&lt;Bewertung_Stammdaten!B$31,Bewertung_Stammdaten!A$31,IF(V5&lt;Bewertung_Stammdaten!B$32,Bewertung_Stammdaten!A$32,IF(V5&lt;Bewertung_Stammdaten!B$33,Bewertung_Stammdaten!A$33,Bewertung_Stammdaten!A$34)))))))))</f>
        <v>4.5</v>
      </c>
      <c r="AA5" s="51">
        <f>IF(W5&lt;Bewertung_Stammdaten!F$25,Bewertung_Stammdaten!E$25,IF(W5&lt;Bewertung_Stammdaten!F$26,Bewertung_Stammdaten!E$26,IF(W5&lt;Bewertung_Stammdaten!F$27,Bewertung_Stammdaten!E$27,IF(W5&lt;Bewertung_Stammdaten!F$28,Bewertung_Stammdaten!E$28,IF(W5&lt;Bewertung_Stammdaten!F$29,Bewertung_Stammdaten!E$29,IF(W5&lt;Bewertung_Stammdaten!F$30,Bewertung_Stammdaten!E$30,IF(W5&lt;Bewertung_Stammdaten!F$31,Bewertung_Stammdaten!E$31,IF(W5&lt;Bewertung_Stammdaten!F$32,Bewertung_Stammdaten!E$32,IF(W5&lt;Bewertung_Stammdaten!F$33,Bewertung_Stammdaten!E$33,Bewertung_Stammdaten!E$34)))))))))</f>
        <v>15</v>
      </c>
      <c r="AB5" s="51">
        <f ca="1">IF(Y5&lt;Bewertung_Stammdaten!J$25,Bewertung_Stammdaten!I$25,IF(Y5&lt;Bewertung_Stammdaten!J$26,Bewertung_Stammdaten!I$26,IF(Y5&lt;Bewertung_Stammdaten!J$27,Bewertung_Stammdaten!I$27,IF(Y5&lt;Bewertung_Stammdaten!J$28,Bewertung_Stammdaten!I$28,IF(Y5&lt;Bewertung_Stammdaten!J$29,Bewertung_Stammdaten!I$29,IF(Y5&lt;Bewertung_Stammdaten!J$30,Bewertung_Stammdaten!I$30,IF(Y5&lt;Bewertung_Stammdaten!J$31,Bewertung_Stammdaten!I$31,IF(Y5&lt;Bewertung_Stammdaten!J$32,Bewertung_Stammdaten!I$32,IF(Y5&lt;Bewertung_Stammdaten!J$33,Bewertung_Stammdaten!I$33,Bewertung_Stammdaten!I$34)))))))))</f>
        <v>3</v>
      </c>
      <c r="AC5" s="43"/>
      <c r="AD5" s="14">
        <f ca="1">VLOOKUP(A5,Ergebnis_je_Aktie_verwässert!A$3:AK$103,23,FALSE)</f>
        <v>4.0280000000000005</v>
      </c>
      <c r="AE5" s="14">
        <f>VLOOKUP(A5,Ergebnis_je_Aktie_verwässert!A$3:AK$103,19,FALSE)</f>
        <v>2.9423076923076925</v>
      </c>
      <c r="AF5" s="12">
        <f ca="1">VLOOKUP(A5,Ergebnis_je_Aktie_verwässert!A$3:AK$103,24,FALSE)</f>
        <v>0.36899346405228761</v>
      </c>
      <c r="AG5" s="40">
        <f>VLOOKUP(A5,Ergebnis_je_Aktie_verwässert!A$3:AK$103,37,FALSE)</f>
        <v>-0.1333333333333333</v>
      </c>
      <c r="AH5" s="16">
        <f t="shared" ca="1" si="7"/>
        <v>3.4909333333333339</v>
      </c>
      <c r="AI5" s="12">
        <f t="shared" ca="1" si="8"/>
        <v>0.18646100217864925</v>
      </c>
      <c r="AJ5" s="32">
        <f ca="1">IF(AF5&lt;Bewertung_Stammdaten!B$38,Bewertung_Stammdaten!A$38,IF(AF5&lt;Bewertung_Stammdaten!B$39,Bewertung_Stammdaten!A$39,IF(AF5&lt;Bewertung_Stammdaten!B$40,Bewertung_Stammdaten!A$40,IF(AF5&lt;Bewertung_Stammdaten!B$41,Bewertung_Stammdaten!A$41,IF(AF5&lt;Bewertung_Stammdaten!B$42,Bewertung_Stammdaten!A$42,IF(AF5&lt;Bewertung_Stammdaten!B$43,Bewertung_Stammdaten!A$43,IF(AF5&lt;Bewertung_Stammdaten!B$44,Bewertung_Stammdaten!A$44,IF(AF5&lt;Bewertung_Stammdaten!B$45,Bewertung_Stammdaten!A$45,IF(AF5&lt;Bewertung_Stammdaten!B$46,Bewertung_Stammdaten!A$46,Bewertung_Stammdaten!A$47)))))))))</f>
        <v>14</v>
      </c>
      <c r="AK5" s="32">
        <f>IF(AG5&lt;Bewertung_Stammdaten!F$38,Bewertung_Stammdaten!E$38,IF(AG5&lt;Bewertung_Stammdaten!F$39,Bewertung_Stammdaten!E$39,IF(AG5&lt;Bewertung_Stammdaten!F$40,Bewertung_Stammdaten!E$40,IF(AG5&lt;Bewertung_Stammdaten!F$41,Bewertung_Stammdaten!E$41,IF(AG5&lt;Bewertung_Stammdaten!F$42,Bewertung_Stammdaten!E$42,IF(AG5&lt;Bewertung_Stammdaten!F$43,Bewertung_Stammdaten!E$43,IF(AG5&lt;Bewertung_Stammdaten!F$44,Bewertung_Stammdaten!E$44,IF(AG5&lt;Bewertung_Stammdaten!F$45,Bewertung_Stammdaten!E$45,IF(AG5&lt;Bewertung_Stammdaten!F$46,Bewertung_Stammdaten!E$46,Bewertung_Stammdaten!E$47)))))))))</f>
        <v>9</v>
      </c>
      <c r="AL5" s="32">
        <f ca="1">IF(AI5&lt;Bewertung_Stammdaten!J$38,Bewertung_Stammdaten!I$38,IF(AI5&lt;Bewertung_Stammdaten!J$39,Bewertung_Stammdaten!I$39,IF(AI5&lt;Bewertung_Stammdaten!J$40,Bewertung_Stammdaten!I$40,IF(AI5&lt;Bewertung_Stammdaten!J$41,Bewertung_Stammdaten!I$41,IF(AI5&lt;Bewertung_Stammdaten!J$42,Bewertung_Stammdaten!I$42,IF(AI5&lt;Bewertung_Stammdaten!J$43,Bewertung_Stammdaten!I$43,IF(AI5&lt;Bewertung_Stammdaten!J$44,Bewertung_Stammdaten!I$44,IF(AI5&lt;Bewertung_Stammdaten!J$45,Bewertung_Stammdaten!I$45,IF(AI5&lt;Bewertung_Stammdaten!J$46,Bewertung_Stammdaten!I$46,Bewertung_Stammdaten!I$47)))))))))</f>
        <v>6</v>
      </c>
      <c r="AM5" s="43"/>
      <c r="AN5" s="14">
        <f ca="1">VLOOKUP(A5,Dividende_je_Aktie!A$3:AM$103,24,FALSE)</f>
        <v>2.298</v>
      </c>
      <c r="AO5" s="14">
        <f>VLOOKUP(A5,Dividende_je_Aktie!A$3:AM$103,20,FALSE)</f>
        <v>2.0007142857142859</v>
      </c>
      <c r="AP5" s="12">
        <f ca="1">VLOOKUP(A5,Dividende_je_Aktie!A$3:AM$103,25,FALSE)</f>
        <v>0.14858978936094247</v>
      </c>
      <c r="AQ5" s="40">
        <f>VLOOKUP(A5,Dividende_je_Aktie!A$3:AM$103,39,FALSE)</f>
        <v>0</v>
      </c>
      <c r="AR5" s="16">
        <f t="shared" ca="1" si="9"/>
        <v>2.298</v>
      </c>
      <c r="AS5" s="12">
        <f t="shared" ca="1" si="10"/>
        <v>0.14858978936094247</v>
      </c>
      <c r="AT5" s="32">
        <f ca="1">IF(AP5&lt;Bewertung_Stammdaten!B$51,Bewertung_Stammdaten!A$51,IF(AP5&lt;Bewertung_Stammdaten!B$52,Bewertung_Stammdaten!A$52,IF(AP5&lt;Bewertung_Stammdaten!B$53,Bewertung_Stammdaten!A$53,IF(AP5&lt;Bewertung_Stammdaten!B$54,Bewertung_Stammdaten!A$54,IF(AP5&lt;Bewertung_Stammdaten!B$55,Bewertung_Stammdaten!A$55,IF(AP5&lt;Bewertung_Stammdaten!B$56,Bewertung_Stammdaten!A$56,IF(AP5&lt;Bewertung_Stammdaten!B$57,Bewertung_Stammdaten!A$57,IF(AP5&lt;Bewertung_Stammdaten!B$58,Bewertung_Stammdaten!A$58,IF(AP5&lt;Bewertung_Stammdaten!B$59,Bewertung_Stammdaten!A$59,Bewertung_Stammdaten!A$60)))))))))</f>
        <v>8</v>
      </c>
      <c r="AU5" s="32">
        <f>IF(AQ5&lt;Bewertung_Stammdaten!F$51,Bewertung_Stammdaten!E$51,IF(AQ5&lt;Bewertung_Stammdaten!F$52,Bewertung_Stammdaten!E$52,IF(AQ5&lt;Bewertung_Stammdaten!F$53,Bewertung_Stammdaten!E$53,IF(AQ5&lt;Bewertung_Stammdaten!F$54,Bewertung_Stammdaten!E$54,IF(AQ5&lt;Bewertung_Stammdaten!F$55,Bewertung_Stammdaten!E$55,IF(AQ5&lt;Bewertung_Stammdaten!F$56,Bewertung_Stammdaten!E$56,IF(AQ5&lt;Bewertung_Stammdaten!F$57,Bewertung_Stammdaten!E$57,IF(AQ5&lt;Bewertung_Stammdaten!F$58,Bewertung_Stammdaten!E$58,IF(AQ5&lt;Bewertung_Stammdaten!F$59,Bewertung_Stammdaten!E$59,Bewertung_Stammdaten!E$60)))))))))</f>
        <v>12</v>
      </c>
      <c r="AV5" s="32">
        <f ca="1">IF(AS5&lt;Bewertung_Stammdaten!J$51,Bewertung_Stammdaten!I$51,IF(AS5&lt;Bewertung_Stammdaten!J$52,Bewertung_Stammdaten!I$52,IF(AS5&lt;Bewertung_Stammdaten!J$53,Bewertung_Stammdaten!I$53,IF(AS5&lt;Bewertung_Stammdaten!J$54,Bewertung_Stammdaten!I$54,IF(AS5&lt;Bewertung_Stammdaten!J$55,Bewertung_Stammdaten!I$55,IF(AS5&lt;Bewertung_Stammdaten!J$56,Bewertung_Stammdaten!I$56,IF(AS5&lt;Bewertung_Stammdaten!J$57,Bewertung_Stammdaten!I$57,IF(AS5&lt;Bewertung_Stammdaten!J$58,Bewertung_Stammdaten!I$58,IF(AS5&lt;Bewertung_Stammdaten!J$59,Bewertung_Stammdaten!I$59,Bewertung_Stammdaten!I$60)))))))))</f>
        <v>5</v>
      </c>
      <c r="AW5" s="43"/>
      <c r="AX5" s="12">
        <f ca="1">VLOOKUP(A5,Dividendenrendite!A$3:R$103,17,FALSE)</f>
        <v>4.4039862016098122E-2</v>
      </c>
      <c r="AY5" s="12">
        <f>VLOOKUP(A5,Dividendenrendite!A$3:R$103,16,FALSE)</f>
        <v>4.7699365283263094E-2</v>
      </c>
      <c r="AZ5" s="12">
        <f ca="1">VLOOKUP(A5,Dividendenrendite!A$3:R$103,18,FALSE)</f>
        <v>-7.6720166933731293E-2</v>
      </c>
      <c r="BA5" s="32">
        <f ca="1">IF(AX5&lt;Bewertung_Stammdaten!B$64,Bewertung_Stammdaten!A$64,IF(AX5&lt;Bewertung_Stammdaten!B$65,Bewertung_Stammdaten!A$65,IF(AX5&lt;Bewertung_Stammdaten!B$66,Bewertung_Stammdaten!A$66,IF(AX5&lt;Bewertung_Stammdaten!B$67,Bewertung_Stammdaten!A$67,IF(AX5&lt;Bewertung_Stammdaten!B$68,Bewertung_Stammdaten!A$68,IF(AX5&lt;Bewertung_Stammdaten!B$69,Bewertung_Stammdaten!A$69,IF(AX5&lt;Bewertung_Stammdaten!B$70,Bewertung_Stammdaten!A$70,IF(AX5&lt;Bewertung_Stammdaten!B$71,Bewertung_Stammdaten!A$71,IF(AX5&lt;Bewertung_Stammdaten!B$72,Bewertung_Stammdaten!A$72,Bewertung_Stammdaten!A$73)))))))))</f>
        <v>13.5</v>
      </c>
      <c r="BB5" s="32">
        <f>IF(AY5&lt;Bewertung_Stammdaten!F$64,Bewertung_Stammdaten!E$64,IF(AY5&lt;Bewertung_Stammdaten!F$65,Bewertung_Stammdaten!E$65,IF(AY5&lt;Bewertung_Stammdaten!F$66,Bewertung_Stammdaten!E$66,IF(AY5&lt;Bewertung_Stammdaten!F$67,Bewertung_Stammdaten!E$67,IF(AY5&lt;Bewertung_Stammdaten!F$68,Bewertung_Stammdaten!E$68,IF(AY5&lt;Bewertung_Stammdaten!F$69,Bewertung_Stammdaten!E$69,IF(AY5&lt;Bewertung_Stammdaten!F$70,Bewertung_Stammdaten!E$70,IF(AY5&lt;Bewertung_Stammdaten!F$71,Bewertung_Stammdaten!E$71,IF(AY5&lt;Bewertung_Stammdaten!F$72,Bewertung_Stammdaten!E$72,Bewertung_Stammdaten!E$73)))))))))</f>
        <v>10</v>
      </c>
      <c r="BC5" s="32">
        <f ca="1">IF(AZ5&lt;Bewertung_Stammdaten!J$64,Bewertung_Stammdaten!I$64,IF(AZ5&lt;Bewertung_Stammdaten!J$65,Bewertung_Stammdaten!I$65,IF(AZ5&lt;Bewertung_Stammdaten!J$66,Bewertung_Stammdaten!I$66,IF(AZ5&lt;Bewertung_Stammdaten!J$67,Bewertung_Stammdaten!I$67,IF(AZ5&lt;Bewertung_Stammdaten!J$68,Bewertung_Stammdaten!I$68,IF(AZ5&lt;Bewertung_Stammdaten!J$69,Bewertung_Stammdaten!I$69,IF(AZ5&lt;Bewertung_Stammdaten!J$70,Bewertung_Stammdaten!I$70,IF(AZ5&lt;Bewertung_Stammdaten!J$71,Bewertung_Stammdaten!I$71,IF(AZ5&lt;Bewertung_Stammdaten!J$72,Bewertung_Stammdaten!I$72,Bewertung_Stammdaten!I$73)))))))))</f>
        <v>2</v>
      </c>
      <c r="BD5" s="43"/>
      <c r="BE5" s="12">
        <f>VLOOKUP(A5,Aktien_im_Umlauf_splitbereinigt!A$3:AB$103,28,FALSE)</f>
        <v>-1.9494584837545181E-2</v>
      </c>
      <c r="BF5" s="12">
        <f>VLOOKUP(A5,Aktien_im_Umlauf_splitbereinigt!A$3:AA$103,26,FALSE)</f>
        <v>-1.9494584837545181E-2</v>
      </c>
      <c r="BG5" s="12">
        <f>VLOOKUP(A5,Aktien_im_Umlauf_splitbereinigt!A$3:AA$103,27,FALSE)</f>
        <v>0</v>
      </c>
      <c r="BH5" s="41">
        <f>IF(BE5&lt;Bewertung_Stammdaten!B$77,Bewertung_Stammdaten!A$77,IF(BE5&lt;Bewertung_Stammdaten!B$78,Bewertung_Stammdaten!A$78,IF(BE5&lt;Bewertung_Stammdaten!B$79,Bewertung_Stammdaten!A$79,IF(BE5&lt;Bewertung_Stammdaten!B$80,Bewertung_Stammdaten!A$80,IF(BE5&lt;Bewertung_Stammdaten!B$81,Bewertung_Stammdaten!A$81,IF(BE5&lt;Bewertung_Stammdaten!B$82,Bewertung_Stammdaten!A$82,IF(BE5&lt;Bewertung_Stammdaten!B$83,Bewertung_Stammdaten!A$83,IF(BE5&lt;Bewertung_Stammdaten!B$84,Bewertung_Stammdaten!A$84,IF(BE5&lt;Bewertung_Stammdaten!B$85,Bewertung_Stammdaten!A$85,Bewertung_Stammdaten!A$86)))))))))</f>
        <v>6</v>
      </c>
      <c r="BI5" s="41">
        <f>IF(BF5&lt;Bewertung_Stammdaten!F$77,Bewertung_Stammdaten!E$77,IF(BF5&lt;Bewertung_Stammdaten!F$78,Bewertung_Stammdaten!E$78,IF(BF5&lt;Bewertung_Stammdaten!F$79,Bewertung_Stammdaten!E$79,IF(BF5&lt;Bewertung_Stammdaten!F$80,Bewertung_Stammdaten!E$80,IF(BF5&lt;Bewertung_Stammdaten!F$81,Bewertung_Stammdaten!E$81,IF(BF5&lt;Bewertung_Stammdaten!F$82,Bewertung_Stammdaten!E$82,IF(BF5&lt;Bewertung_Stammdaten!F$83,Bewertung_Stammdaten!E$83,IF(BF5&lt;Bewertung_Stammdaten!F$84,Bewertung_Stammdaten!E$84,IF(BF5&lt;Bewertung_Stammdaten!F$85,Bewertung_Stammdaten!E$85,Bewertung_Stammdaten!E$86)))))))))</f>
        <v>6</v>
      </c>
      <c r="BJ5" s="41">
        <f>IF(BG5&lt;Bewertung_Stammdaten!J$77,Bewertung_Stammdaten!I$77,IF(BG5&lt;Bewertung_Stammdaten!J$78,Bewertung_Stammdaten!I$78,IF(BG5&lt;Bewertung_Stammdaten!J$79,Bewertung_Stammdaten!I$79,IF(BG5&lt;Bewertung_Stammdaten!J$80,Bewertung_Stammdaten!I$80,IF(BG5&lt;Bewertung_Stammdaten!J$81,Bewertung_Stammdaten!I$81,IF(BG5&lt;Bewertung_Stammdaten!J$82,Bewertung_Stammdaten!I$82,IF(BG5&lt;Bewertung_Stammdaten!J$83,Bewertung_Stammdaten!I$83,IF(BG5&lt;Bewertung_Stammdaten!J$84,Bewertung_Stammdaten!I$84,IF(BG5&lt;Bewertung_Stammdaten!J$85,Bewertung_Stammdaten!I$85,Bewertung_Stammdaten!I$86)))))))))</f>
        <v>3</v>
      </c>
      <c r="BK5" s="43"/>
      <c r="BL5" s="12">
        <f ca="1">VLOOKUP(A5,Ausschüttungsquote!A$3:AL$103,37,FALSE)</f>
        <v>0.57048656001274456</v>
      </c>
      <c r="BM5" s="12">
        <f>VLOOKUP(A5,Ausschüttungsquote!A$3:AL$103,19,FALSE)</f>
        <v>0.74013854469268214</v>
      </c>
      <c r="BN5" s="12">
        <f ca="1">VLOOKUP(A5,Ausschüttungsquote!A$3:AL$103,38,FALSE)</f>
        <v>-0.21031403120415082</v>
      </c>
      <c r="BO5" s="32">
        <f ca="1">IF(BL5&lt;Bewertung_Stammdaten!B$90,Bewertung_Stammdaten!A$90,IF(BL5&lt;Bewertung_Stammdaten!B$91,Bewertung_Stammdaten!A$91,IF(BL5&lt;Bewertung_Stammdaten!B$92,Bewertung_Stammdaten!A$92,IF(BL5&lt;Bewertung_Stammdaten!B$93,Bewertung_Stammdaten!A$93,IF(BL5&lt;Bewertung_Stammdaten!B$94,Bewertung_Stammdaten!A$94,IF(BL5&lt;Bewertung_Stammdaten!B$95,Bewertung_Stammdaten!A$95,IF(BL5&lt;Bewertung_Stammdaten!B$96,Bewertung_Stammdaten!A$96,IF(BL5&lt;Bewertung_Stammdaten!B$97,Bewertung_Stammdaten!A$97,IF(BL5&lt;Bewertung_Stammdaten!B$98,Bewertung_Stammdaten!A$98,Bewertung_Stammdaten!A$99)))))))))</f>
        <v>6</v>
      </c>
      <c r="BP5" s="41">
        <f>IF(BM5&lt;Bewertung_Stammdaten!F$90,Bewertung_Stammdaten!E$90,IF(BM5&lt;Bewertung_Stammdaten!F$91,Bewertung_Stammdaten!E$91,IF(BM5&lt;Bewertung_Stammdaten!F$92,Bewertung_Stammdaten!E$92,IF(BM5&lt;Bewertung_Stammdaten!F$93,Bewertung_Stammdaten!E$93,IF(BM5&lt;Bewertung_Stammdaten!F$94,Bewertung_Stammdaten!E$94,IF(BM5&lt;Bewertung_Stammdaten!F$95,Bewertung_Stammdaten!E$95,IF(BM5&lt;Bewertung_Stammdaten!F$96,Bewertung_Stammdaten!E$96,IF(BM5&lt;Bewertung_Stammdaten!F$97,Bewertung_Stammdaten!E$97,IF(BM5&lt;Bewertung_Stammdaten!F$98,Bewertung_Stammdaten!E$98,Bewertung_Stammdaten!E$99)))))))))</f>
        <v>3</v>
      </c>
      <c r="BQ5" s="32">
        <f ca="1">IF(BN5&lt;Bewertung_Stammdaten!J$90,Bewertung_Stammdaten!I$90,IF(BN5&lt;Bewertung_Stammdaten!J$91,Bewertung_Stammdaten!I$91,IF(BN5&lt;Bewertung_Stammdaten!J$92,Bewertung_Stammdaten!I$92,IF(BN5&lt;Bewertung_Stammdaten!J$93,Bewertung_Stammdaten!I$93,IF(BN5&lt;Bewertung_Stammdaten!J$94,Bewertung_Stammdaten!I$94,IF(BN5&lt;Bewertung_Stammdaten!J$95,Bewertung_Stammdaten!I$95,IF(BN5&lt;Bewertung_Stammdaten!J$96,Bewertung_Stammdaten!I$96,IF(BN5&lt;Bewertung_Stammdaten!J$97,Bewertung_Stammdaten!I$97,IF(BN5&lt;Bewertung_Stammdaten!J$98,Bewertung_Stammdaten!I$98,Bewertung_Stammdaten!I$99)))))))))</f>
        <v>10</v>
      </c>
    </row>
    <row r="6" spans="1:69">
      <c r="A6" s="38" t="s">
        <v>60</v>
      </c>
      <c r="B6" s="38" t="s">
        <v>61</v>
      </c>
      <c r="C6" s="38" t="s">
        <v>283</v>
      </c>
      <c r="D6" s="32">
        <f t="shared" ca="1" si="0"/>
        <v>205</v>
      </c>
      <c r="E6" s="43"/>
      <c r="F6" s="60">
        <v>1</v>
      </c>
      <c r="G6" s="11">
        <f ca="1">VLOOKUP(A6,KGV!A$3:R$103,17,FALSE)</f>
        <v>17.875544400974388</v>
      </c>
      <c r="H6" s="11">
        <f>VLOOKUP(A6,KGV!A$3:R$103,16,FALSE)</f>
        <v>17.555555555555554</v>
      </c>
      <c r="I6" s="12">
        <f ca="1">VLOOKUP(A6,KGV!A$3:R$103,18,FALSE)</f>
        <v>1.8227212713731067E-2</v>
      </c>
      <c r="J6" s="16">
        <f t="shared" ca="1" si="1"/>
        <v>19.250586277972417</v>
      </c>
      <c r="K6" s="12">
        <f t="shared" ca="1" si="2"/>
        <v>9.6552382922479474E-2</v>
      </c>
      <c r="L6" s="11">
        <f ca="1">VLOOKUP(A6,KBV!A$3:R$103,17,FALSE)</f>
        <v>3.5549031121550203</v>
      </c>
      <c r="M6" s="11">
        <f>VLOOKUP(A6,KBV!A$3:R$103,16,FALSE)</f>
        <v>3.7517857142857149</v>
      </c>
      <c r="N6" s="12">
        <f ca="1">VLOOKUP(A6,KBV!A$3:R$103,18,FALSE)</f>
        <v>-5.2477038169057133E-2</v>
      </c>
      <c r="O6" s="16">
        <f t="shared" ca="1" si="3"/>
        <v>3.6195377141942022</v>
      </c>
      <c r="P6" s="12">
        <f t="shared" ca="1" si="4"/>
        <v>-3.5249347953949073E-2</v>
      </c>
      <c r="Q6" s="32">
        <f ca="1">IF(F6=1,IF(I6&lt;Bewertung_Stammdaten!B$12,Bewertung_Stammdaten!A$12,IF(I6&lt;Bewertung_Stammdaten!B$13,Bewertung_Stammdaten!A$13,IF(I6&lt;Bewertung_Stammdaten!B$14,Bewertung_Stammdaten!A$14,IF(I6&lt;Bewertung_Stammdaten!B$15,Bewertung_Stammdaten!A$15,IF(I6&lt;Bewertung_Stammdaten!B$16,Bewertung_Stammdaten!A$16,IF(I6&lt;Bewertung_Stammdaten!B$17,Bewertung_Stammdaten!A$17,IF(I6&lt;Bewertung_Stammdaten!B$18,Bewertung_Stammdaten!A$18,IF(I6&lt;Bewertung_Stammdaten!B$19,Bewertung_Stammdaten!A$19,IF(I6&lt;Bewertung_Stammdaten!B$20,Bewertung_Stammdaten!A$20,Bewertung_Stammdaten!A$21))))))))),IF(N6&lt;Bewertung_Stammdaten!C$12,Bewertung_Stammdaten!A$12,IF(N6&lt;Bewertung_Stammdaten!C$13,Bewertung_Stammdaten!A$13,IF(N6&lt;Bewertung_Stammdaten!C$14,Bewertung_Stammdaten!A$14,IF(N6&lt;Bewertung_Stammdaten!C$15,Bewertung_Stammdaten!A$15,IF(N6&lt;Bewertung_Stammdaten!C$16,Bewertung_Stammdaten!A$16,IF(N6&lt;Bewertung_Stammdaten!C$17,Bewertung_Stammdaten!A$17,IF(N6&lt;Bewertung_Stammdaten!C$18,Bewertung_Stammdaten!A$18,IF(N6&lt;Bewertung_Stammdaten!C$19,Bewertung_Stammdaten!A$19,IF(N6&lt;Bewertung_Stammdaten!C$20,Bewertung_Stammdaten!A$20,Bewertung_Stammdaten!A$21))))))))))</f>
        <v>36</v>
      </c>
      <c r="R6" s="32">
        <f ca="1">IF(F6=1,IF(K6&lt;Bewertung_Stammdaten!F$12,Bewertung_Stammdaten!E$12,IF(K6&lt;Bewertung_Stammdaten!F$13,Bewertung_Stammdaten!E$13,IF(K6&lt;Bewertung_Stammdaten!F$14,Bewertung_Stammdaten!E$14,IF(K6&lt;Bewertung_Stammdaten!F$15,Bewertung_Stammdaten!E$15,IF(K6&lt;Bewertung_Stammdaten!F$16,Bewertung_Stammdaten!E$16,IF(K6&lt;Bewertung_Stammdaten!F$17,Bewertung_Stammdaten!E$17,IF(K6&lt;Bewertung_Stammdaten!F$18,Bewertung_Stammdaten!E$18,IF(K6&lt;Bewertung_Stammdaten!F$19,Bewertung_Stammdaten!E$19,IF(K6&lt;Bewertung_Stammdaten!F$20,Bewertung_Stammdaten!E$20,Bewertung_Stammdaten!E$21))))))))),IF(P6&lt;Bewertung_Stammdaten!G$12,Bewertung_Stammdaten!E$12,IF(P6&lt;Bewertung_Stammdaten!G$13,Bewertung_Stammdaten!E$13,IF(P6&lt;Bewertung_Stammdaten!G$14,Bewertung_Stammdaten!E$14,IF(P6&lt;Bewertung_Stammdaten!G$15,Bewertung_Stammdaten!E$15,IF(P6&lt;Bewertung_Stammdaten!G$16,Bewertung_Stammdaten!E$16,IF(P6&lt;Bewertung_Stammdaten!G$17,Bewertung_Stammdaten!E$17,IF(P6&lt;Bewertung_Stammdaten!G$18,Bewertung_Stammdaten!E$18,IF(P6&lt;Bewertung_Stammdaten!G$19,Bewertung_Stammdaten!E$19,IF(P6&lt;Bewertung_Stammdaten!G$20,Bewertung_Stammdaten!E$20,Bewertung_Stammdaten!E$21))))))))))</f>
        <v>20</v>
      </c>
      <c r="S6" s="43"/>
      <c r="T6" s="11">
        <f ca="1">VLOOKUP(A6,Buchwert_je_Aktie!A$3:AK$103,23,FALSE)</f>
        <v>11.353333333333333</v>
      </c>
      <c r="U6" s="11">
        <f>VLOOKUP(A6,Buchwert_je_Aktie!A$3:AK$103,19,FALSE)</f>
        <v>8.0046153846153842</v>
      </c>
      <c r="V6" s="12">
        <f ca="1">VLOOKUP(A6,Buchwert_je_Aktie!A$3:AK$103,24,FALSE)</f>
        <v>0.41834838875008007</v>
      </c>
      <c r="W6" s="12">
        <f>VLOOKUP(A6,Buchwert_je_Aktie!A$3:AK$103,37,FALSE)</f>
        <v>-1.7857142857142794E-2</v>
      </c>
      <c r="X6" s="16">
        <f t="shared" ca="1" si="5"/>
        <v>11.150595238095239</v>
      </c>
      <c r="Y6" s="12">
        <f t="shared" ca="1" si="6"/>
        <v>0.39302073895097167</v>
      </c>
      <c r="Z6" s="51">
        <f ca="1">IF(V6&lt;Bewertung_Stammdaten!B$25,Bewertung_Stammdaten!A$25,IF(V6&lt;Bewertung_Stammdaten!B$26,Bewertung_Stammdaten!A$26,IF(V6&lt;Bewertung_Stammdaten!B$27,Bewertung_Stammdaten!A$27,IF(V6&lt;Bewertung_Stammdaten!B$28,Bewertung_Stammdaten!A$28,IF(V6&lt;Bewertung_Stammdaten!B$29,Bewertung_Stammdaten!A$29,IF(V6&lt;Bewertung_Stammdaten!B$30,Bewertung_Stammdaten!A$30,IF(V6&lt;Bewertung_Stammdaten!B$31,Bewertung_Stammdaten!A$31,IF(V6&lt;Bewertung_Stammdaten!B$32,Bewertung_Stammdaten!A$32,IF(V6&lt;Bewertung_Stammdaten!B$33,Bewertung_Stammdaten!A$33,Bewertung_Stammdaten!A$34)))))))))</f>
        <v>10.5</v>
      </c>
      <c r="AA6" s="51">
        <f>IF(W6&lt;Bewertung_Stammdaten!F$25,Bewertung_Stammdaten!E$25,IF(W6&lt;Bewertung_Stammdaten!F$26,Bewertung_Stammdaten!E$26,IF(W6&lt;Bewertung_Stammdaten!F$27,Bewertung_Stammdaten!E$27,IF(W6&lt;Bewertung_Stammdaten!F$28,Bewertung_Stammdaten!E$28,IF(W6&lt;Bewertung_Stammdaten!F$29,Bewertung_Stammdaten!E$29,IF(W6&lt;Bewertung_Stammdaten!F$30,Bewertung_Stammdaten!E$30,IF(W6&lt;Bewertung_Stammdaten!F$31,Bewertung_Stammdaten!E$31,IF(W6&lt;Bewertung_Stammdaten!F$32,Bewertung_Stammdaten!E$32,IF(W6&lt;Bewertung_Stammdaten!F$33,Bewertung_Stammdaten!E$33,Bewertung_Stammdaten!E$34)))))))))</f>
        <v>10.5</v>
      </c>
      <c r="AB6" s="51">
        <f ca="1">IF(Y6&lt;Bewertung_Stammdaten!J$25,Bewertung_Stammdaten!I$25,IF(Y6&lt;Bewertung_Stammdaten!J$26,Bewertung_Stammdaten!I$26,IF(Y6&lt;Bewertung_Stammdaten!J$27,Bewertung_Stammdaten!I$27,IF(Y6&lt;Bewertung_Stammdaten!J$28,Bewertung_Stammdaten!I$28,IF(Y6&lt;Bewertung_Stammdaten!J$29,Bewertung_Stammdaten!I$29,IF(Y6&lt;Bewertung_Stammdaten!J$30,Bewertung_Stammdaten!I$30,IF(Y6&lt;Bewertung_Stammdaten!J$31,Bewertung_Stammdaten!I$31,IF(Y6&lt;Bewertung_Stammdaten!J$32,Bewertung_Stammdaten!I$32,IF(Y6&lt;Bewertung_Stammdaten!J$33,Bewertung_Stammdaten!I$33,Bewertung_Stammdaten!I$34)))))))))</f>
        <v>6</v>
      </c>
      <c r="AC6" s="43"/>
      <c r="AD6" s="14">
        <f ca="1">VLOOKUP(A6,Ergebnis_je_Aktie_verwässert!A$3:AK$103,23,FALSE)</f>
        <v>2.2578333333333331</v>
      </c>
      <c r="AE6" s="14">
        <f>VLOOKUP(A6,Ergebnis_je_Aktie_verwässert!A$3:AK$103,19,FALSE)</f>
        <v>1.7061538461538459</v>
      </c>
      <c r="AF6" s="12">
        <f ca="1">VLOOKUP(A6,Ergebnis_je_Aktie_verwässert!A$3:AK$103,24,FALSE)</f>
        <v>0.32334685903216109</v>
      </c>
      <c r="AG6" s="40">
        <f>VLOOKUP(A6,Ergebnis_je_Aktie_verwässert!A$3:AK$103,37,FALSE)</f>
        <v>-7.1428571428571397E-2</v>
      </c>
      <c r="AH6" s="16">
        <f t="shared" ca="1" si="7"/>
        <v>2.0965595238095238</v>
      </c>
      <c r="AI6" s="12">
        <f t="shared" ca="1" si="8"/>
        <v>0.22882208338700694</v>
      </c>
      <c r="AJ6" s="32">
        <f ca="1">IF(AF6&lt;Bewertung_Stammdaten!B$38,Bewertung_Stammdaten!A$38,IF(AF6&lt;Bewertung_Stammdaten!B$39,Bewertung_Stammdaten!A$39,IF(AF6&lt;Bewertung_Stammdaten!B$40,Bewertung_Stammdaten!A$40,IF(AF6&lt;Bewertung_Stammdaten!B$41,Bewertung_Stammdaten!A$41,IF(AF6&lt;Bewertung_Stammdaten!B$42,Bewertung_Stammdaten!A$42,IF(AF6&lt;Bewertung_Stammdaten!B$43,Bewertung_Stammdaten!A$43,IF(AF6&lt;Bewertung_Stammdaten!B$44,Bewertung_Stammdaten!A$44,IF(AF6&lt;Bewertung_Stammdaten!B$45,Bewertung_Stammdaten!A$45,IF(AF6&lt;Bewertung_Stammdaten!B$46,Bewertung_Stammdaten!A$46,Bewertung_Stammdaten!A$47)))))))))</f>
        <v>14</v>
      </c>
      <c r="AK6" s="32">
        <f>IF(AG6&lt;Bewertung_Stammdaten!F$38,Bewertung_Stammdaten!E$38,IF(AG6&lt;Bewertung_Stammdaten!F$39,Bewertung_Stammdaten!E$39,IF(AG6&lt;Bewertung_Stammdaten!F$40,Bewertung_Stammdaten!E$40,IF(AG6&lt;Bewertung_Stammdaten!F$41,Bewertung_Stammdaten!E$41,IF(AG6&lt;Bewertung_Stammdaten!F$42,Bewertung_Stammdaten!E$42,IF(AG6&lt;Bewertung_Stammdaten!F$43,Bewertung_Stammdaten!E$43,IF(AG6&lt;Bewertung_Stammdaten!F$44,Bewertung_Stammdaten!E$44,IF(AG6&lt;Bewertung_Stammdaten!F$45,Bewertung_Stammdaten!E$45,IF(AG6&lt;Bewertung_Stammdaten!F$46,Bewertung_Stammdaten!E$46,Bewertung_Stammdaten!E$47)))))))))</f>
        <v>10.5</v>
      </c>
      <c r="AL6" s="32">
        <f ca="1">IF(AI6&lt;Bewertung_Stammdaten!J$38,Bewertung_Stammdaten!I$38,IF(AI6&lt;Bewertung_Stammdaten!J$39,Bewertung_Stammdaten!I$39,IF(AI6&lt;Bewertung_Stammdaten!J$40,Bewertung_Stammdaten!I$40,IF(AI6&lt;Bewertung_Stammdaten!J$41,Bewertung_Stammdaten!I$41,IF(AI6&lt;Bewertung_Stammdaten!J$42,Bewertung_Stammdaten!I$42,IF(AI6&lt;Bewertung_Stammdaten!J$43,Bewertung_Stammdaten!I$43,IF(AI6&lt;Bewertung_Stammdaten!J$44,Bewertung_Stammdaten!I$44,IF(AI6&lt;Bewertung_Stammdaten!J$45,Bewertung_Stammdaten!I$45,IF(AI6&lt;Bewertung_Stammdaten!J$46,Bewertung_Stammdaten!I$46,Bewertung_Stammdaten!I$47)))))))))</f>
        <v>6</v>
      </c>
      <c r="AM6" s="43"/>
      <c r="AN6" s="14">
        <f ca="1">VLOOKUP(A6,Dividende_je_Aktie!A$3:AM$103,24,FALSE)</f>
        <v>0.5688333333333333</v>
      </c>
      <c r="AO6" s="14">
        <f>VLOOKUP(A6,Dividende_je_Aktie!A$3:AM$103,20,FALSE)</f>
        <v>0.26571428571428568</v>
      </c>
      <c r="AP6" s="12">
        <f ca="1">VLOOKUP(A6,Dividende_je_Aktie!A$3:AM$103,25,FALSE)</f>
        <v>1.1407706093189964</v>
      </c>
      <c r="AQ6" s="40">
        <f>VLOOKUP(A6,Dividende_je_Aktie!A$3:AM$103,39,FALSE)</f>
        <v>0</v>
      </c>
      <c r="AR6" s="16">
        <f t="shared" ca="1" si="9"/>
        <v>0.5688333333333333</v>
      </c>
      <c r="AS6" s="12">
        <f t="shared" ca="1" si="10"/>
        <v>1.1407706093189964</v>
      </c>
      <c r="AT6" s="32">
        <f ca="1">IF(AP6&lt;Bewertung_Stammdaten!B$51,Bewertung_Stammdaten!A$51,IF(AP6&lt;Bewertung_Stammdaten!B$52,Bewertung_Stammdaten!A$52,IF(AP6&lt;Bewertung_Stammdaten!B$53,Bewertung_Stammdaten!A$53,IF(AP6&lt;Bewertung_Stammdaten!B$54,Bewertung_Stammdaten!A$54,IF(AP6&lt;Bewertung_Stammdaten!B$55,Bewertung_Stammdaten!A$55,IF(AP6&lt;Bewertung_Stammdaten!B$56,Bewertung_Stammdaten!A$56,IF(AP6&lt;Bewertung_Stammdaten!B$57,Bewertung_Stammdaten!A$57,IF(AP6&lt;Bewertung_Stammdaten!B$58,Bewertung_Stammdaten!A$58,IF(AP6&lt;Bewertung_Stammdaten!B$59,Bewertung_Stammdaten!A$59,Bewertung_Stammdaten!A$60)))))))))</f>
        <v>20</v>
      </c>
      <c r="AU6" s="32">
        <f>IF(AQ6&lt;Bewertung_Stammdaten!F$51,Bewertung_Stammdaten!E$51,IF(AQ6&lt;Bewertung_Stammdaten!F$52,Bewertung_Stammdaten!E$52,IF(AQ6&lt;Bewertung_Stammdaten!F$53,Bewertung_Stammdaten!E$53,IF(AQ6&lt;Bewertung_Stammdaten!F$54,Bewertung_Stammdaten!E$54,IF(AQ6&lt;Bewertung_Stammdaten!F$55,Bewertung_Stammdaten!E$55,IF(AQ6&lt;Bewertung_Stammdaten!F$56,Bewertung_Stammdaten!E$56,IF(AQ6&lt;Bewertung_Stammdaten!F$57,Bewertung_Stammdaten!E$57,IF(AQ6&lt;Bewertung_Stammdaten!F$58,Bewertung_Stammdaten!E$58,IF(AQ6&lt;Bewertung_Stammdaten!F$59,Bewertung_Stammdaten!E$59,Bewertung_Stammdaten!E$60)))))))))</f>
        <v>12</v>
      </c>
      <c r="AV6" s="32">
        <f ca="1">IF(AS6&lt;Bewertung_Stammdaten!J$51,Bewertung_Stammdaten!I$51,IF(AS6&lt;Bewertung_Stammdaten!J$52,Bewertung_Stammdaten!I$52,IF(AS6&lt;Bewertung_Stammdaten!J$53,Bewertung_Stammdaten!I$53,IF(AS6&lt;Bewertung_Stammdaten!J$54,Bewertung_Stammdaten!I$54,IF(AS6&lt;Bewertung_Stammdaten!J$55,Bewertung_Stammdaten!I$55,IF(AS6&lt;Bewertung_Stammdaten!J$56,Bewertung_Stammdaten!I$56,IF(AS6&lt;Bewertung_Stammdaten!J$57,Bewertung_Stammdaten!I$57,IF(AS6&lt;Bewertung_Stammdaten!J$58,Bewertung_Stammdaten!I$58,IF(AS6&lt;Bewertung_Stammdaten!J$59,Bewertung_Stammdaten!I$59,Bewertung_Stammdaten!I$60)))))))))</f>
        <v>10</v>
      </c>
      <c r="AW6" s="43"/>
      <c r="AX6" s="12">
        <f ca="1">VLOOKUP(A6,Dividendenrendite!A$3:R$103,17,FALSE)</f>
        <v>1.4093987446316484E-2</v>
      </c>
      <c r="AY6" s="12">
        <f>VLOOKUP(A6,Dividendenrendite!A$3:R$103,16,FALSE)</f>
        <v>6.6650962567737998E-3</v>
      </c>
      <c r="AZ6" s="12">
        <f ca="1">VLOOKUP(A6,Dividendenrendite!A$3:R$103,18,FALSE)</f>
        <v>1.1145962343743547</v>
      </c>
      <c r="BA6" s="32">
        <f ca="1">IF(AX6&lt;Bewertung_Stammdaten!B$64,Bewertung_Stammdaten!A$64,IF(AX6&lt;Bewertung_Stammdaten!B$65,Bewertung_Stammdaten!A$65,IF(AX6&lt;Bewertung_Stammdaten!B$66,Bewertung_Stammdaten!A$66,IF(AX6&lt;Bewertung_Stammdaten!B$67,Bewertung_Stammdaten!A$67,IF(AX6&lt;Bewertung_Stammdaten!B$68,Bewertung_Stammdaten!A$68,IF(AX6&lt;Bewertung_Stammdaten!B$69,Bewertung_Stammdaten!A$69,IF(AX6&lt;Bewertung_Stammdaten!B$70,Bewertung_Stammdaten!A$70,IF(AX6&lt;Bewertung_Stammdaten!B$71,Bewertung_Stammdaten!A$71,IF(AX6&lt;Bewertung_Stammdaten!B$72,Bewertung_Stammdaten!A$72,Bewertung_Stammdaten!A$73)))))))))</f>
        <v>4.5</v>
      </c>
      <c r="BB6" s="32">
        <f>IF(AY6&lt;Bewertung_Stammdaten!F$64,Bewertung_Stammdaten!E$64,IF(AY6&lt;Bewertung_Stammdaten!F$65,Bewertung_Stammdaten!E$65,IF(AY6&lt;Bewertung_Stammdaten!F$66,Bewertung_Stammdaten!E$66,IF(AY6&lt;Bewertung_Stammdaten!F$67,Bewertung_Stammdaten!E$67,IF(AY6&lt;Bewertung_Stammdaten!F$68,Bewertung_Stammdaten!E$68,IF(AY6&lt;Bewertung_Stammdaten!F$69,Bewertung_Stammdaten!E$69,IF(AY6&lt;Bewertung_Stammdaten!F$70,Bewertung_Stammdaten!E$70,IF(AY6&lt;Bewertung_Stammdaten!F$71,Bewertung_Stammdaten!E$71,IF(AY6&lt;Bewertung_Stammdaten!F$72,Bewertung_Stammdaten!E$72,Bewertung_Stammdaten!E$73)))))))))</f>
        <v>2</v>
      </c>
      <c r="BC6" s="32">
        <f ca="1">IF(AZ6&lt;Bewertung_Stammdaten!J$64,Bewertung_Stammdaten!I$64,IF(AZ6&lt;Bewertung_Stammdaten!J$65,Bewertung_Stammdaten!I$65,IF(AZ6&lt;Bewertung_Stammdaten!J$66,Bewertung_Stammdaten!I$66,IF(AZ6&lt;Bewertung_Stammdaten!J$67,Bewertung_Stammdaten!I$67,IF(AZ6&lt;Bewertung_Stammdaten!J$68,Bewertung_Stammdaten!I$68,IF(AZ6&lt;Bewertung_Stammdaten!J$69,Bewertung_Stammdaten!I$69,IF(AZ6&lt;Bewertung_Stammdaten!J$70,Bewertung_Stammdaten!I$70,IF(AZ6&lt;Bewertung_Stammdaten!J$71,Bewertung_Stammdaten!I$71,IF(AZ6&lt;Bewertung_Stammdaten!J$72,Bewertung_Stammdaten!I$72,Bewertung_Stammdaten!I$73)))))))))</f>
        <v>5</v>
      </c>
      <c r="BD6" s="43"/>
      <c r="BE6" s="12">
        <f>VLOOKUP(A6,Aktien_im_Umlauf_splitbereinigt!A$3:AB$103,28,FALSE)</f>
        <v>-2.7105734767025047E-2</v>
      </c>
      <c r="BF6" s="12">
        <f>VLOOKUP(A6,Aktien_im_Umlauf_splitbereinigt!A$3:AA$103,26,FALSE)</f>
        <v>-1.6542282537404938E-2</v>
      </c>
      <c r="BG6" s="12">
        <f>VLOOKUP(A6,Aktien_im_Umlauf_splitbereinigt!A$3:AA$103,27,FALSE)</f>
        <v>0.63857283332782711</v>
      </c>
      <c r="BH6" s="41">
        <f>IF(BE6&lt;Bewertung_Stammdaten!B$77,Bewertung_Stammdaten!A$77,IF(BE6&lt;Bewertung_Stammdaten!B$78,Bewertung_Stammdaten!A$78,IF(BE6&lt;Bewertung_Stammdaten!B$79,Bewertung_Stammdaten!A$79,IF(BE6&lt;Bewertung_Stammdaten!B$80,Bewertung_Stammdaten!A$80,IF(BE6&lt;Bewertung_Stammdaten!B$81,Bewertung_Stammdaten!A$81,IF(BE6&lt;Bewertung_Stammdaten!B$82,Bewertung_Stammdaten!A$82,IF(BE6&lt;Bewertung_Stammdaten!B$83,Bewertung_Stammdaten!A$83,IF(BE6&lt;Bewertung_Stammdaten!B$84,Bewertung_Stammdaten!A$84,IF(BE6&lt;Bewertung_Stammdaten!B$85,Bewertung_Stammdaten!A$85,Bewertung_Stammdaten!A$86)))))))))</f>
        <v>8</v>
      </c>
      <c r="BI6" s="41">
        <f>IF(BF6&lt;Bewertung_Stammdaten!F$77,Bewertung_Stammdaten!E$77,IF(BF6&lt;Bewertung_Stammdaten!F$78,Bewertung_Stammdaten!E$78,IF(BF6&lt;Bewertung_Stammdaten!F$79,Bewertung_Stammdaten!E$79,IF(BF6&lt;Bewertung_Stammdaten!F$80,Bewertung_Stammdaten!E$80,IF(BF6&lt;Bewertung_Stammdaten!F$81,Bewertung_Stammdaten!E$81,IF(BF6&lt;Bewertung_Stammdaten!F$82,Bewertung_Stammdaten!E$82,IF(BF6&lt;Bewertung_Stammdaten!F$83,Bewertung_Stammdaten!E$83,IF(BF6&lt;Bewertung_Stammdaten!F$84,Bewertung_Stammdaten!E$84,IF(BF6&lt;Bewertung_Stammdaten!F$85,Bewertung_Stammdaten!E$85,Bewertung_Stammdaten!E$86)))))))))</f>
        <v>6</v>
      </c>
      <c r="BJ6" s="41">
        <f>IF(BG6&lt;Bewertung_Stammdaten!J$77,Bewertung_Stammdaten!I$77,IF(BG6&lt;Bewertung_Stammdaten!J$78,Bewertung_Stammdaten!I$78,IF(BG6&lt;Bewertung_Stammdaten!J$79,Bewertung_Stammdaten!I$79,IF(BG6&lt;Bewertung_Stammdaten!J$80,Bewertung_Stammdaten!I$80,IF(BG6&lt;Bewertung_Stammdaten!J$81,Bewertung_Stammdaten!I$81,IF(BG6&lt;Bewertung_Stammdaten!J$82,Bewertung_Stammdaten!I$82,IF(BG6&lt;Bewertung_Stammdaten!J$83,Bewertung_Stammdaten!I$83,IF(BG6&lt;Bewertung_Stammdaten!J$84,Bewertung_Stammdaten!I$84,IF(BG6&lt;Bewertung_Stammdaten!J$85,Bewertung_Stammdaten!I$85,Bewertung_Stammdaten!I$86)))))))))</f>
        <v>4</v>
      </c>
      <c r="BK6" s="43"/>
      <c r="BL6" s="12">
        <f ca="1">VLOOKUP(A6,Ausschüttungsquote!A$3:AL$103,37,FALSE)</f>
        <v>0.2520933014354067</v>
      </c>
      <c r="BM6" s="12">
        <f>VLOOKUP(A6,Ausschüttungsquote!A$3:AL$103,19,FALSE)</f>
        <v>0.41766367912522451</v>
      </c>
      <c r="BN6" s="12">
        <f ca="1">VLOOKUP(A6,Ausschüttungsquote!A$3:AL$103,38,FALSE)</f>
        <v>0.84052142746487135</v>
      </c>
      <c r="BO6" s="32">
        <f ca="1">IF(BL6&lt;Bewertung_Stammdaten!B$90,Bewertung_Stammdaten!A$90,IF(BL6&lt;Bewertung_Stammdaten!B$91,Bewertung_Stammdaten!A$91,IF(BL6&lt;Bewertung_Stammdaten!B$92,Bewertung_Stammdaten!A$92,IF(BL6&lt;Bewertung_Stammdaten!B$93,Bewertung_Stammdaten!A$93,IF(BL6&lt;Bewertung_Stammdaten!B$94,Bewertung_Stammdaten!A$94,IF(BL6&lt;Bewertung_Stammdaten!B$95,Bewertung_Stammdaten!A$95,IF(BL6&lt;Bewertung_Stammdaten!B$96,Bewertung_Stammdaten!A$96,IF(BL6&lt;Bewertung_Stammdaten!B$97,Bewertung_Stammdaten!A$97,IF(BL6&lt;Bewertung_Stammdaten!B$98,Bewertung_Stammdaten!A$98,Bewertung_Stammdaten!A$99)))))))))</f>
        <v>10</v>
      </c>
      <c r="BP6" s="41">
        <f>IF(BM6&lt;Bewertung_Stammdaten!F$90,Bewertung_Stammdaten!E$90,IF(BM6&lt;Bewertung_Stammdaten!F$91,Bewertung_Stammdaten!E$91,IF(BM6&lt;Bewertung_Stammdaten!F$92,Bewertung_Stammdaten!E$92,IF(BM6&lt;Bewertung_Stammdaten!F$93,Bewertung_Stammdaten!E$93,IF(BM6&lt;Bewertung_Stammdaten!F$94,Bewertung_Stammdaten!E$94,IF(BM6&lt;Bewertung_Stammdaten!F$95,Bewertung_Stammdaten!E$95,IF(BM6&lt;Bewertung_Stammdaten!F$96,Bewertung_Stammdaten!E$96,IF(BM6&lt;Bewertung_Stammdaten!F$97,Bewertung_Stammdaten!E$97,IF(BM6&lt;Bewertung_Stammdaten!F$98,Bewertung_Stammdaten!E$98,Bewertung_Stammdaten!E$99)))))))))</f>
        <v>9</v>
      </c>
      <c r="BQ6" s="32">
        <f ca="1">IF(BN6&lt;Bewertung_Stammdaten!J$90,Bewertung_Stammdaten!I$90,IF(BN6&lt;Bewertung_Stammdaten!J$91,Bewertung_Stammdaten!I$91,IF(BN6&lt;Bewertung_Stammdaten!J$92,Bewertung_Stammdaten!I$92,IF(BN6&lt;Bewertung_Stammdaten!J$93,Bewertung_Stammdaten!I$93,IF(BN6&lt;Bewertung_Stammdaten!J$94,Bewertung_Stammdaten!I$94,IF(BN6&lt;Bewertung_Stammdaten!J$95,Bewertung_Stammdaten!I$95,IF(BN6&lt;Bewertung_Stammdaten!J$96,Bewertung_Stammdaten!I$96,IF(BN6&lt;Bewertung_Stammdaten!J$97,Bewertung_Stammdaten!I$97,IF(BN6&lt;Bewertung_Stammdaten!J$98,Bewertung_Stammdaten!I$98,Bewertung_Stammdaten!I$99)))))))))</f>
        <v>1</v>
      </c>
    </row>
    <row r="7" spans="1:69">
      <c r="A7" s="38" t="s">
        <v>91</v>
      </c>
      <c r="B7" s="38" t="s">
        <v>194</v>
      </c>
      <c r="C7" s="38" t="s">
        <v>283</v>
      </c>
      <c r="D7" s="32">
        <f t="shared" ca="1" si="0"/>
        <v>196.5</v>
      </c>
      <c r="E7" s="43"/>
      <c r="F7" s="60">
        <v>1</v>
      </c>
      <c r="G7" s="11">
        <f ca="1">VLOOKUP(A7,KGV!A$3:R$103,17,FALSE)</f>
        <v>16.302851524090464</v>
      </c>
      <c r="H7" s="11">
        <f>VLOOKUP(A7,KGV!A$3:R$103,16,FALSE)</f>
        <v>17.462564102564102</v>
      </c>
      <c r="I7" s="12">
        <f ca="1">VLOOKUP(A7,KGV!A$3:R$103,18,FALSE)</f>
        <v>-6.6411356984129921E-2</v>
      </c>
      <c r="J7" s="16">
        <f t="shared" ca="1" si="1"/>
        <v>20.650278597181256</v>
      </c>
      <c r="K7" s="12">
        <f t="shared" ca="1" si="2"/>
        <v>0.18254561448676876</v>
      </c>
      <c r="L7" s="11">
        <f ca="1">VLOOKUP(A7,KBV!A$3:R$103,17,FALSE)</f>
        <v>1.8618753509264461</v>
      </c>
      <c r="M7" s="11">
        <f>VLOOKUP(A7,KBV!A$3:R$103,16,FALSE)</f>
        <v>1.7013481828839392</v>
      </c>
      <c r="N7" s="12">
        <f ca="1">VLOOKUP(A7,KBV!A$3:R$103,18,FALSE)</f>
        <v>9.4352919442038496E-2</v>
      </c>
      <c r="O7" s="16">
        <f t="shared" ca="1" si="3"/>
        <v>1.8618753509264461</v>
      </c>
      <c r="P7" s="12">
        <f t="shared" ca="1" si="4"/>
        <v>9.4352919442038496E-2</v>
      </c>
      <c r="Q7" s="32">
        <f ca="1">IF(F7=1,IF(I7&lt;Bewertung_Stammdaten!B$12,Bewertung_Stammdaten!A$12,IF(I7&lt;Bewertung_Stammdaten!B$13,Bewertung_Stammdaten!A$13,IF(I7&lt;Bewertung_Stammdaten!B$14,Bewertung_Stammdaten!A$14,IF(I7&lt;Bewertung_Stammdaten!B$15,Bewertung_Stammdaten!A$15,IF(I7&lt;Bewertung_Stammdaten!B$16,Bewertung_Stammdaten!A$16,IF(I7&lt;Bewertung_Stammdaten!B$17,Bewertung_Stammdaten!A$17,IF(I7&lt;Bewertung_Stammdaten!B$18,Bewertung_Stammdaten!A$18,IF(I7&lt;Bewertung_Stammdaten!B$19,Bewertung_Stammdaten!A$19,IF(I7&lt;Bewertung_Stammdaten!B$20,Bewertung_Stammdaten!A$20,Bewertung_Stammdaten!A$21))))))))),IF(N7&lt;Bewertung_Stammdaten!C$12,Bewertung_Stammdaten!A$12,IF(N7&lt;Bewertung_Stammdaten!C$13,Bewertung_Stammdaten!A$13,IF(N7&lt;Bewertung_Stammdaten!C$14,Bewertung_Stammdaten!A$14,IF(N7&lt;Bewertung_Stammdaten!C$15,Bewertung_Stammdaten!A$15,IF(N7&lt;Bewertung_Stammdaten!C$16,Bewertung_Stammdaten!A$16,IF(N7&lt;Bewertung_Stammdaten!C$17,Bewertung_Stammdaten!A$17,IF(N7&lt;Bewertung_Stammdaten!C$18,Bewertung_Stammdaten!A$18,IF(N7&lt;Bewertung_Stammdaten!C$19,Bewertung_Stammdaten!A$19,IF(N7&lt;Bewertung_Stammdaten!C$20,Bewertung_Stammdaten!A$20,Bewertung_Stammdaten!A$21))))))))))</f>
        <v>48</v>
      </c>
      <c r="R7" s="32">
        <f ca="1">IF(F7=1,IF(K7&lt;Bewertung_Stammdaten!F$12,Bewertung_Stammdaten!E$12,IF(K7&lt;Bewertung_Stammdaten!F$13,Bewertung_Stammdaten!E$13,IF(K7&lt;Bewertung_Stammdaten!F$14,Bewertung_Stammdaten!E$14,IF(K7&lt;Bewertung_Stammdaten!F$15,Bewertung_Stammdaten!E$15,IF(K7&lt;Bewertung_Stammdaten!F$16,Bewertung_Stammdaten!E$16,IF(K7&lt;Bewertung_Stammdaten!F$17,Bewertung_Stammdaten!E$17,IF(K7&lt;Bewertung_Stammdaten!F$18,Bewertung_Stammdaten!E$18,IF(K7&lt;Bewertung_Stammdaten!F$19,Bewertung_Stammdaten!E$19,IF(K7&lt;Bewertung_Stammdaten!F$20,Bewertung_Stammdaten!E$20,Bewertung_Stammdaten!E$21))))))))),IF(P7&lt;Bewertung_Stammdaten!G$12,Bewertung_Stammdaten!E$12,IF(P7&lt;Bewertung_Stammdaten!G$13,Bewertung_Stammdaten!E$13,IF(P7&lt;Bewertung_Stammdaten!G$14,Bewertung_Stammdaten!E$14,IF(P7&lt;Bewertung_Stammdaten!G$15,Bewertung_Stammdaten!E$15,IF(P7&lt;Bewertung_Stammdaten!G$16,Bewertung_Stammdaten!E$16,IF(P7&lt;Bewertung_Stammdaten!G$17,Bewertung_Stammdaten!E$17,IF(P7&lt;Bewertung_Stammdaten!G$18,Bewertung_Stammdaten!E$18,IF(P7&lt;Bewertung_Stammdaten!G$19,Bewertung_Stammdaten!E$19,IF(P7&lt;Bewertung_Stammdaten!G$20,Bewertung_Stammdaten!E$20,Bewertung_Stammdaten!E$21))))))))))</f>
        <v>15</v>
      </c>
      <c r="S7" s="43"/>
      <c r="T7" s="11">
        <f ca="1">VLOOKUP(A7,Buchwert_je_Aktie!A$3:AK$103,23,FALSE)</f>
        <v>178.1</v>
      </c>
      <c r="U7" s="11">
        <f>VLOOKUP(A7,Buchwert_je_Aktie!A$3:AK$103,19,FALSE)</f>
        <v>145.65615384615381</v>
      </c>
      <c r="V7" s="12">
        <f ca="1">VLOOKUP(A7,Buchwert_je_Aktie!A$3:AK$103,24,FALSE)</f>
        <v>0.22274270806377539</v>
      </c>
      <c r="W7" s="12">
        <f>VLOOKUP(A7,Buchwert_je_Aktie!A$3:AK$103,37,FALSE)</f>
        <v>1.3669884285628653E-2</v>
      </c>
      <c r="X7" s="16">
        <f t="shared" ca="1" si="5"/>
        <v>178.1</v>
      </c>
      <c r="Y7" s="12">
        <f t="shared" ca="1" si="6"/>
        <v>0.22274270806377539</v>
      </c>
      <c r="Z7" s="51">
        <f ca="1">IF(V7&lt;Bewertung_Stammdaten!B$25,Bewertung_Stammdaten!A$25,IF(V7&lt;Bewertung_Stammdaten!B$26,Bewertung_Stammdaten!A$26,IF(V7&lt;Bewertung_Stammdaten!B$27,Bewertung_Stammdaten!A$27,IF(V7&lt;Bewertung_Stammdaten!B$28,Bewertung_Stammdaten!A$28,IF(V7&lt;Bewertung_Stammdaten!B$29,Bewertung_Stammdaten!A$29,IF(V7&lt;Bewertung_Stammdaten!B$30,Bewertung_Stammdaten!A$30,IF(V7&lt;Bewertung_Stammdaten!B$31,Bewertung_Stammdaten!A$31,IF(V7&lt;Bewertung_Stammdaten!B$32,Bewertung_Stammdaten!A$32,IF(V7&lt;Bewertung_Stammdaten!B$33,Bewertung_Stammdaten!A$33,Bewertung_Stammdaten!A$34)))))))))</f>
        <v>7.5</v>
      </c>
      <c r="AA7" s="51">
        <f>IF(W7&lt;Bewertung_Stammdaten!F$25,Bewertung_Stammdaten!E$25,IF(W7&lt;Bewertung_Stammdaten!F$26,Bewertung_Stammdaten!E$26,IF(W7&lt;Bewertung_Stammdaten!F$27,Bewertung_Stammdaten!E$27,IF(W7&lt;Bewertung_Stammdaten!F$28,Bewertung_Stammdaten!E$28,IF(W7&lt;Bewertung_Stammdaten!F$29,Bewertung_Stammdaten!E$29,IF(W7&lt;Bewertung_Stammdaten!F$30,Bewertung_Stammdaten!E$30,IF(W7&lt;Bewertung_Stammdaten!F$31,Bewertung_Stammdaten!E$31,IF(W7&lt;Bewertung_Stammdaten!F$32,Bewertung_Stammdaten!E$32,IF(W7&lt;Bewertung_Stammdaten!F$33,Bewertung_Stammdaten!E$33,Bewertung_Stammdaten!E$34)))))))))</f>
        <v>12</v>
      </c>
      <c r="AB7" s="51">
        <f ca="1">IF(Y7&lt;Bewertung_Stammdaten!J$25,Bewertung_Stammdaten!I$25,IF(Y7&lt;Bewertung_Stammdaten!J$26,Bewertung_Stammdaten!I$26,IF(Y7&lt;Bewertung_Stammdaten!J$27,Bewertung_Stammdaten!I$27,IF(Y7&lt;Bewertung_Stammdaten!J$28,Bewertung_Stammdaten!I$28,IF(Y7&lt;Bewertung_Stammdaten!J$29,Bewertung_Stammdaten!I$29,IF(Y7&lt;Bewertung_Stammdaten!J$30,Bewertung_Stammdaten!I$30,IF(Y7&lt;Bewertung_Stammdaten!J$31,Bewertung_Stammdaten!I$31,IF(Y7&lt;Bewertung_Stammdaten!J$32,Bewertung_Stammdaten!I$32,IF(Y7&lt;Bewertung_Stammdaten!J$33,Bewertung_Stammdaten!I$33,Bewertung_Stammdaten!I$34)))))))))</f>
        <v>5</v>
      </c>
      <c r="AC7" s="43"/>
      <c r="AD7" s="14">
        <f ca="1">VLOOKUP(A7,Ergebnis_je_Aktie_verwässert!A$3:AK$103,23,FALSE)</f>
        <v>20.34</v>
      </c>
      <c r="AE7" s="14">
        <f>VLOOKUP(A7,Ergebnis_je_Aktie_verwässert!A$3:AK$103,19,FALSE)</f>
        <v>14.266923076923074</v>
      </c>
      <c r="AF7" s="12">
        <f ca="1">VLOOKUP(A7,Ergebnis_je_Aktie_verwässert!A$3:AK$103,24,FALSE)</f>
        <v>0.42567531137111136</v>
      </c>
      <c r="AG7" s="40">
        <f>VLOOKUP(A7,Ergebnis_je_Aktie_verwässert!A$3:AK$103,37,FALSE)</f>
        <v>-0.21052631578947367</v>
      </c>
      <c r="AH7" s="16">
        <f t="shared" ca="1" si="7"/>
        <v>16.057894736842105</v>
      </c>
      <c r="AI7" s="12">
        <f t="shared" ca="1" si="8"/>
        <v>0.12553314055614062</v>
      </c>
      <c r="AJ7" s="32">
        <f ca="1">IF(AF7&lt;Bewertung_Stammdaten!B$38,Bewertung_Stammdaten!A$38,IF(AF7&lt;Bewertung_Stammdaten!B$39,Bewertung_Stammdaten!A$39,IF(AF7&lt;Bewertung_Stammdaten!B$40,Bewertung_Stammdaten!A$40,IF(AF7&lt;Bewertung_Stammdaten!B$41,Bewertung_Stammdaten!A$41,IF(AF7&lt;Bewertung_Stammdaten!B$42,Bewertung_Stammdaten!A$42,IF(AF7&lt;Bewertung_Stammdaten!B$43,Bewertung_Stammdaten!A$43,IF(AF7&lt;Bewertung_Stammdaten!B$44,Bewertung_Stammdaten!A$44,IF(AF7&lt;Bewertung_Stammdaten!B$45,Bewertung_Stammdaten!A$45,IF(AF7&lt;Bewertung_Stammdaten!B$46,Bewertung_Stammdaten!A$46,Bewertung_Stammdaten!A$47)))))))))</f>
        <v>16</v>
      </c>
      <c r="AK7" s="32">
        <f>IF(AG7&lt;Bewertung_Stammdaten!F$38,Bewertung_Stammdaten!E$38,IF(AG7&lt;Bewertung_Stammdaten!F$39,Bewertung_Stammdaten!E$39,IF(AG7&lt;Bewertung_Stammdaten!F$40,Bewertung_Stammdaten!E$40,IF(AG7&lt;Bewertung_Stammdaten!F$41,Bewertung_Stammdaten!E$41,IF(AG7&lt;Bewertung_Stammdaten!F$42,Bewertung_Stammdaten!E$42,IF(AG7&lt;Bewertung_Stammdaten!F$43,Bewertung_Stammdaten!E$43,IF(AG7&lt;Bewertung_Stammdaten!F$44,Bewertung_Stammdaten!E$44,IF(AG7&lt;Bewertung_Stammdaten!F$45,Bewertung_Stammdaten!E$45,IF(AG7&lt;Bewertung_Stammdaten!F$46,Bewertung_Stammdaten!E$46,Bewertung_Stammdaten!E$47)))))))))</f>
        <v>7.5</v>
      </c>
      <c r="AL7" s="32">
        <f ca="1">IF(AI7&lt;Bewertung_Stammdaten!J$38,Bewertung_Stammdaten!I$38,IF(AI7&lt;Bewertung_Stammdaten!J$39,Bewertung_Stammdaten!I$39,IF(AI7&lt;Bewertung_Stammdaten!J$40,Bewertung_Stammdaten!I$40,IF(AI7&lt;Bewertung_Stammdaten!J$41,Bewertung_Stammdaten!I$41,IF(AI7&lt;Bewertung_Stammdaten!J$42,Bewertung_Stammdaten!I$42,IF(AI7&lt;Bewertung_Stammdaten!J$43,Bewertung_Stammdaten!I$43,IF(AI7&lt;Bewertung_Stammdaten!J$44,Bewertung_Stammdaten!I$44,IF(AI7&lt;Bewertung_Stammdaten!J$45,Bewertung_Stammdaten!I$45,IF(AI7&lt;Bewertung_Stammdaten!J$46,Bewertung_Stammdaten!I$46,Bewertung_Stammdaten!I$47)))))))))</f>
        <v>5</v>
      </c>
      <c r="AM7" s="43"/>
      <c r="AN7" s="14">
        <f ca="1">VLOOKUP(A7,Dividende_je_Aktie!A$3:AM$103,24,FALSE)</f>
        <v>9.4049999999999994</v>
      </c>
      <c r="AO7" s="14">
        <f>VLOOKUP(A7,Dividende_je_Aktie!A$3:AM$103,20,FALSE)</f>
        <v>5.7478571428571437</v>
      </c>
      <c r="AP7" s="12">
        <f ca="1">VLOOKUP(A7,Dividende_je_Aktie!A$3:AM$103,25,FALSE)</f>
        <v>0.63626196097924659</v>
      </c>
      <c r="AQ7" s="40">
        <f>VLOOKUP(A7,Dividende_je_Aktie!A$3:AM$103,39,FALSE)</f>
        <v>0</v>
      </c>
      <c r="AR7" s="16">
        <f t="shared" ca="1" si="9"/>
        <v>9.4049999999999994</v>
      </c>
      <c r="AS7" s="12">
        <f t="shared" ca="1" si="10"/>
        <v>0.63626196097924659</v>
      </c>
      <c r="AT7" s="32">
        <f ca="1">IF(AP7&lt;Bewertung_Stammdaten!B$51,Bewertung_Stammdaten!A$51,IF(AP7&lt;Bewertung_Stammdaten!B$52,Bewertung_Stammdaten!A$52,IF(AP7&lt;Bewertung_Stammdaten!B$53,Bewertung_Stammdaten!A$53,IF(AP7&lt;Bewertung_Stammdaten!B$54,Bewertung_Stammdaten!A$54,IF(AP7&lt;Bewertung_Stammdaten!B$55,Bewertung_Stammdaten!A$55,IF(AP7&lt;Bewertung_Stammdaten!B$56,Bewertung_Stammdaten!A$56,IF(AP7&lt;Bewertung_Stammdaten!B$57,Bewertung_Stammdaten!A$57,IF(AP7&lt;Bewertung_Stammdaten!B$58,Bewertung_Stammdaten!A$58,IF(AP7&lt;Bewertung_Stammdaten!B$59,Bewertung_Stammdaten!A$59,Bewertung_Stammdaten!A$60)))))))))</f>
        <v>18</v>
      </c>
      <c r="AU7" s="32">
        <f>IF(AQ7&lt;Bewertung_Stammdaten!F$51,Bewertung_Stammdaten!E$51,IF(AQ7&lt;Bewertung_Stammdaten!F$52,Bewertung_Stammdaten!E$52,IF(AQ7&lt;Bewertung_Stammdaten!F$53,Bewertung_Stammdaten!E$53,IF(AQ7&lt;Bewertung_Stammdaten!F$54,Bewertung_Stammdaten!E$54,IF(AQ7&lt;Bewertung_Stammdaten!F$55,Bewertung_Stammdaten!E$55,IF(AQ7&lt;Bewertung_Stammdaten!F$56,Bewertung_Stammdaten!E$56,IF(AQ7&lt;Bewertung_Stammdaten!F$57,Bewertung_Stammdaten!E$57,IF(AQ7&lt;Bewertung_Stammdaten!F$58,Bewertung_Stammdaten!E$58,IF(AQ7&lt;Bewertung_Stammdaten!F$59,Bewertung_Stammdaten!E$59,Bewertung_Stammdaten!E$60)))))))))</f>
        <v>12</v>
      </c>
      <c r="AV7" s="32">
        <f ca="1">IF(AS7&lt;Bewertung_Stammdaten!J$51,Bewertung_Stammdaten!I$51,IF(AS7&lt;Bewertung_Stammdaten!J$52,Bewertung_Stammdaten!I$52,IF(AS7&lt;Bewertung_Stammdaten!J$53,Bewertung_Stammdaten!I$53,IF(AS7&lt;Bewertung_Stammdaten!J$54,Bewertung_Stammdaten!I$54,IF(AS7&lt;Bewertung_Stammdaten!J$55,Bewertung_Stammdaten!I$55,IF(AS7&lt;Bewertung_Stammdaten!J$56,Bewertung_Stammdaten!I$56,IF(AS7&lt;Bewertung_Stammdaten!J$57,Bewertung_Stammdaten!I$57,IF(AS7&lt;Bewertung_Stammdaten!J$58,Bewertung_Stammdaten!I$58,IF(AS7&lt;Bewertung_Stammdaten!J$59,Bewertung_Stammdaten!I$59,Bewertung_Stammdaten!I$60)))))))))</f>
        <v>10</v>
      </c>
      <c r="AW7" s="43"/>
      <c r="AX7" s="12">
        <f ca="1">VLOOKUP(A7,Dividendenrendite!A$3:R$103,17,FALSE)</f>
        <v>2.8362484921592275E-2</v>
      </c>
      <c r="AY7" s="12">
        <f>VLOOKUP(A7,Dividendenrendite!A$3:R$103,16,FALSE)</f>
        <v>2.1394602932387388E-2</v>
      </c>
      <c r="AZ7" s="12">
        <f ca="1">VLOOKUP(A7,Dividendenrendite!A$3:R$103,18,FALSE)</f>
        <v>0.325684099453738</v>
      </c>
      <c r="BA7" s="32">
        <f ca="1">IF(AX7&lt;Bewertung_Stammdaten!B$64,Bewertung_Stammdaten!A$64,IF(AX7&lt;Bewertung_Stammdaten!B$65,Bewertung_Stammdaten!A$65,IF(AX7&lt;Bewertung_Stammdaten!B$66,Bewertung_Stammdaten!A$66,IF(AX7&lt;Bewertung_Stammdaten!B$67,Bewertung_Stammdaten!A$67,IF(AX7&lt;Bewertung_Stammdaten!B$68,Bewertung_Stammdaten!A$68,IF(AX7&lt;Bewertung_Stammdaten!B$69,Bewertung_Stammdaten!A$69,IF(AX7&lt;Bewertung_Stammdaten!B$70,Bewertung_Stammdaten!A$70,IF(AX7&lt;Bewertung_Stammdaten!B$71,Bewertung_Stammdaten!A$71,IF(AX7&lt;Bewertung_Stammdaten!B$72,Bewertung_Stammdaten!A$72,Bewertung_Stammdaten!A$73)))))))))</f>
        <v>9</v>
      </c>
      <c r="BB7" s="32">
        <f>IF(AY7&lt;Bewertung_Stammdaten!F$64,Bewertung_Stammdaten!E$64,IF(AY7&lt;Bewertung_Stammdaten!F$65,Bewertung_Stammdaten!E$65,IF(AY7&lt;Bewertung_Stammdaten!F$66,Bewertung_Stammdaten!E$66,IF(AY7&lt;Bewertung_Stammdaten!F$67,Bewertung_Stammdaten!E$67,IF(AY7&lt;Bewertung_Stammdaten!F$68,Bewertung_Stammdaten!E$68,IF(AY7&lt;Bewertung_Stammdaten!F$69,Bewertung_Stammdaten!E$69,IF(AY7&lt;Bewertung_Stammdaten!F$70,Bewertung_Stammdaten!E$70,IF(AY7&lt;Bewertung_Stammdaten!F$71,Bewertung_Stammdaten!E$71,IF(AY7&lt;Bewertung_Stammdaten!F$72,Bewertung_Stammdaten!E$72,Bewertung_Stammdaten!E$73)))))))))</f>
        <v>5</v>
      </c>
      <c r="BC7" s="32">
        <f ca="1">IF(AZ7&lt;Bewertung_Stammdaten!J$64,Bewertung_Stammdaten!I$64,IF(AZ7&lt;Bewertung_Stammdaten!J$65,Bewertung_Stammdaten!I$65,IF(AZ7&lt;Bewertung_Stammdaten!J$66,Bewertung_Stammdaten!I$66,IF(AZ7&lt;Bewertung_Stammdaten!J$67,Bewertung_Stammdaten!I$67,IF(AZ7&lt;Bewertung_Stammdaten!J$68,Bewertung_Stammdaten!I$68,IF(AZ7&lt;Bewertung_Stammdaten!J$69,Bewertung_Stammdaten!I$69,IF(AZ7&lt;Bewertung_Stammdaten!J$70,Bewertung_Stammdaten!I$70,IF(AZ7&lt;Bewertung_Stammdaten!J$71,Bewertung_Stammdaten!I$71,IF(AZ7&lt;Bewertung_Stammdaten!J$72,Bewertung_Stammdaten!I$72,Bewertung_Stammdaten!I$73)))))))))</f>
        <v>5</v>
      </c>
      <c r="BD7" s="43"/>
      <c r="BE7" s="12">
        <f>VLOOKUP(A7,Aktien_im_Umlauf_splitbereinigt!A$3:AB$103,28,FALSE)</f>
        <v>2.5790399902906769E-2</v>
      </c>
      <c r="BF7" s="12">
        <f>VLOOKUP(A7,Aktien_im_Umlauf_splitbereinigt!A$3:AA$103,26,FALSE)</f>
        <v>5.5292662480386223E-2</v>
      </c>
      <c r="BG7" s="12">
        <f>VLOOKUP(A7,Aktien_im_Umlauf_splitbereinigt!A$3:AA$103,27,FALSE)</f>
        <v>-99.999989999999997</v>
      </c>
      <c r="BH7" s="41">
        <f>IF(BE7&lt;Bewertung_Stammdaten!B$77,Bewertung_Stammdaten!A$77,IF(BE7&lt;Bewertung_Stammdaten!B$78,Bewertung_Stammdaten!A$78,IF(BE7&lt;Bewertung_Stammdaten!B$79,Bewertung_Stammdaten!A$79,IF(BE7&lt;Bewertung_Stammdaten!B$80,Bewertung_Stammdaten!A$80,IF(BE7&lt;Bewertung_Stammdaten!B$81,Bewertung_Stammdaten!A$81,IF(BE7&lt;Bewertung_Stammdaten!B$82,Bewertung_Stammdaten!A$82,IF(BE7&lt;Bewertung_Stammdaten!B$83,Bewertung_Stammdaten!A$83,IF(BE7&lt;Bewertung_Stammdaten!B$84,Bewertung_Stammdaten!A$84,IF(BE7&lt;Bewertung_Stammdaten!B$85,Bewertung_Stammdaten!A$85,Bewertung_Stammdaten!A$86)))))))))</f>
        <v>1</v>
      </c>
      <c r="BI7" s="41">
        <f>IF(BF7&lt;Bewertung_Stammdaten!F$77,Bewertung_Stammdaten!E$77,IF(BF7&lt;Bewertung_Stammdaten!F$78,Bewertung_Stammdaten!E$78,IF(BF7&lt;Bewertung_Stammdaten!F$79,Bewertung_Stammdaten!E$79,IF(BF7&lt;Bewertung_Stammdaten!F$80,Bewertung_Stammdaten!E$80,IF(BF7&lt;Bewertung_Stammdaten!F$81,Bewertung_Stammdaten!E$81,IF(BF7&lt;Bewertung_Stammdaten!F$82,Bewertung_Stammdaten!E$82,IF(BF7&lt;Bewertung_Stammdaten!F$83,Bewertung_Stammdaten!E$83,IF(BF7&lt;Bewertung_Stammdaten!F$84,Bewertung_Stammdaten!E$84,IF(BF7&lt;Bewertung_Stammdaten!F$85,Bewertung_Stammdaten!E$85,Bewertung_Stammdaten!E$86)))))))))</f>
        <v>1</v>
      </c>
      <c r="BJ7" s="41">
        <f>IF(BG7&lt;Bewertung_Stammdaten!J$77,Bewertung_Stammdaten!I$77,IF(BG7&lt;Bewertung_Stammdaten!J$78,Bewertung_Stammdaten!I$78,IF(BG7&lt;Bewertung_Stammdaten!J$79,Bewertung_Stammdaten!I$79,IF(BG7&lt;Bewertung_Stammdaten!J$80,Bewertung_Stammdaten!I$80,IF(BG7&lt;Bewertung_Stammdaten!J$81,Bewertung_Stammdaten!I$81,IF(BG7&lt;Bewertung_Stammdaten!J$82,Bewertung_Stammdaten!I$82,IF(BG7&lt;Bewertung_Stammdaten!J$83,Bewertung_Stammdaten!I$83,IF(BG7&lt;Bewertung_Stammdaten!J$84,Bewertung_Stammdaten!I$84,IF(BG7&lt;Bewertung_Stammdaten!J$85,Bewertung_Stammdaten!I$85,Bewertung_Stammdaten!I$86)))))))))</f>
        <v>0.5</v>
      </c>
      <c r="BK7" s="43"/>
      <c r="BL7" s="12">
        <f ca="1">VLOOKUP(A7,Ausschüttungsquote!A$3:AL$103,37,FALSE)</f>
        <v>0.46312590548464994</v>
      </c>
      <c r="BM7" s="12">
        <f>VLOOKUP(A7,Ausschüttungsquote!A$3:AL$103,19,FALSE)</f>
        <v>0.45428872140744159</v>
      </c>
      <c r="BN7" s="12">
        <f ca="1">VLOOKUP(A7,Ausschüttungsquote!A$3:AL$103,38,FALSE)</f>
        <v>0.1064447497501686</v>
      </c>
      <c r="BO7" s="32">
        <f ca="1">IF(BL7&lt;Bewertung_Stammdaten!B$90,Bewertung_Stammdaten!A$90,IF(BL7&lt;Bewertung_Stammdaten!B$91,Bewertung_Stammdaten!A$91,IF(BL7&lt;Bewertung_Stammdaten!B$92,Bewertung_Stammdaten!A$92,IF(BL7&lt;Bewertung_Stammdaten!B$93,Bewertung_Stammdaten!A$93,IF(BL7&lt;Bewertung_Stammdaten!B$94,Bewertung_Stammdaten!A$94,IF(BL7&lt;Bewertung_Stammdaten!B$95,Bewertung_Stammdaten!A$95,IF(BL7&lt;Bewertung_Stammdaten!B$96,Bewertung_Stammdaten!A$96,IF(BL7&lt;Bewertung_Stammdaten!B$97,Bewertung_Stammdaten!A$97,IF(BL7&lt;Bewertung_Stammdaten!B$98,Bewertung_Stammdaten!A$98,Bewertung_Stammdaten!A$99)))))))))</f>
        <v>8</v>
      </c>
      <c r="BP7" s="41">
        <f>IF(BM7&lt;Bewertung_Stammdaten!F$90,Bewertung_Stammdaten!E$90,IF(BM7&lt;Bewertung_Stammdaten!F$91,Bewertung_Stammdaten!E$91,IF(BM7&lt;Bewertung_Stammdaten!F$92,Bewertung_Stammdaten!E$92,IF(BM7&lt;Bewertung_Stammdaten!F$93,Bewertung_Stammdaten!E$93,IF(BM7&lt;Bewertung_Stammdaten!F$94,Bewertung_Stammdaten!E$94,IF(BM7&lt;Bewertung_Stammdaten!F$95,Bewertung_Stammdaten!E$95,IF(BM7&lt;Bewertung_Stammdaten!F$96,Bewertung_Stammdaten!E$96,IF(BM7&lt;Bewertung_Stammdaten!F$97,Bewertung_Stammdaten!E$97,IF(BM7&lt;Bewertung_Stammdaten!F$98,Bewertung_Stammdaten!E$98,Bewertung_Stammdaten!E$99)))))))))</f>
        <v>8</v>
      </c>
      <c r="BQ7" s="32">
        <f ca="1">IF(BN7&lt;Bewertung_Stammdaten!J$90,Bewertung_Stammdaten!I$90,IF(BN7&lt;Bewertung_Stammdaten!J$91,Bewertung_Stammdaten!I$91,IF(BN7&lt;Bewertung_Stammdaten!J$92,Bewertung_Stammdaten!I$92,IF(BN7&lt;Bewertung_Stammdaten!J$93,Bewertung_Stammdaten!I$93,IF(BN7&lt;Bewertung_Stammdaten!J$94,Bewertung_Stammdaten!I$94,IF(BN7&lt;Bewertung_Stammdaten!J$95,Bewertung_Stammdaten!I$95,IF(BN7&lt;Bewertung_Stammdaten!J$96,Bewertung_Stammdaten!I$96,IF(BN7&lt;Bewertung_Stammdaten!J$97,Bewertung_Stammdaten!I$97,IF(BN7&lt;Bewertung_Stammdaten!J$98,Bewertung_Stammdaten!I$98,Bewertung_Stammdaten!I$99)))))))))</f>
        <v>3</v>
      </c>
    </row>
    <row r="8" spans="1:69">
      <c r="A8" s="55" t="s">
        <v>267</v>
      </c>
      <c r="B8" s="55" t="s">
        <v>273</v>
      </c>
      <c r="C8" s="38" t="s">
        <v>283</v>
      </c>
      <c r="D8" s="32">
        <f t="shared" ca="1" si="0"/>
        <v>196.5</v>
      </c>
      <c r="E8" s="43"/>
      <c r="F8" s="60">
        <v>1</v>
      </c>
      <c r="G8" s="11">
        <f ca="1">VLOOKUP(A8,KGV!A$3:R$103,17,FALSE)</f>
        <v>17.880176211453744</v>
      </c>
      <c r="H8" s="11">
        <f>VLOOKUP(A8,KGV!A$3:R$103,16,FALSE)</f>
        <v>16.098958333333336</v>
      </c>
      <c r="I8" s="12">
        <f ca="1">VLOOKUP(A8,KGV!A$3:R$103,18,FALSE)</f>
        <v>0.11064180931708778</v>
      </c>
      <c r="J8" s="16">
        <f t="shared" ca="1" si="1"/>
        <v>17.880176211453744</v>
      </c>
      <c r="K8" s="12">
        <f t="shared" ca="1" si="2"/>
        <v>0.11064180931708778</v>
      </c>
      <c r="L8" s="11">
        <f ca="1">VLOOKUP(A8,KBV!A$3:R$103,17,FALSE)</f>
        <v>2.9107860011474469</v>
      </c>
      <c r="M8" s="11">
        <f>VLOOKUP(A8,KBV!A$3:R$103,16,FALSE)</f>
        <v>1.5790351485215797</v>
      </c>
      <c r="N8" s="12">
        <f ca="1">VLOOKUP(A8,KBV!A$3:R$103,18,FALSE)</f>
        <v>0.84339531888999431</v>
      </c>
      <c r="O8" s="16">
        <f t="shared" ca="1" si="3"/>
        <v>2.9107860011474469</v>
      </c>
      <c r="P8" s="12">
        <f t="shared" ca="1" si="4"/>
        <v>0.84339531888999431</v>
      </c>
      <c r="Q8" s="32">
        <f ca="1">IF(F8=1,IF(I8&lt;Bewertung_Stammdaten!B$12,Bewertung_Stammdaten!A$12,IF(I8&lt;Bewertung_Stammdaten!B$13,Bewertung_Stammdaten!A$13,IF(I8&lt;Bewertung_Stammdaten!B$14,Bewertung_Stammdaten!A$14,IF(I8&lt;Bewertung_Stammdaten!B$15,Bewertung_Stammdaten!A$15,IF(I8&lt;Bewertung_Stammdaten!B$16,Bewertung_Stammdaten!A$16,IF(I8&lt;Bewertung_Stammdaten!B$17,Bewertung_Stammdaten!A$17,IF(I8&lt;Bewertung_Stammdaten!B$18,Bewertung_Stammdaten!A$18,IF(I8&lt;Bewertung_Stammdaten!B$19,Bewertung_Stammdaten!A$19,IF(I8&lt;Bewertung_Stammdaten!B$20,Bewertung_Stammdaten!A$20,Bewertung_Stammdaten!A$21))))))))),IF(N8&lt;Bewertung_Stammdaten!C$12,Bewertung_Stammdaten!A$12,IF(N8&lt;Bewertung_Stammdaten!C$13,Bewertung_Stammdaten!A$13,IF(N8&lt;Bewertung_Stammdaten!C$14,Bewertung_Stammdaten!A$14,IF(N8&lt;Bewertung_Stammdaten!C$15,Bewertung_Stammdaten!A$15,IF(N8&lt;Bewertung_Stammdaten!C$16,Bewertung_Stammdaten!A$16,IF(N8&lt;Bewertung_Stammdaten!C$17,Bewertung_Stammdaten!A$17,IF(N8&lt;Bewertung_Stammdaten!C$18,Bewertung_Stammdaten!A$18,IF(N8&lt;Bewertung_Stammdaten!C$19,Bewertung_Stammdaten!A$19,IF(N8&lt;Bewertung_Stammdaten!C$20,Bewertung_Stammdaten!A$20,Bewertung_Stammdaten!A$21))))))))))</f>
        <v>24</v>
      </c>
      <c r="R8" s="32">
        <f ca="1">IF(F8=1,IF(K8&lt;Bewertung_Stammdaten!F$12,Bewertung_Stammdaten!E$12,IF(K8&lt;Bewertung_Stammdaten!F$13,Bewertung_Stammdaten!E$13,IF(K8&lt;Bewertung_Stammdaten!F$14,Bewertung_Stammdaten!E$14,IF(K8&lt;Bewertung_Stammdaten!F$15,Bewertung_Stammdaten!E$15,IF(K8&lt;Bewertung_Stammdaten!F$16,Bewertung_Stammdaten!E$16,IF(K8&lt;Bewertung_Stammdaten!F$17,Bewertung_Stammdaten!E$17,IF(K8&lt;Bewertung_Stammdaten!F$18,Bewertung_Stammdaten!E$18,IF(K8&lt;Bewertung_Stammdaten!F$19,Bewertung_Stammdaten!E$19,IF(K8&lt;Bewertung_Stammdaten!F$20,Bewertung_Stammdaten!E$20,Bewertung_Stammdaten!E$21))))))))),IF(P8&lt;Bewertung_Stammdaten!G$12,Bewertung_Stammdaten!E$12,IF(P8&lt;Bewertung_Stammdaten!G$13,Bewertung_Stammdaten!E$13,IF(P8&lt;Bewertung_Stammdaten!G$14,Bewertung_Stammdaten!E$14,IF(P8&lt;Bewertung_Stammdaten!G$15,Bewertung_Stammdaten!E$15,IF(P8&lt;Bewertung_Stammdaten!G$16,Bewertung_Stammdaten!E$16,IF(P8&lt;Bewertung_Stammdaten!G$17,Bewertung_Stammdaten!E$17,IF(P8&lt;Bewertung_Stammdaten!G$18,Bewertung_Stammdaten!E$18,IF(P8&lt;Bewertung_Stammdaten!G$19,Bewertung_Stammdaten!E$19,IF(P8&lt;Bewertung_Stammdaten!G$20,Bewertung_Stammdaten!E$20,Bewertung_Stammdaten!E$21))))))))))</f>
        <v>17.5</v>
      </c>
      <c r="S8" s="43"/>
      <c r="T8" s="11">
        <f ca="1">VLOOKUP(A8,Buchwert_je_Aktie!A$3:AK$103,23,FALSE)</f>
        <v>34.86</v>
      </c>
      <c r="U8" s="11">
        <f>VLOOKUP(A8,Buchwert_je_Aktie!A$3:AK$103,19,FALSE)</f>
        <v>30.44916666666667</v>
      </c>
      <c r="V8" s="12">
        <f ca="1">VLOOKUP(A8,Buchwert_je_Aktie!A$3:AK$103,24,FALSE)</f>
        <v>0.14485891786857863</v>
      </c>
      <c r="W8" s="12">
        <f>VLOOKUP(A8,Buchwert_je_Aktie!A$3:AK$103,37,FALSE)</f>
        <v>1.471471471471486E-2</v>
      </c>
      <c r="X8" s="16">
        <f t="shared" ca="1" si="5"/>
        <v>34.86</v>
      </c>
      <c r="Y8" s="12">
        <f t="shared" ca="1" si="6"/>
        <v>0.14485891786857863</v>
      </c>
      <c r="Z8" s="51">
        <f ca="1">IF(V8&lt;Bewertung_Stammdaten!B$25,Bewertung_Stammdaten!A$25,IF(V8&lt;Bewertung_Stammdaten!B$26,Bewertung_Stammdaten!A$26,IF(V8&lt;Bewertung_Stammdaten!B$27,Bewertung_Stammdaten!A$27,IF(V8&lt;Bewertung_Stammdaten!B$28,Bewertung_Stammdaten!A$28,IF(V8&lt;Bewertung_Stammdaten!B$29,Bewertung_Stammdaten!A$29,IF(V8&lt;Bewertung_Stammdaten!B$30,Bewertung_Stammdaten!A$30,IF(V8&lt;Bewertung_Stammdaten!B$31,Bewertung_Stammdaten!A$31,IF(V8&lt;Bewertung_Stammdaten!B$32,Bewertung_Stammdaten!A$32,IF(V8&lt;Bewertung_Stammdaten!B$33,Bewertung_Stammdaten!A$33,Bewertung_Stammdaten!A$34)))))))))</f>
        <v>6</v>
      </c>
      <c r="AA8" s="51">
        <f>IF(W8&lt;Bewertung_Stammdaten!F$25,Bewertung_Stammdaten!E$25,IF(W8&lt;Bewertung_Stammdaten!F$26,Bewertung_Stammdaten!E$26,IF(W8&lt;Bewertung_Stammdaten!F$27,Bewertung_Stammdaten!E$27,IF(W8&lt;Bewertung_Stammdaten!F$28,Bewertung_Stammdaten!E$28,IF(W8&lt;Bewertung_Stammdaten!F$29,Bewertung_Stammdaten!E$29,IF(W8&lt;Bewertung_Stammdaten!F$30,Bewertung_Stammdaten!E$30,IF(W8&lt;Bewertung_Stammdaten!F$31,Bewertung_Stammdaten!E$31,IF(W8&lt;Bewertung_Stammdaten!F$32,Bewertung_Stammdaten!E$32,IF(W8&lt;Bewertung_Stammdaten!F$33,Bewertung_Stammdaten!E$33,Bewertung_Stammdaten!E$34)))))))))</f>
        <v>12</v>
      </c>
      <c r="AB8" s="51">
        <f ca="1">IF(Y8&lt;Bewertung_Stammdaten!J$25,Bewertung_Stammdaten!I$25,IF(Y8&lt;Bewertung_Stammdaten!J$26,Bewertung_Stammdaten!I$26,IF(Y8&lt;Bewertung_Stammdaten!J$27,Bewertung_Stammdaten!I$27,IF(Y8&lt;Bewertung_Stammdaten!J$28,Bewertung_Stammdaten!I$28,IF(Y8&lt;Bewertung_Stammdaten!J$29,Bewertung_Stammdaten!I$29,IF(Y8&lt;Bewertung_Stammdaten!J$30,Bewertung_Stammdaten!I$30,IF(Y8&lt;Bewertung_Stammdaten!J$31,Bewertung_Stammdaten!I$31,IF(Y8&lt;Bewertung_Stammdaten!J$32,Bewertung_Stammdaten!I$32,IF(Y8&lt;Bewertung_Stammdaten!J$33,Bewertung_Stammdaten!I$33,Bewertung_Stammdaten!I$34)))))))))</f>
        <v>4</v>
      </c>
      <c r="AC8" s="43"/>
      <c r="AD8" s="14">
        <f ca="1">VLOOKUP(A8,Ergebnis_je_Aktie_verwässert!A$3:AK$103,23,FALSE)</f>
        <v>5.6749999999999998</v>
      </c>
      <c r="AE8" s="14">
        <f>VLOOKUP(A8,Ergebnis_je_Aktie_verwässert!A$3:AK$103,19,FALSE)</f>
        <v>3.677692307692308</v>
      </c>
      <c r="AF8" s="12">
        <f ca="1">VLOOKUP(A8,Ergebnis_je_Aktie_verwässert!A$3:AK$103,24,FALSE)</f>
        <v>0.54308722024681</v>
      </c>
      <c r="AG8" s="40">
        <f>VLOOKUP(A8,Ergebnis_je_Aktie_verwässert!A$3:AK$103,37,FALSE)</f>
        <v>2.008032128514059E-2</v>
      </c>
      <c r="AH8" s="16">
        <f t="shared" ca="1" si="7"/>
        <v>5.6749999999999998</v>
      </c>
      <c r="AI8" s="12">
        <f t="shared" ca="1" si="8"/>
        <v>0.54308722024681</v>
      </c>
      <c r="AJ8" s="32">
        <f ca="1">IF(AF8&lt;Bewertung_Stammdaten!B$38,Bewertung_Stammdaten!A$38,IF(AF8&lt;Bewertung_Stammdaten!B$39,Bewertung_Stammdaten!A$39,IF(AF8&lt;Bewertung_Stammdaten!B$40,Bewertung_Stammdaten!A$40,IF(AF8&lt;Bewertung_Stammdaten!B$41,Bewertung_Stammdaten!A$41,IF(AF8&lt;Bewertung_Stammdaten!B$42,Bewertung_Stammdaten!A$42,IF(AF8&lt;Bewertung_Stammdaten!B$43,Bewertung_Stammdaten!A$43,IF(AF8&lt;Bewertung_Stammdaten!B$44,Bewertung_Stammdaten!A$44,IF(AF8&lt;Bewertung_Stammdaten!B$45,Bewertung_Stammdaten!A$45,IF(AF8&lt;Bewertung_Stammdaten!B$46,Bewertung_Stammdaten!A$46,Bewertung_Stammdaten!A$47)))))))))</f>
        <v>18</v>
      </c>
      <c r="AK8" s="32">
        <f>IF(AG8&lt;Bewertung_Stammdaten!F$38,Bewertung_Stammdaten!E$38,IF(AG8&lt;Bewertung_Stammdaten!F$39,Bewertung_Stammdaten!E$39,IF(AG8&lt;Bewertung_Stammdaten!F$40,Bewertung_Stammdaten!E$40,IF(AG8&lt;Bewertung_Stammdaten!F$41,Bewertung_Stammdaten!E$41,IF(AG8&lt;Bewertung_Stammdaten!F$42,Bewertung_Stammdaten!E$42,IF(AG8&lt;Bewertung_Stammdaten!F$43,Bewertung_Stammdaten!E$43,IF(AG8&lt;Bewertung_Stammdaten!F$44,Bewertung_Stammdaten!E$44,IF(AG8&lt;Bewertung_Stammdaten!F$45,Bewertung_Stammdaten!E$45,IF(AG8&lt;Bewertung_Stammdaten!F$46,Bewertung_Stammdaten!E$46,Bewertung_Stammdaten!E$47)))))))))</f>
        <v>12</v>
      </c>
      <c r="AL8" s="32">
        <f ca="1">IF(AI8&lt;Bewertung_Stammdaten!J$38,Bewertung_Stammdaten!I$38,IF(AI8&lt;Bewertung_Stammdaten!J$39,Bewertung_Stammdaten!I$39,IF(AI8&lt;Bewertung_Stammdaten!J$40,Bewertung_Stammdaten!I$40,IF(AI8&lt;Bewertung_Stammdaten!J$41,Bewertung_Stammdaten!I$41,IF(AI8&lt;Bewertung_Stammdaten!J$42,Bewertung_Stammdaten!I$42,IF(AI8&lt;Bewertung_Stammdaten!J$43,Bewertung_Stammdaten!I$43,IF(AI8&lt;Bewertung_Stammdaten!J$44,Bewertung_Stammdaten!I$44,IF(AI8&lt;Bewertung_Stammdaten!J$45,Bewertung_Stammdaten!I$45,IF(AI8&lt;Bewertung_Stammdaten!J$46,Bewertung_Stammdaten!I$46,Bewertung_Stammdaten!I$47)))))))))</f>
        <v>9</v>
      </c>
      <c r="AM8" s="43"/>
      <c r="AN8" s="14">
        <f ca="1">VLOOKUP(A8,Dividende_je_Aktie!A$3:AM$103,24,FALSE)</f>
        <v>1.7169999999999996</v>
      </c>
      <c r="AO8" s="14">
        <f>VLOOKUP(A8,Dividende_je_Aktie!A$3:AM$103,20,FALSE)</f>
        <v>0.8479821428571428</v>
      </c>
      <c r="AP8" s="12">
        <f ca="1">VLOOKUP(A8,Dividende_je_Aktie!A$3:AM$103,25,FALSE)</f>
        <v>1.0248067892265249</v>
      </c>
      <c r="AQ8" s="40">
        <f>VLOOKUP(A8,Dividende_je_Aktie!A$3:AM$103,39,FALSE)</f>
        <v>6.8965517241379448E-2</v>
      </c>
      <c r="AR8" s="16">
        <f t="shared" ca="1" si="9"/>
        <v>1.7169999999999996</v>
      </c>
      <c r="AS8" s="12">
        <f t="shared" ca="1" si="10"/>
        <v>1.0248067892265249</v>
      </c>
      <c r="AT8" s="32">
        <f ca="1">IF(AP8&lt;Bewertung_Stammdaten!B$51,Bewertung_Stammdaten!A$51,IF(AP8&lt;Bewertung_Stammdaten!B$52,Bewertung_Stammdaten!A$52,IF(AP8&lt;Bewertung_Stammdaten!B$53,Bewertung_Stammdaten!A$53,IF(AP8&lt;Bewertung_Stammdaten!B$54,Bewertung_Stammdaten!A$54,IF(AP8&lt;Bewertung_Stammdaten!B$55,Bewertung_Stammdaten!A$55,IF(AP8&lt;Bewertung_Stammdaten!B$56,Bewertung_Stammdaten!A$56,IF(AP8&lt;Bewertung_Stammdaten!B$57,Bewertung_Stammdaten!A$57,IF(AP8&lt;Bewertung_Stammdaten!B$58,Bewertung_Stammdaten!A$58,IF(AP8&lt;Bewertung_Stammdaten!B$59,Bewertung_Stammdaten!A$59,Bewertung_Stammdaten!A$60)))))))))</f>
        <v>20</v>
      </c>
      <c r="AU8" s="32">
        <f>IF(AQ8&lt;Bewertung_Stammdaten!F$51,Bewertung_Stammdaten!E$51,IF(AQ8&lt;Bewertung_Stammdaten!F$52,Bewertung_Stammdaten!E$52,IF(AQ8&lt;Bewertung_Stammdaten!F$53,Bewertung_Stammdaten!E$53,IF(AQ8&lt;Bewertung_Stammdaten!F$54,Bewertung_Stammdaten!E$54,IF(AQ8&lt;Bewertung_Stammdaten!F$55,Bewertung_Stammdaten!E$55,IF(AQ8&lt;Bewertung_Stammdaten!F$56,Bewertung_Stammdaten!E$56,IF(AQ8&lt;Bewertung_Stammdaten!F$57,Bewertung_Stammdaten!E$57,IF(AQ8&lt;Bewertung_Stammdaten!F$58,Bewertung_Stammdaten!E$58,IF(AQ8&lt;Bewertung_Stammdaten!F$59,Bewertung_Stammdaten!E$59,Bewertung_Stammdaten!E$60)))))))))</f>
        <v>12</v>
      </c>
      <c r="AV8" s="32">
        <f ca="1">IF(AS8&lt;Bewertung_Stammdaten!J$51,Bewertung_Stammdaten!I$51,IF(AS8&lt;Bewertung_Stammdaten!J$52,Bewertung_Stammdaten!I$52,IF(AS8&lt;Bewertung_Stammdaten!J$53,Bewertung_Stammdaten!I$53,IF(AS8&lt;Bewertung_Stammdaten!J$54,Bewertung_Stammdaten!I$54,IF(AS8&lt;Bewertung_Stammdaten!J$55,Bewertung_Stammdaten!I$55,IF(AS8&lt;Bewertung_Stammdaten!J$56,Bewertung_Stammdaten!I$56,IF(AS8&lt;Bewertung_Stammdaten!J$57,Bewertung_Stammdaten!I$57,IF(AS8&lt;Bewertung_Stammdaten!J$58,Bewertung_Stammdaten!I$58,IF(AS8&lt;Bewertung_Stammdaten!J$59,Bewertung_Stammdaten!I$59,Bewertung_Stammdaten!I$60)))))))))</f>
        <v>10</v>
      </c>
      <c r="AW8" s="43"/>
      <c r="AX8" s="12">
        <f ca="1">VLOOKUP(A8,Dividendenrendite!A$3:R$103,17,FALSE)</f>
        <v>1.6921257514536311E-2</v>
      </c>
      <c r="AY8" s="12">
        <f>VLOOKUP(A8,Dividendenrendite!A$3:R$103,16,FALSE)</f>
        <v>1.1060490589832968E-2</v>
      </c>
      <c r="AZ8" s="12">
        <f ca="1">VLOOKUP(A8,Dividendenrendite!A$3:R$103,18,FALSE)</f>
        <v>0.52988308946175322</v>
      </c>
      <c r="BA8" s="32">
        <f ca="1">IF(AX8&lt;Bewertung_Stammdaten!B$64,Bewertung_Stammdaten!A$64,IF(AX8&lt;Bewertung_Stammdaten!B$65,Bewertung_Stammdaten!A$65,IF(AX8&lt;Bewertung_Stammdaten!B$66,Bewertung_Stammdaten!A$66,IF(AX8&lt;Bewertung_Stammdaten!B$67,Bewertung_Stammdaten!A$67,IF(AX8&lt;Bewertung_Stammdaten!B$68,Bewertung_Stammdaten!A$68,IF(AX8&lt;Bewertung_Stammdaten!B$69,Bewertung_Stammdaten!A$69,IF(AX8&lt;Bewertung_Stammdaten!B$70,Bewertung_Stammdaten!A$70,IF(AX8&lt;Bewertung_Stammdaten!B$71,Bewertung_Stammdaten!A$71,IF(AX8&lt;Bewertung_Stammdaten!B$72,Bewertung_Stammdaten!A$72,Bewertung_Stammdaten!A$73)))))))))</f>
        <v>6</v>
      </c>
      <c r="BB8" s="32">
        <f>IF(AY8&lt;Bewertung_Stammdaten!F$64,Bewertung_Stammdaten!E$64,IF(AY8&lt;Bewertung_Stammdaten!F$65,Bewertung_Stammdaten!E$65,IF(AY8&lt;Bewertung_Stammdaten!F$66,Bewertung_Stammdaten!E$66,IF(AY8&lt;Bewertung_Stammdaten!F$67,Bewertung_Stammdaten!E$67,IF(AY8&lt;Bewertung_Stammdaten!F$68,Bewertung_Stammdaten!E$68,IF(AY8&lt;Bewertung_Stammdaten!F$69,Bewertung_Stammdaten!E$69,IF(AY8&lt;Bewertung_Stammdaten!F$70,Bewertung_Stammdaten!E$70,IF(AY8&lt;Bewertung_Stammdaten!F$71,Bewertung_Stammdaten!E$71,IF(AY8&lt;Bewertung_Stammdaten!F$72,Bewertung_Stammdaten!E$72,Bewertung_Stammdaten!E$73)))))))))</f>
        <v>3</v>
      </c>
      <c r="BC8" s="32">
        <f ca="1">IF(AZ8&lt;Bewertung_Stammdaten!J$64,Bewertung_Stammdaten!I$64,IF(AZ8&lt;Bewertung_Stammdaten!J$65,Bewertung_Stammdaten!I$65,IF(AZ8&lt;Bewertung_Stammdaten!J$66,Bewertung_Stammdaten!I$66,IF(AZ8&lt;Bewertung_Stammdaten!J$67,Bewertung_Stammdaten!I$67,IF(AZ8&lt;Bewertung_Stammdaten!J$68,Bewertung_Stammdaten!I$68,IF(AZ8&lt;Bewertung_Stammdaten!J$69,Bewertung_Stammdaten!I$69,IF(AZ8&lt;Bewertung_Stammdaten!J$70,Bewertung_Stammdaten!I$70,IF(AZ8&lt;Bewertung_Stammdaten!J$71,Bewertung_Stammdaten!I$71,IF(AZ8&lt;Bewertung_Stammdaten!J$72,Bewertung_Stammdaten!I$72,Bewertung_Stammdaten!I$73)))))))))</f>
        <v>5</v>
      </c>
      <c r="BD8" s="43"/>
      <c r="BE8" s="12">
        <f>VLOOKUP(A8,Aktien_im_Umlauf_splitbereinigt!A$3:AB$103,28,FALSE)</f>
        <v>-3.4210526315789469E-2</v>
      </c>
      <c r="BF8" s="12">
        <f>VLOOKUP(A8,Aktien_im_Umlauf_splitbereinigt!A$3:AA$103,26,FALSE)</f>
        <v>-3.2617433862605336E-2</v>
      </c>
      <c r="BG8" s="12">
        <f>VLOOKUP(A8,Aktien_im_Umlauf_splitbereinigt!A$3:AA$103,27,FALSE)</f>
        <v>4.8841747020772042E-2</v>
      </c>
      <c r="BH8" s="41">
        <f>IF(BE8&lt;Bewertung_Stammdaten!B$77,Bewertung_Stammdaten!A$77,IF(BE8&lt;Bewertung_Stammdaten!B$78,Bewertung_Stammdaten!A$78,IF(BE8&lt;Bewertung_Stammdaten!B$79,Bewertung_Stammdaten!A$79,IF(BE8&lt;Bewertung_Stammdaten!B$80,Bewertung_Stammdaten!A$80,IF(BE8&lt;Bewertung_Stammdaten!B$81,Bewertung_Stammdaten!A$81,IF(BE8&lt;Bewertung_Stammdaten!B$82,Bewertung_Stammdaten!A$82,IF(BE8&lt;Bewertung_Stammdaten!B$83,Bewertung_Stammdaten!A$83,IF(BE8&lt;Bewertung_Stammdaten!B$84,Bewertung_Stammdaten!A$84,IF(BE8&lt;Bewertung_Stammdaten!B$85,Bewertung_Stammdaten!A$85,Bewertung_Stammdaten!A$86)))))))))</f>
        <v>9</v>
      </c>
      <c r="BI8" s="41">
        <f>IF(BF8&lt;Bewertung_Stammdaten!F$77,Bewertung_Stammdaten!E$77,IF(BF8&lt;Bewertung_Stammdaten!F$78,Bewertung_Stammdaten!E$78,IF(BF8&lt;Bewertung_Stammdaten!F$79,Bewertung_Stammdaten!E$79,IF(BF8&lt;Bewertung_Stammdaten!F$80,Bewertung_Stammdaten!E$80,IF(BF8&lt;Bewertung_Stammdaten!F$81,Bewertung_Stammdaten!E$81,IF(BF8&lt;Bewertung_Stammdaten!F$82,Bewertung_Stammdaten!E$82,IF(BF8&lt;Bewertung_Stammdaten!F$83,Bewertung_Stammdaten!E$83,IF(BF8&lt;Bewertung_Stammdaten!F$84,Bewertung_Stammdaten!E$84,IF(BF8&lt;Bewertung_Stammdaten!F$85,Bewertung_Stammdaten!E$85,Bewertung_Stammdaten!E$86)))))))))</f>
        <v>9</v>
      </c>
      <c r="BJ8" s="41">
        <f>IF(BG8&lt;Bewertung_Stammdaten!J$77,Bewertung_Stammdaten!I$77,IF(BG8&lt;Bewertung_Stammdaten!J$78,Bewertung_Stammdaten!I$78,IF(BG8&lt;Bewertung_Stammdaten!J$79,Bewertung_Stammdaten!I$79,IF(BG8&lt;Bewertung_Stammdaten!J$80,Bewertung_Stammdaten!I$80,IF(BG8&lt;Bewertung_Stammdaten!J$81,Bewertung_Stammdaten!I$81,IF(BG8&lt;Bewertung_Stammdaten!J$82,Bewertung_Stammdaten!I$82,IF(BG8&lt;Bewertung_Stammdaten!J$83,Bewertung_Stammdaten!I$83,IF(BG8&lt;Bewertung_Stammdaten!J$84,Bewertung_Stammdaten!I$84,IF(BG8&lt;Bewertung_Stammdaten!J$85,Bewertung_Stammdaten!I$85,Bewertung_Stammdaten!I$86)))))))))</f>
        <v>3</v>
      </c>
      <c r="BK8" s="43"/>
      <c r="BL8" s="12">
        <f ca="1">VLOOKUP(A8,Ausschüttungsquote!A$3:AL$103,37,FALSE)</f>
        <v>0.30226102397158916</v>
      </c>
      <c r="BM8" s="12">
        <f>VLOOKUP(A8,Ausschüttungsquote!A$3:AL$103,19,FALSE)</f>
        <v>0.57384123833688283</v>
      </c>
      <c r="BN8" s="12">
        <f ca="1">VLOOKUP(A8,Ausschüttungsquote!A$3:AL$103,38,FALSE)</f>
        <v>0.43741730014100288</v>
      </c>
      <c r="BO8" s="32">
        <f ca="1">IF(BL8&lt;Bewertung_Stammdaten!B$90,Bewertung_Stammdaten!A$90,IF(BL8&lt;Bewertung_Stammdaten!B$91,Bewertung_Stammdaten!A$91,IF(BL8&lt;Bewertung_Stammdaten!B$92,Bewertung_Stammdaten!A$92,IF(BL8&lt;Bewertung_Stammdaten!B$93,Bewertung_Stammdaten!A$93,IF(BL8&lt;Bewertung_Stammdaten!B$94,Bewertung_Stammdaten!A$94,IF(BL8&lt;Bewertung_Stammdaten!B$95,Bewertung_Stammdaten!A$95,IF(BL8&lt;Bewertung_Stammdaten!B$96,Bewertung_Stammdaten!A$96,IF(BL8&lt;Bewertung_Stammdaten!B$97,Bewertung_Stammdaten!A$97,IF(BL8&lt;Bewertung_Stammdaten!B$98,Bewertung_Stammdaten!A$98,Bewertung_Stammdaten!A$99)))))))))</f>
        <v>10</v>
      </c>
      <c r="BP8" s="41">
        <f>IF(BM8&lt;Bewertung_Stammdaten!F$90,Bewertung_Stammdaten!E$90,IF(BM8&lt;Bewertung_Stammdaten!F$91,Bewertung_Stammdaten!E$91,IF(BM8&lt;Bewertung_Stammdaten!F$92,Bewertung_Stammdaten!E$92,IF(BM8&lt;Bewertung_Stammdaten!F$93,Bewertung_Stammdaten!E$93,IF(BM8&lt;Bewertung_Stammdaten!F$94,Bewertung_Stammdaten!E$94,IF(BM8&lt;Bewertung_Stammdaten!F$95,Bewertung_Stammdaten!E$95,IF(BM8&lt;Bewertung_Stammdaten!F$96,Bewertung_Stammdaten!E$96,IF(BM8&lt;Bewertung_Stammdaten!F$97,Bewertung_Stammdaten!E$97,IF(BM8&lt;Bewertung_Stammdaten!F$98,Bewertung_Stammdaten!E$98,Bewertung_Stammdaten!E$99)))))))))</f>
        <v>6</v>
      </c>
      <c r="BQ8" s="32">
        <f ca="1">IF(BN8&lt;Bewertung_Stammdaten!J$90,Bewertung_Stammdaten!I$90,IF(BN8&lt;Bewertung_Stammdaten!J$91,Bewertung_Stammdaten!I$91,IF(BN8&lt;Bewertung_Stammdaten!J$92,Bewertung_Stammdaten!I$92,IF(BN8&lt;Bewertung_Stammdaten!J$93,Bewertung_Stammdaten!I$93,IF(BN8&lt;Bewertung_Stammdaten!J$94,Bewertung_Stammdaten!I$94,IF(BN8&lt;Bewertung_Stammdaten!J$95,Bewertung_Stammdaten!I$95,IF(BN8&lt;Bewertung_Stammdaten!J$96,Bewertung_Stammdaten!I$96,IF(BN8&lt;Bewertung_Stammdaten!J$97,Bewertung_Stammdaten!I$97,IF(BN8&lt;Bewertung_Stammdaten!J$98,Bewertung_Stammdaten!I$98,Bewertung_Stammdaten!I$99)))))))))</f>
        <v>1</v>
      </c>
    </row>
    <row r="9" spans="1:69">
      <c r="A9" s="55" t="s">
        <v>268</v>
      </c>
      <c r="B9" s="55" t="s">
        <v>274</v>
      </c>
      <c r="C9" s="38" t="s">
        <v>283</v>
      </c>
      <c r="D9" s="32">
        <f t="shared" ca="1" si="0"/>
        <v>191</v>
      </c>
      <c r="E9" s="43"/>
      <c r="F9" s="60">
        <v>1</v>
      </c>
      <c r="G9" s="11">
        <f ca="1">VLOOKUP(A9,KGV!A$3:R$103,17,FALSE)</f>
        <v>22.887367766023647</v>
      </c>
      <c r="H9" s="11">
        <f>VLOOKUP(A9,KGV!A$3:R$103,16,FALSE)</f>
        <v>19.249260355029588</v>
      </c>
      <c r="I9" s="12">
        <f ca="1">VLOOKUP(A9,KGV!A$3:R$103,18,FALSE)</f>
        <v>0.18899985474213143</v>
      </c>
      <c r="J9" s="16">
        <f t="shared" ca="1" si="1"/>
        <v>22.887367766023647</v>
      </c>
      <c r="K9" s="12">
        <f t="shared" ca="1" si="2"/>
        <v>0.18899985474213143</v>
      </c>
      <c r="L9" s="11">
        <f ca="1">VLOOKUP(A9,KBV!A$3:R$103,17,FALSE)</f>
        <v>16.138657305835896</v>
      </c>
      <c r="M9" s="11">
        <f>VLOOKUP(A9,KBV!A$3:R$103,16,FALSE)</f>
        <v>9.4097995545657014</v>
      </c>
      <c r="N9" s="12">
        <f ca="1">VLOOKUP(A9,KBV!A$3:R$103,18,FALSE)</f>
        <v>0.71509044504622898</v>
      </c>
      <c r="O9" s="16">
        <f t="shared" ca="1" si="3"/>
        <v>16.425142346767892</v>
      </c>
      <c r="P9" s="12">
        <f t="shared" ca="1" si="4"/>
        <v>0.74553583756184216</v>
      </c>
      <c r="Q9" s="32">
        <f ca="1">IF(F9=1,IF(I9&lt;Bewertung_Stammdaten!B$12,Bewertung_Stammdaten!A$12,IF(I9&lt;Bewertung_Stammdaten!B$13,Bewertung_Stammdaten!A$13,IF(I9&lt;Bewertung_Stammdaten!B$14,Bewertung_Stammdaten!A$14,IF(I9&lt;Bewertung_Stammdaten!B$15,Bewertung_Stammdaten!A$15,IF(I9&lt;Bewertung_Stammdaten!B$16,Bewertung_Stammdaten!A$16,IF(I9&lt;Bewertung_Stammdaten!B$17,Bewertung_Stammdaten!A$17,IF(I9&lt;Bewertung_Stammdaten!B$18,Bewertung_Stammdaten!A$18,IF(I9&lt;Bewertung_Stammdaten!B$19,Bewertung_Stammdaten!A$19,IF(I9&lt;Bewertung_Stammdaten!B$20,Bewertung_Stammdaten!A$20,Bewertung_Stammdaten!A$21))))))))),IF(N9&lt;Bewertung_Stammdaten!C$12,Bewertung_Stammdaten!A$12,IF(N9&lt;Bewertung_Stammdaten!C$13,Bewertung_Stammdaten!A$13,IF(N9&lt;Bewertung_Stammdaten!C$14,Bewertung_Stammdaten!A$14,IF(N9&lt;Bewertung_Stammdaten!C$15,Bewertung_Stammdaten!A$15,IF(N9&lt;Bewertung_Stammdaten!C$16,Bewertung_Stammdaten!A$16,IF(N9&lt;Bewertung_Stammdaten!C$17,Bewertung_Stammdaten!A$17,IF(N9&lt;Bewertung_Stammdaten!C$18,Bewertung_Stammdaten!A$18,IF(N9&lt;Bewertung_Stammdaten!C$19,Bewertung_Stammdaten!A$19,IF(N9&lt;Bewertung_Stammdaten!C$20,Bewertung_Stammdaten!A$20,Bewertung_Stammdaten!A$21))))))))))</f>
        <v>18</v>
      </c>
      <c r="R9" s="32">
        <f ca="1">IF(F9=1,IF(K9&lt;Bewertung_Stammdaten!F$12,Bewertung_Stammdaten!E$12,IF(K9&lt;Bewertung_Stammdaten!F$13,Bewertung_Stammdaten!E$13,IF(K9&lt;Bewertung_Stammdaten!F$14,Bewertung_Stammdaten!E$14,IF(K9&lt;Bewertung_Stammdaten!F$15,Bewertung_Stammdaten!E$15,IF(K9&lt;Bewertung_Stammdaten!F$16,Bewertung_Stammdaten!E$16,IF(K9&lt;Bewertung_Stammdaten!F$17,Bewertung_Stammdaten!E$17,IF(K9&lt;Bewertung_Stammdaten!F$18,Bewertung_Stammdaten!E$18,IF(K9&lt;Bewertung_Stammdaten!F$19,Bewertung_Stammdaten!E$19,IF(K9&lt;Bewertung_Stammdaten!F$20,Bewertung_Stammdaten!E$20,Bewertung_Stammdaten!E$21))))))))),IF(P9&lt;Bewertung_Stammdaten!G$12,Bewertung_Stammdaten!E$12,IF(P9&lt;Bewertung_Stammdaten!G$13,Bewertung_Stammdaten!E$13,IF(P9&lt;Bewertung_Stammdaten!G$14,Bewertung_Stammdaten!E$14,IF(P9&lt;Bewertung_Stammdaten!G$15,Bewertung_Stammdaten!E$15,IF(P9&lt;Bewertung_Stammdaten!G$16,Bewertung_Stammdaten!E$16,IF(P9&lt;Bewertung_Stammdaten!G$17,Bewertung_Stammdaten!E$17,IF(P9&lt;Bewertung_Stammdaten!G$18,Bewertung_Stammdaten!E$18,IF(P9&lt;Bewertung_Stammdaten!G$19,Bewertung_Stammdaten!E$19,IF(P9&lt;Bewertung_Stammdaten!G$20,Bewertung_Stammdaten!E$20,Bewertung_Stammdaten!E$21))))))))))</f>
        <v>15</v>
      </c>
      <c r="S9" s="43"/>
      <c r="T9" s="11">
        <f ca="1">VLOOKUP(A9,Buchwert_je_Aktie!A$3:AK$103,23,FALSE)</f>
        <v>22.79</v>
      </c>
      <c r="U9" s="11">
        <f>VLOOKUP(A9,Buchwert_je_Aktie!A$3:AK$103,19,FALSE)</f>
        <v>16.186153846153847</v>
      </c>
      <c r="V9" s="12">
        <f ca="1">VLOOKUP(A9,Buchwert_je_Aktie!A$3:AK$103,24,FALSE)</f>
        <v>0.40799353673605165</v>
      </c>
      <c r="W9" s="12">
        <f>VLOOKUP(A9,Buchwert_je_Aktie!A$3:AK$103,37,FALSE)</f>
        <v>-1.7441860465116199E-2</v>
      </c>
      <c r="X9" s="16">
        <f t="shared" ca="1" si="5"/>
        <v>22.392500000000002</v>
      </c>
      <c r="Y9" s="12">
        <f t="shared" ca="1" si="6"/>
        <v>0.38343550993251596</v>
      </c>
      <c r="Z9" s="51">
        <f ca="1">IF(V9&lt;Bewertung_Stammdaten!B$25,Bewertung_Stammdaten!A$25,IF(V9&lt;Bewertung_Stammdaten!B$26,Bewertung_Stammdaten!A$26,IF(V9&lt;Bewertung_Stammdaten!B$27,Bewertung_Stammdaten!A$27,IF(V9&lt;Bewertung_Stammdaten!B$28,Bewertung_Stammdaten!A$28,IF(V9&lt;Bewertung_Stammdaten!B$29,Bewertung_Stammdaten!A$29,IF(V9&lt;Bewertung_Stammdaten!B$30,Bewertung_Stammdaten!A$30,IF(V9&lt;Bewertung_Stammdaten!B$31,Bewertung_Stammdaten!A$31,IF(V9&lt;Bewertung_Stammdaten!B$32,Bewertung_Stammdaten!A$32,IF(V9&lt;Bewertung_Stammdaten!B$33,Bewertung_Stammdaten!A$33,Bewertung_Stammdaten!A$34)))))))))</f>
        <v>10.5</v>
      </c>
      <c r="AA9" s="51">
        <f>IF(W9&lt;Bewertung_Stammdaten!F$25,Bewertung_Stammdaten!E$25,IF(W9&lt;Bewertung_Stammdaten!F$26,Bewertung_Stammdaten!E$26,IF(W9&lt;Bewertung_Stammdaten!F$27,Bewertung_Stammdaten!E$27,IF(W9&lt;Bewertung_Stammdaten!F$28,Bewertung_Stammdaten!E$28,IF(W9&lt;Bewertung_Stammdaten!F$29,Bewertung_Stammdaten!E$29,IF(W9&lt;Bewertung_Stammdaten!F$30,Bewertung_Stammdaten!E$30,IF(W9&lt;Bewertung_Stammdaten!F$31,Bewertung_Stammdaten!E$31,IF(W9&lt;Bewertung_Stammdaten!F$32,Bewertung_Stammdaten!E$32,IF(W9&lt;Bewertung_Stammdaten!F$33,Bewertung_Stammdaten!E$33,Bewertung_Stammdaten!E$34)))))))))</f>
        <v>10.5</v>
      </c>
      <c r="AB9" s="51">
        <f ca="1">IF(Y9&lt;Bewertung_Stammdaten!J$25,Bewertung_Stammdaten!I$25,IF(Y9&lt;Bewertung_Stammdaten!J$26,Bewertung_Stammdaten!I$26,IF(Y9&lt;Bewertung_Stammdaten!J$27,Bewertung_Stammdaten!I$27,IF(Y9&lt;Bewertung_Stammdaten!J$28,Bewertung_Stammdaten!I$28,IF(Y9&lt;Bewertung_Stammdaten!J$29,Bewertung_Stammdaten!I$29,IF(Y9&lt;Bewertung_Stammdaten!J$30,Bewertung_Stammdaten!I$30,IF(Y9&lt;Bewertung_Stammdaten!J$31,Bewertung_Stammdaten!I$31,IF(Y9&lt;Bewertung_Stammdaten!J$32,Bewertung_Stammdaten!I$32,IF(Y9&lt;Bewertung_Stammdaten!J$33,Bewertung_Stammdaten!I$33,Bewertung_Stammdaten!I$34)))))))))</f>
        <v>6</v>
      </c>
      <c r="AC9" s="43"/>
      <c r="AD9" s="14">
        <f ca="1">VLOOKUP(A9,Ergebnis_je_Aktie_verwässert!A$3:AK$103,23,FALSE)</f>
        <v>16.07</v>
      </c>
      <c r="AE9" s="14">
        <f>VLOOKUP(A9,Ergebnis_je_Aktie_verwässert!A$3:AK$103,19,FALSE)</f>
        <v>8.8830769230769242</v>
      </c>
      <c r="AF9" s="12">
        <f ca="1">VLOOKUP(A9,Ergebnis_je_Aktie_verwässert!A$3:AK$103,24,FALSE)</f>
        <v>0.80905784551437465</v>
      </c>
      <c r="AG9" s="40">
        <f>VLOOKUP(A9,Ergebnis_je_Aktie_verwässert!A$3:AK$103,37,FALSE)</f>
        <v>7.7005347593583018E-2</v>
      </c>
      <c r="AH9" s="16">
        <f t="shared" ca="1" si="7"/>
        <v>16.07</v>
      </c>
      <c r="AI9" s="12">
        <f t="shared" ca="1" si="8"/>
        <v>0.80905784551437465</v>
      </c>
      <c r="AJ9" s="32">
        <f ca="1">IF(AF9&lt;Bewertung_Stammdaten!B$38,Bewertung_Stammdaten!A$38,IF(AF9&lt;Bewertung_Stammdaten!B$39,Bewertung_Stammdaten!A$39,IF(AF9&lt;Bewertung_Stammdaten!B$40,Bewertung_Stammdaten!A$40,IF(AF9&lt;Bewertung_Stammdaten!B$41,Bewertung_Stammdaten!A$41,IF(AF9&lt;Bewertung_Stammdaten!B$42,Bewertung_Stammdaten!A$42,IF(AF9&lt;Bewertung_Stammdaten!B$43,Bewertung_Stammdaten!A$43,IF(AF9&lt;Bewertung_Stammdaten!B$44,Bewertung_Stammdaten!A$44,IF(AF9&lt;Bewertung_Stammdaten!B$45,Bewertung_Stammdaten!A$45,IF(AF9&lt;Bewertung_Stammdaten!B$46,Bewertung_Stammdaten!A$46,Bewertung_Stammdaten!A$47)))))))))</f>
        <v>20</v>
      </c>
      <c r="AK9" s="32">
        <f>IF(AG9&lt;Bewertung_Stammdaten!F$38,Bewertung_Stammdaten!E$38,IF(AG9&lt;Bewertung_Stammdaten!F$39,Bewertung_Stammdaten!E$39,IF(AG9&lt;Bewertung_Stammdaten!F$40,Bewertung_Stammdaten!E$40,IF(AG9&lt;Bewertung_Stammdaten!F$41,Bewertung_Stammdaten!E$41,IF(AG9&lt;Bewertung_Stammdaten!F$42,Bewertung_Stammdaten!E$42,IF(AG9&lt;Bewertung_Stammdaten!F$43,Bewertung_Stammdaten!E$43,IF(AG9&lt;Bewertung_Stammdaten!F$44,Bewertung_Stammdaten!E$44,IF(AG9&lt;Bewertung_Stammdaten!F$45,Bewertung_Stammdaten!E$45,IF(AG9&lt;Bewertung_Stammdaten!F$46,Bewertung_Stammdaten!E$46,Bewertung_Stammdaten!E$47)))))))))</f>
        <v>12</v>
      </c>
      <c r="AL9" s="32">
        <f ca="1">IF(AI9&lt;Bewertung_Stammdaten!J$38,Bewertung_Stammdaten!I$38,IF(AI9&lt;Bewertung_Stammdaten!J$39,Bewertung_Stammdaten!I$39,IF(AI9&lt;Bewertung_Stammdaten!J$40,Bewertung_Stammdaten!I$40,IF(AI9&lt;Bewertung_Stammdaten!J$41,Bewertung_Stammdaten!I$41,IF(AI9&lt;Bewertung_Stammdaten!J$42,Bewertung_Stammdaten!I$42,IF(AI9&lt;Bewertung_Stammdaten!J$43,Bewertung_Stammdaten!I$43,IF(AI9&lt;Bewertung_Stammdaten!J$44,Bewertung_Stammdaten!I$44,IF(AI9&lt;Bewertung_Stammdaten!J$45,Bewertung_Stammdaten!I$45,IF(AI9&lt;Bewertung_Stammdaten!J$46,Bewertung_Stammdaten!I$46,Bewertung_Stammdaten!I$47)))))))))</f>
        <v>10</v>
      </c>
      <c r="AM9" s="43"/>
      <c r="AN9" s="14">
        <f ca="1">VLOOKUP(A9,Dividende_je_Aktie!A$3:AM$103,24,FALSE)</f>
        <v>7.4809999999999999</v>
      </c>
      <c r="AO9" s="14">
        <f>VLOOKUP(A9,Dividende_je_Aktie!A$3:AM$103,20,FALSE)</f>
        <v>3.8321428571428577</v>
      </c>
      <c r="AP9" s="12">
        <f ca="1">VLOOKUP(A9,Dividende_je_Aktie!A$3:AM$103,25,FALSE)</f>
        <v>0.95217148182665401</v>
      </c>
      <c r="AQ9" s="40">
        <f>VLOOKUP(A9,Dividende_je_Aktie!A$3:AM$103,39,FALSE)</f>
        <v>0.11111111111111116</v>
      </c>
      <c r="AR9" s="16">
        <f t="shared" ca="1" si="9"/>
        <v>7.4809999999999999</v>
      </c>
      <c r="AS9" s="12">
        <f t="shared" ca="1" si="10"/>
        <v>0.95217148182665401</v>
      </c>
      <c r="AT9" s="32">
        <f ca="1">IF(AP9&lt;Bewertung_Stammdaten!B$51,Bewertung_Stammdaten!A$51,IF(AP9&lt;Bewertung_Stammdaten!B$52,Bewertung_Stammdaten!A$52,IF(AP9&lt;Bewertung_Stammdaten!B$53,Bewertung_Stammdaten!A$53,IF(AP9&lt;Bewertung_Stammdaten!B$54,Bewertung_Stammdaten!A$54,IF(AP9&lt;Bewertung_Stammdaten!B$55,Bewertung_Stammdaten!A$55,IF(AP9&lt;Bewertung_Stammdaten!B$56,Bewertung_Stammdaten!A$56,IF(AP9&lt;Bewertung_Stammdaten!B$57,Bewertung_Stammdaten!A$57,IF(AP9&lt;Bewertung_Stammdaten!B$58,Bewertung_Stammdaten!A$58,IF(AP9&lt;Bewertung_Stammdaten!B$59,Bewertung_Stammdaten!A$59,Bewertung_Stammdaten!A$60)))))))))</f>
        <v>20</v>
      </c>
      <c r="AU9" s="32">
        <f>IF(AQ9&lt;Bewertung_Stammdaten!F$51,Bewertung_Stammdaten!E$51,IF(AQ9&lt;Bewertung_Stammdaten!F$52,Bewertung_Stammdaten!E$52,IF(AQ9&lt;Bewertung_Stammdaten!F$53,Bewertung_Stammdaten!E$53,IF(AQ9&lt;Bewertung_Stammdaten!F$54,Bewertung_Stammdaten!E$54,IF(AQ9&lt;Bewertung_Stammdaten!F$55,Bewertung_Stammdaten!E$55,IF(AQ9&lt;Bewertung_Stammdaten!F$56,Bewertung_Stammdaten!E$56,IF(AQ9&lt;Bewertung_Stammdaten!F$57,Bewertung_Stammdaten!E$57,IF(AQ9&lt;Bewertung_Stammdaten!F$58,Bewertung_Stammdaten!E$58,IF(AQ9&lt;Bewertung_Stammdaten!F$59,Bewertung_Stammdaten!E$59,Bewertung_Stammdaten!E$60)))))))))</f>
        <v>13.5</v>
      </c>
      <c r="AV9" s="32">
        <f ca="1">IF(AS9&lt;Bewertung_Stammdaten!J$51,Bewertung_Stammdaten!I$51,IF(AS9&lt;Bewertung_Stammdaten!J$52,Bewertung_Stammdaten!I$52,IF(AS9&lt;Bewertung_Stammdaten!J$53,Bewertung_Stammdaten!I$53,IF(AS9&lt;Bewertung_Stammdaten!J$54,Bewertung_Stammdaten!I$54,IF(AS9&lt;Bewertung_Stammdaten!J$55,Bewertung_Stammdaten!I$55,IF(AS9&lt;Bewertung_Stammdaten!J$56,Bewertung_Stammdaten!I$56,IF(AS9&lt;Bewertung_Stammdaten!J$57,Bewertung_Stammdaten!I$57,IF(AS9&lt;Bewertung_Stammdaten!J$58,Bewertung_Stammdaten!I$58,IF(AS9&lt;Bewertung_Stammdaten!J$59,Bewertung_Stammdaten!I$59,Bewertung_Stammdaten!I$60)))))))))</f>
        <v>10</v>
      </c>
      <c r="AW9" s="43"/>
      <c r="AX9" s="12">
        <f ca="1">VLOOKUP(A9,Dividendenrendite!A$3:R$103,17,FALSE)</f>
        <v>2.0339858618814571E-2</v>
      </c>
      <c r="AY9" s="12">
        <f>VLOOKUP(A9,Dividendenrendite!A$3:R$103,16,FALSE)</f>
        <v>1.8855779569532764E-2</v>
      </c>
      <c r="AZ9" s="12">
        <f ca="1">VLOOKUP(A9,Dividendenrendite!A$3:R$103,18,FALSE)</f>
        <v>7.8706851859882132E-2</v>
      </c>
      <c r="BA9" s="32">
        <f ca="1">IF(AX9&lt;Bewertung_Stammdaten!B$64,Bewertung_Stammdaten!A$64,IF(AX9&lt;Bewertung_Stammdaten!B$65,Bewertung_Stammdaten!A$65,IF(AX9&lt;Bewertung_Stammdaten!B$66,Bewertung_Stammdaten!A$66,IF(AX9&lt;Bewertung_Stammdaten!B$67,Bewertung_Stammdaten!A$67,IF(AX9&lt;Bewertung_Stammdaten!B$68,Bewertung_Stammdaten!A$68,IF(AX9&lt;Bewertung_Stammdaten!B$69,Bewertung_Stammdaten!A$69,IF(AX9&lt;Bewertung_Stammdaten!B$70,Bewertung_Stammdaten!A$70,IF(AX9&lt;Bewertung_Stammdaten!B$71,Bewertung_Stammdaten!A$71,IF(AX9&lt;Bewertung_Stammdaten!B$72,Bewertung_Stammdaten!A$72,Bewertung_Stammdaten!A$73)))))))))</f>
        <v>7.5</v>
      </c>
      <c r="BB9" s="32">
        <f>IF(AY9&lt;Bewertung_Stammdaten!F$64,Bewertung_Stammdaten!E$64,IF(AY9&lt;Bewertung_Stammdaten!F$65,Bewertung_Stammdaten!E$65,IF(AY9&lt;Bewertung_Stammdaten!F$66,Bewertung_Stammdaten!E$66,IF(AY9&lt;Bewertung_Stammdaten!F$67,Bewertung_Stammdaten!E$67,IF(AY9&lt;Bewertung_Stammdaten!F$68,Bewertung_Stammdaten!E$68,IF(AY9&lt;Bewertung_Stammdaten!F$69,Bewertung_Stammdaten!E$69,IF(AY9&lt;Bewertung_Stammdaten!F$70,Bewertung_Stammdaten!E$70,IF(AY9&lt;Bewertung_Stammdaten!F$71,Bewertung_Stammdaten!E$71,IF(AY9&lt;Bewertung_Stammdaten!F$72,Bewertung_Stammdaten!E$72,Bewertung_Stammdaten!E$73)))))))))</f>
        <v>4</v>
      </c>
      <c r="BC9" s="32">
        <f ca="1">IF(AZ9&lt;Bewertung_Stammdaten!J$64,Bewertung_Stammdaten!I$64,IF(AZ9&lt;Bewertung_Stammdaten!J$65,Bewertung_Stammdaten!I$65,IF(AZ9&lt;Bewertung_Stammdaten!J$66,Bewertung_Stammdaten!I$66,IF(AZ9&lt;Bewertung_Stammdaten!J$67,Bewertung_Stammdaten!I$67,IF(AZ9&lt;Bewertung_Stammdaten!J$68,Bewertung_Stammdaten!I$68,IF(AZ9&lt;Bewertung_Stammdaten!J$69,Bewertung_Stammdaten!I$69,IF(AZ9&lt;Bewertung_Stammdaten!J$70,Bewertung_Stammdaten!I$70,IF(AZ9&lt;Bewertung_Stammdaten!J$71,Bewertung_Stammdaten!I$71,IF(AZ9&lt;Bewertung_Stammdaten!J$72,Bewertung_Stammdaten!I$72,Bewertung_Stammdaten!I$73)))))))))</f>
        <v>3.5</v>
      </c>
      <c r="BD9" s="43"/>
      <c r="BE9" s="12">
        <f>VLOOKUP(A9,Aktien_im_Umlauf_splitbereinigt!A$3:AB$103,28,FALSE)</f>
        <v>-1.8867924528301883E-2</v>
      </c>
      <c r="BF9" s="12">
        <f>VLOOKUP(A9,Aktien_im_Umlauf_splitbereinigt!A$3:AA$103,26,FALSE)</f>
        <v>-2.1996015473234216E-2</v>
      </c>
      <c r="BG9" s="12">
        <f>VLOOKUP(A9,Aktien_im_Umlauf_splitbereinigt!A$3:AA$103,27,FALSE)</f>
        <v>-0.14221170869509259</v>
      </c>
      <c r="BH9" s="41">
        <f>IF(BE9&lt;Bewertung_Stammdaten!B$77,Bewertung_Stammdaten!A$77,IF(BE9&lt;Bewertung_Stammdaten!B$78,Bewertung_Stammdaten!A$78,IF(BE9&lt;Bewertung_Stammdaten!B$79,Bewertung_Stammdaten!A$79,IF(BE9&lt;Bewertung_Stammdaten!B$80,Bewertung_Stammdaten!A$80,IF(BE9&lt;Bewertung_Stammdaten!B$81,Bewertung_Stammdaten!A$81,IF(BE9&lt;Bewertung_Stammdaten!B$82,Bewertung_Stammdaten!A$82,IF(BE9&lt;Bewertung_Stammdaten!B$83,Bewertung_Stammdaten!A$83,IF(BE9&lt;Bewertung_Stammdaten!B$84,Bewertung_Stammdaten!A$84,IF(BE9&lt;Bewertung_Stammdaten!B$85,Bewertung_Stammdaten!A$85,Bewertung_Stammdaten!A$86)))))))))</f>
        <v>6</v>
      </c>
      <c r="BI9" s="41">
        <f>IF(BF9&lt;Bewertung_Stammdaten!F$77,Bewertung_Stammdaten!E$77,IF(BF9&lt;Bewertung_Stammdaten!F$78,Bewertung_Stammdaten!E$78,IF(BF9&lt;Bewertung_Stammdaten!F$79,Bewertung_Stammdaten!E$79,IF(BF9&lt;Bewertung_Stammdaten!F$80,Bewertung_Stammdaten!E$80,IF(BF9&lt;Bewertung_Stammdaten!F$81,Bewertung_Stammdaten!E$81,IF(BF9&lt;Bewertung_Stammdaten!F$82,Bewertung_Stammdaten!E$82,IF(BF9&lt;Bewertung_Stammdaten!F$83,Bewertung_Stammdaten!E$83,IF(BF9&lt;Bewertung_Stammdaten!F$84,Bewertung_Stammdaten!E$84,IF(BF9&lt;Bewertung_Stammdaten!F$85,Bewertung_Stammdaten!E$85,Bewertung_Stammdaten!E$86)))))))))</f>
        <v>7</v>
      </c>
      <c r="BJ9" s="41">
        <f>IF(BG9&lt;Bewertung_Stammdaten!J$77,Bewertung_Stammdaten!I$77,IF(BG9&lt;Bewertung_Stammdaten!J$78,Bewertung_Stammdaten!I$78,IF(BG9&lt;Bewertung_Stammdaten!J$79,Bewertung_Stammdaten!I$79,IF(BG9&lt;Bewertung_Stammdaten!J$80,Bewertung_Stammdaten!I$80,IF(BG9&lt;Bewertung_Stammdaten!J$81,Bewertung_Stammdaten!I$81,IF(BG9&lt;Bewertung_Stammdaten!J$82,Bewertung_Stammdaten!I$82,IF(BG9&lt;Bewertung_Stammdaten!J$83,Bewertung_Stammdaten!I$83,IF(BG9&lt;Bewertung_Stammdaten!J$84,Bewertung_Stammdaten!I$84,IF(BG9&lt;Bewertung_Stammdaten!J$85,Bewertung_Stammdaten!I$85,Bewertung_Stammdaten!I$86)))))))))</f>
        <v>2.5</v>
      </c>
      <c r="BK9" s="43"/>
      <c r="BL9" s="12">
        <f ca="1">VLOOKUP(A9,Ausschüttungsquote!A$3:AL$103,37,FALSE)</f>
        <v>0.46554727474972191</v>
      </c>
      <c r="BM9" s="12">
        <f>VLOOKUP(A9,Ausschüttungsquote!A$3:AL$103,19,FALSE)</f>
        <v>0.73842033244686556</v>
      </c>
      <c r="BN9" s="12">
        <f ca="1">VLOOKUP(A9,Ausschüttungsquote!A$3:AL$103,38,FALSE)</f>
        <v>6.5931893803677255E-2</v>
      </c>
      <c r="BO9" s="32">
        <f ca="1">IF(BL9&lt;Bewertung_Stammdaten!B$90,Bewertung_Stammdaten!A$90,IF(BL9&lt;Bewertung_Stammdaten!B$91,Bewertung_Stammdaten!A$91,IF(BL9&lt;Bewertung_Stammdaten!B$92,Bewertung_Stammdaten!A$92,IF(BL9&lt;Bewertung_Stammdaten!B$93,Bewertung_Stammdaten!A$93,IF(BL9&lt;Bewertung_Stammdaten!B$94,Bewertung_Stammdaten!A$94,IF(BL9&lt;Bewertung_Stammdaten!B$95,Bewertung_Stammdaten!A$95,IF(BL9&lt;Bewertung_Stammdaten!B$96,Bewertung_Stammdaten!A$96,IF(BL9&lt;Bewertung_Stammdaten!B$97,Bewertung_Stammdaten!A$97,IF(BL9&lt;Bewertung_Stammdaten!B$98,Bewertung_Stammdaten!A$98,Bewertung_Stammdaten!A$99)))))))))</f>
        <v>8</v>
      </c>
      <c r="BP9" s="41">
        <f>IF(BM9&lt;Bewertung_Stammdaten!F$90,Bewertung_Stammdaten!E$90,IF(BM9&lt;Bewertung_Stammdaten!F$91,Bewertung_Stammdaten!E$91,IF(BM9&lt;Bewertung_Stammdaten!F$92,Bewertung_Stammdaten!E$92,IF(BM9&lt;Bewertung_Stammdaten!F$93,Bewertung_Stammdaten!E$93,IF(BM9&lt;Bewertung_Stammdaten!F$94,Bewertung_Stammdaten!E$94,IF(BM9&lt;Bewertung_Stammdaten!F$95,Bewertung_Stammdaten!E$95,IF(BM9&lt;Bewertung_Stammdaten!F$96,Bewertung_Stammdaten!E$96,IF(BM9&lt;Bewertung_Stammdaten!F$97,Bewertung_Stammdaten!E$97,IF(BM9&lt;Bewertung_Stammdaten!F$98,Bewertung_Stammdaten!E$98,Bewertung_Stammdaten!E$99)))))))))</f>
        <v>3</v>
      </c>
      <c r="BQ9" s="32">
        <f ca="1">IF(BN9&lt;Bewertung_Stammdaten!J$90,Bewertung_Stammdaten!I$90,IF(BN9&lt;Bewertung_Stammdaten!J$91,Bewertung_Stammdaten!I$91,IF(BN9&lt;Bewertung_Stammdaten!J$92,Bewertung_Stammdaten!I$92,IF(BN9&lt;Bewertung_Stammdaten!J$93,Bewertung_Stammdaten!I$93,IF(BN9&lt;Bewertung_Stammdaten!J$94,Bewertung_Stammdaten!I$94,IF(BN9&lt;Bewertung_Stammdaten!J$95,Bewertung_Stammdaten!I$95,IF(BN9&lt;Bewertung_Stammdaten!J$96,Bewertung_Stammdaten!I$96,IF(BN9&lt;Bewertung_Stammdaten!J$97,Bewertung_Stammdaten!I$97,IF(BN9&lt;Bewertung_Stammdaten!J$98,Bewertung_Stammdaten!I$98,Bewertung_Stammdaten!I$99)))))))))</f>
        <v>4</v>
      </c>
    </row>
    <row r="10" spans="1:69">
      <c r="A10" s="38" t="s">
        <v>260</v>
      </c>
      <c r="B10" s="38" t="s">
        <v>265</v>
      </c>
      <c r="C10" s="38" t="s">
        <v>283</v>
      </c>
      <c r="D10" s="32">
        <f t="shared" ca="1" si="0"/>
        <v>178</v>
      </c>
      <c r="E10" s="43"/>
      <c r="F10" s="60">
        <v>1</v>
      </c>
      <c r="G10" s="11">
        <f ca="1">VLOOKUP(A10,KGV!A$3:R$103,17,FALSE)</f>
        <v>25.499537045442167</v>
      </c>
      <c r="H10" s="11">
        <f>VLOOKUP(A10,KGV!A$3:R$103,16,FALSE)</f>
        <v>19.945653979008902</v>
      </c>
      <c r="I10" s="12">
        <f ca="1">VLOOKUP(A10,KGV!A$3:R$103,18,FALSE)</f>
        <v>0.27845078793998201</v>
      </c>
      <c r="J10" s="16">
        <f t="shared" ca="1" si="1"/>
        <v>25.499537045442167</v>
      </c>
      <c r="K10" s="12">
        <f t="shared" ca="1" si="2"/>
        <v>0.27845078793998201</v>
      </c>
      <c r="L10" s="11">
        <f ca="1">VLOOKUP(A10,KBV!A$3:R$103,17,FALSE)</f>
        <v>5.2590706556333542</v>
      </c>
      <c r="M10" s="11">
        <f>VLOOKUP(A10,KBV!A$3:R$103,16,FALSE)</f>
        <v>3.9409090909090909</v>
      </c>
      <c r="N10" s="12">
        <f ca="1">VLOOKUP(A10,KBV!A$3:R$103,18,FALSE)</f>
        <v>0.33448159658516485</v>
      </c>
      <c r="O10" s="16">
        <f t="shared" ca="1" si="3"/>
        <v>5.2865434127896478</v>
      </c>
      <c r="P10" s="12">
        <f t="shared" ca="1" si="4"/>
        <v>0.34145276910463962</v>
      </c>
      <c r="Q10" s="32">
        <f ca="1">IF(F10=1,IF(I10&lt;Bewertung_Stammdaten!B$12,Bewertung_Stammdaten!A$12,IF(I10&lt;Bewertung_Stammdaten!B$13,Bewertung_Stammdaten!A$13,IF(I10&lt;Bewertung_Stammdaten!B$14,Bewertung_Stammdaten!A$14,IF(I10&lt;Bewertung_Stammdaten!B$15,Bewertung_Stammdaten!A$15,IF(I10&lt;Bewertung_Stammdaten!B$16,Bewertung_Stammdaten!A$16,IF(I10&lt;Bewertung_Stammdaten!B$17,Bewertung_Stammdaten!A$17,IF(I10&lt;Bewertung_Stammdaten!B$18,Bewertung_Stammdaten!A$18,IF(I10&lt;Bewertung_Stammdaten!B$19,Bewertung_Stammdaten!A$19,IF(I10&lt;Bewertung_Stammdaten!B$20,Bewertung_Stammdaten!A$20,Bewertung_Stammdaten!A$21))))))))),IF(N10&lt;Bewertung_Stammdaten!C$12,Bewertung_Stammdaten!A$12,IF(N10&lt;Bewertung_Stammdaten!C$13,Bewertung_Stammdaten!A$13,IF(N10&lt;Bewertung_Stammdaten!C$14,Bewertung_Stammdaten!A$14,IF(N10&lt;Bewertung_Stammdaten!C$15,Bewertung_Stammdaten!A$15,IF(N10&lt;Bewertung_Stammdaten!C$16,Bewertung_Stammdaten!A$16,IF(N10&lt;Bewertung_Stammdaten!C$17,Bewertung_Stammdaten!A$17,IF(N10&lt;Bewertung_Stammdaten!C$18,Bewertung_Stammdaten!A$18,IF(N10&lt;Bewertung_Stammdaten!C$19,Bewertung_Stammdaten!A$19,IF(N10&lt;Bewertung_Stammdaten!C$20,Bewertung_Stammdaten!A$20,Bewertung_Stammdaten!A$21))))))))))</f>
        <v>6</v>
      </c>
      <c r="R10" s="32">
        <f ca="1">IF(F10=1,IF(K10&lt;Bewertung_Stammdaten!F$12,Bewertung_Stammdaten!E$12,IF(K10&lt;Bewertung_Stammdaten!F$13,Bewertung_Stammdaten!E$13,IF(K10&lt;Bewertung_Stammdaten!F$14,Bewertung_Stammdaten!E$14,IF(K10&lt;Bewertung_Stammdaten!F$15,Bewertung_Stammdaten!E$15,IF(K10&lt;Bewertung_Stammdaten!F$16,Bewertung_Stammdaten!E$16,IF(K10&lt;Bewertung_Stammdaten!F$17,Bewertung_Stammdaten!E$17,IF(K10&lt;Bewertung_Stammdaten!F$18,Bewertung_Stammdaten!E$18,IF(K10&lt;Bewertung_Stammdaten!F$19,Bewertung_Stammdaten!E$19,IF(K10&lt;Bewertung_Stammdaten!F$20,Bewertung_Stammdaten!E$20,Bewertung_Stammdaten!E$21))))))))),IF(P10&lt;Bewertung_Stammdaten!G$12,Bewertung_Stammdaten!E$12,IF(P10&lt;Bewertung_Stammdaten!G$13,Bewertung_Stammdaten!E$13,IF(P10&lt;Bewertung_Stammdaten!G$14,Bewertung_Stammdaten!E$14,IF(P10&lt;Bewertung_Stammdaten!G$15,Bewertung_Stammdaten!E$15,IF(P10&lt;Bewertung_Stammdaten!G$16,Bewertung_Stammdaten!E$16,IF(P10&lt;Bewertung_Stammdaten!G$17,Bewertung_Stammdaten!E$17,IF(P10&lt;Bewertung_Stammdaten!G$18,Bewertung_Stammdaten!E$18,IF(P10&lt;Bewertung_Stammdaten!G$19,Bewertung_Stammdaten!E$19,IF(P10&lt;Bewertung_Stammdaten!G$20,Bewertung_Stammdaten!E$20,Bewertung_Stammdaten!E$21))))))))))</f>
        <v>10</v>
      </c>
      <c r="S10" s="43"/>
      <c r="T10" s="11">
        <f ca="1">VLOOKUP(A10,Buchwert_je_Aktie!A$3:AK$103,23,FALSE)</f>
        <v>14.837222222222223</v>
      </c>
      <c r="U10" s="11">
        <f>VLOOKUP(A10,Buchwert_je_Aktie!A$3:AK$103,19,FALSE)</f>
        <v>11.566666666666665</v>
      </c>
      <c r="V10" s="12">
        <f ca="1">VLOOKUP(A10,Buchwert_je_Aktie!A$3:AK$103,24,FALSE)</f>
        <v>0.28275696445725296</v>
      </c>
      <c r="W10" s="12">
        <f>VLOOKUP(A10,Buchwert_je_Aktie!A$3:AK$103,37,FALSE)</f>
        <v>-5.1967334818114885E-3</v>
      </c>
      <c r="X10" s="16">
        <f t="shared" ca="1" si="5"/>
        <v>14.760117132722923</v>
      </c>
      <c r="Y10" s="12">
        <f t="shared" ca="1" si="6"/>
        <v>0.27609081839103111</v>
      </c>
      <c r="Z10" s="51">
        <f ca="1">IF(V10&lt;Bewertung_Stammdaten!B$25,Bewertung_Stammdaten!A$25,IF(V10&lt;Bewertung_Stammdaten!B$26,Bewertung_Stammdaten!A$26,IF(V10&lt;Bewertung_Stammdaten!B$27,Bewertung_Stammdaten!A$27,IF(V10&lt;Bewertung_Stammdaten!B$28,Bewertung_Stammdaten!A$28,IF(V10&lt;Bewertung_Stammdaten!B$29,Bewertung_Stammdaten!A$29,IF(V10&lt;Bewertung_Stammdaten!B$30,Bewertung_Stammdaten!A$30,IF(V10&lt;Bewertung_Stammdaten!B$31,Bewertung_Stammdaten!A$31,IF(V10&lt;Bewertung_Stammdaten!B$32,Bewertung_Stammdaten!A$32,IF(V10&lt;Bewertung_Stammdaten!B$33,Bewertung_Stammdaten!A$33,Bewertung_Stammdaten!A$34)))))))))</f>
        <v>7.5</v>
      </c>
      <c r="AA10" s="51">
        <f>IF(W10&lt;Bewertung_Stammdaten!F$25,Bewertung_Stammdaten!E$25,IF(W10&lt;Bewertung_Stammdaten!F$26,Bewertung_Stammdaten!E$26,IF(W10&lt;Bewertung_Stammdaten!F$27,Bewertung_Stammdaten!E$27,IF(W10&lt;Bewertung_Stammdaten!F$28,Bewertung_Stammdaten!E$28,IF(W10&lt;Bewertung_Stammdaten!F$29,Bewertung_Stammdaten!E$29,IF(W10&lt;Bewertung_Stammdaten!F$30,Bewertung_Stammdaten!E$30,IF(W10&lt;Bewertung_Stammdaten!F$31,Bewertung_Stammdaten!E$31,IF(W10&lt;Bewertung_Stammdaten!F$32,Bewertung_Stammdaten!E$32,IF(W10&lt;Bewertung_Stammdaten!F$33,Bewertung_Stammdaten!E$33,Bewertung_Stammdaten!E$34)))))))))</f>
        <v>10.5</v>
      </c>
      <c r="AB10" s="51">
        <f ca="1">IF(Y10&lt;Bewertung_Stammdaten!J$25,Bewertung_Stammdaten!I$25,IF(Y10&lt;Bewertung_Stammdaten!J$26,Bewertung_Stammdaten!I$26,IF(Y10&lt;Bewertung_Stammdaten!J$27,Bewertung_Stammdaten!I$27,IF(Y10&lt;Bewertung_Stammdaten!J$28,Bewertung_Stammdaten!I$28,IF(Y10&lt;Bewertung_Stammdaten!J$29,Bewertung_Stammdaten!I$29,IF(Y10&lt;Bewertung_Stammdaten!J$30,Bewertung_Stammdaten!I$30,IF(Y10&lt;Bewertung_Stammdaten!J$31,Bewertung_Stammdaten!I$31,IF(Y10&lt;Bewertung_Stammdaten!J$32,Bewertung_Stammdaten!I$32,IF(Y10&lt;Bewertung_Stammdaten!J$33,Bewertung_Stammdaten!I$33,Bewertung_Stammdaten!I$34)))))))))</f>
        <v>5</v>
      </c>
      <c r="AC10" s="43"/>
      <c r="AD10" s="14">
        <f ca="1">VLOOKUP(A10,Ergebnis_je_Aktie_verwässert!A$3:AK$103,23,FALSE)</f>
        <v>3.0600555555555555</v>
      </c>
      <c r="AE10" s="14">
        <f>VLOOKUP(A10,Ergebnis_je_Aktie_verwässert!A$3:AK$103,19,FALSE)</f>
        <v>1.947272727272727</v>
      </c>
      <c r="AF10" s="12">
        <f ca="1">VLOOKUP(A10,Ergebnis_je_Aktie_verwässert!A$3:AK$103,24,FALSE)</f>
        <v>0.57145710135906236</v>
      </c>
      <c r="AG10" s="40">
        <f>VLOOKUP(A10,Ergebnis_je_Aktie_verwässert!A$3:AK$103,37,FALSE)</f>
        <v>0.10465116279069764</v>
      </c>
      <c r="AH10" s="16">
        <f t="shared" ca="1" si="7"/>
        <v>3.0600555555555555</v>
      </c>
      <c r="AI10" s="12">
        <f t="shared" ca="1" si="8"/>
        <v>0.57145710135906236</v>
      </c>
      <c r="AJ10" s="32">
        <f ca="1">IF(AF10&lt;Bewertung_Stammdaten!B$38,Bewertung_Stammdaten!A$38,IF(AF10&lt;Bewertung_Stammdaten!B$39,Bewertung_Stammdaten!A$39,IF(AF10&lt;Bewertung_Stammdaten!B$40,Bewertung_Stammdaten!A$40,IF(AF10&lt;Bewertung_Stammdaten!B$41,Bewertung_Stammdaten!A$41,IF(AF10&lt;Bewertung_Stammdaten!B$42,Bewertung_Stammdaten!A$42,IF(AF10&lt;Bewertung_Stammdaten!B$43,Bewertung_Stammdaten!A$43,IF(AF10&lt;Bewertung_Stammdaten!B$44,Bewertung_Stammdaten!A$44,IF(AF10&lt;Bewertung_Stammdaten!B$45,Bewertung_Stammdaten!A$45,IF(AF10&lt;Bewertung_Stammdaten!B$46,Bewertung_Stammdaten!A$46,Bewertung_Stammdaten!A$47)))))))))</f>
        <v>18</v>
      </c>
      <c r="AK10" s="32">
        <f>IF(AG10&lt;Bewertung_Stammdaten!F$38,Bewertung_Stammdaten!E$38,IF(AG10&lt;Bewertung_Stammdaten!F$39,Bewertung_Stammdaten!E$39,IF(AG10&lt;Bewertung_Stammdaten!F$40,Bewertung_Stammdaten!E$40,IF(AG10&lt;Bewertung_Stammdaten!F$41,Bewertung_Stammdaten!E$41,IF(AG10&lt;Bewertung_Stammdaten!F$42,Bewertung_Stammdaten!E$42,IF(AG10&lt;Bewertung_Stammdaten!F$43,Bewertung_Stammdaten!E$43,IF(AG10&lt;Bewertung_Stammdaten!F$44,Bewertung_Stammdaten!E$44,IF(AG10&lt;Bewertung_Stammdaten!F$45,Bewertung_Stammdaten!E$45,IF(AG10&lt;Bewertung_Stammdaten!F$46,Bewertung_Stammdaten!E$46,Bewertung_Stammdaten!E$47)))))))))</f>
        <v>13.5</v>
      </c>
      <c r="AL10" s="32">
        <f ca="1">IF(AI10&lt;Bewertung_Stammdaten!J$38,Bewertung_Stammdaten!I$38,IF(AI10&lt;Bewertung_Stammdaten!J$39,Bewertung_Stammdaten!I$39,IF(AI10&lt;Bewertung_Stammdaten!J$40,Bewertung_Stammdaten!I$40,IF(AI10&lt;Bewertung_Stammdaten!J$41,Bewertung_Stammdaten!I$41,IF(AI10&lt;Bewertung_Stammdaten!J$42,Bewertung_Stammdaten!I$42,IF(AI10&lt;Bewertung_Stammdaten!J$43,Bewertung_Stammdaten!I$43,IF(AI10&lt;Bewertung_Stammdaten!J$44,Bewertung_Stammdaten!I$44,IF(AI10&lt;Bewertung_Stammdaten!J$45,Bewertung_Stammdaten!I$45,IF(AI10&lt;Bewertung_Stammdaten!J$46,Bewertung_Stammdaten!I$46,Bewertung_Stammdaten!I$47)))))))))</f>
        <v>10</v>
      </c>
      <c r="AM10" s="43"/>
      <c r="AN10" s="14">
        <f ca="1">VLOOKUP(A10,Dividende_je_Aktie!A$3:AM$103,24,FALSE)</f>
        <v>0.59422222222222221</v>
      </c>
      <c r="AO10" s="14">
        <f>VLOOKUP(A10,Dividende_je_Aktie!A$3:AM$103,20,FALSE)</f>
        <v>0.34418181818181814</v>
      </c>
      <c r="AP10" s="12">
        <f ca="1">VLOOKUP(A10,Dividende_je_Aktie!A$3:AM$103,25,FALSE)</f>
        <v>0.72647766625579635</v>
      </c>
      <c r="AQ10" s="40">
        <f>VLOOKUP(A10,Dividende_je_Aktie!A$3:AM$103,39,FALSE)</f>
        <v>0.12698412698412698</v>
      </c>
      <c r="AR10" s="16">
        <f t="shared" ca="1" si="9"/>
        <v>0.59422222222222221</v>
      </c>
      <c r="AS10" s="12">
        <f t="shared" ca="1" si="10"/>
        <v>0.72647766625579635</v>
      </c>
      <c r="AT10" s="32">
        <f ca="1">IF(AP10&lt;Bewertung_Stammdaten!B$51,Bewertung_Stammdaten!A$51,IF(AP10&lt;Bewertung_Stammdaten!B$52,Bewertung_Stammdaten!A$52,IF(AP10&lt;Bewertung_Stammdaten!B$53,Bewertung_Stammdaten!A$53,IF(AP10&lt;Bewertung_Stammdaten!B$54,Bewertung_Stammdaten!A$54,IF(AP10&lt;Bewertung_Stammdaten!B$55,Bewertung_Stammdaten!A$55,IF(AP10&lt;Bewertung_Stammdaten!B$56,Bewertung_Stammdaten!A$56,IF(AP10&lt;Bewertung_Stammdaten!B$57,Bewertung_Stammdaten!A$57,IF(AP10&lt;Bewertung_Stammdaten!B$58,Bewertung_Stammdaten!A$58,IF(AP10&lt;Bewertung_Stammdaten!B$59,Bewertung_Stammdaten!A$59,Bewertung_Stammdaten!A$60)))))))))</f>
        <v>20</v>
      </c>
      <c r="AU10" s="32">
        <f>IF(AQ10&lt;Bewertung_Stammdaten!F$51,Bewertung_Stammdaten!E$51,IF(AQ10&lt;Bewertung_Stammdaten!F$52,Bewertung_Stammdaten!E$52,IF(AQ10&lt;Bewertung_Stammdaten!F$53,Bewertung_Stammdaten!E$53,IF(AQ10&lt;Bewertung_Stammdaten!F$54,Bewertung_Stammdaten!E$54,IF(AQ10&lt;Bewertung_Stammdaten!F$55,Bewertung_Stammdaten!E$55,IF(AQ10&lt;Bewertung_Stammdaten!F$56,Bewertung_Stammdaten!E$56,IF(AQ10&lt;Bewertung_Stammdaten!F$57,Bewertung_Stammdaten!E$57,IF(AQ10&lt;Bewertung_Stammdaten!F$58,Bewertung_Stammdaten!E$58,IF(AQ10&lt;Bewertung_Stammdaten!F$59,Bewertung_Stammdaten!E$59,Bewertung_Stammdaten!E$60)))))))))</f>
        <v>13.5</v>
      </c>
      <c r="AV10" s="32">
        <f ca="1">IF(AS10&lt;Bewertung_Stammdaten!J$51,Bewertung_Stammdaten!I$51,IF(AS10&lt;Bewertung_Stammdaten!J$52,Bewertung_Stammdaten!I$52,IF(AS10&lt;Bewertung_Stammdaten!J$53,Bewertung_Stammdaten!I$53,IF(AS10&lt;Bewertung_Stammdaten!J$54,Bewertung_Stammdaten!I$54,IF(AS10&lt;Bewertung_Stammdaten!J$55,Bewertung_Stammdaten!I$55,IF(AS10&lt;Bewertung_Stammdaten!J$56,Bewertung_Stammdaten!I$56,IF(AS10&lt;Bewertung_Stammdaten!J$57,Bewertung_Stammdaten!I$57,IF(AS10&lt;Bewertung_Stammdaten!J$58,Bewertung_Stammdaten!I$58,IF(AS10&lt;Bewertung_Stammdaten!J$59,Bewertung_Stammdaten!I$59,Bewertung_Stammdaten!I$60)))))))))</f>
        <v>10</v>
      </c>
      <c r="AW10" s="43"/>
      <c r="AX10" s="12">
        <f ca="1">VLOOKUP(A10,Dividendenrendite!A$3:R$103,17,FALSE)</f>
        <v>7.6153046549048082E-3</v>
      </c>
      <c r="AY10" s="12">
        <f>VLOOKUP(A10,Dividendenrendite!A$3:R$103,16,FALSE)</f>
        <v>6.6347550369906302E-3</v>
      </c>
      <c r="AZ10" s="12">
        <f ca="1">VLOOKUP(A10,Dividendenrendite!A$3:R$103,18,FALSE)</f>
        <v>0.14778987505150343</v>
      </c>
      <c r="BA10" s="32">
        <f ca="1">IF(AX10&lt;Bewertung_Stammdaten!B$64,Bewertung_Stammdaten!A$64,IF(AX10&lt;Bewertung_Stammdaten!B$65,Bewertung_Stammdaten!A$65,IF(AX10&lt;Bewertung_Stammdaten!B$66,Bewertung_Stammdaten!A$66,IF(AX10&lt;Bewertung_Stammdaten!B$67,Bewertung_Stammdaten!A$67,IF(AX10&lt;Bewertung_Stammdaten!B$68,Bewertung_Stammdaten!A$68,IF(AX10&lt;Bewertung_Stammdaten!B$69,Bewertung_Stammdaten!A$69,IF(AX10&lt;Bewertung_Stammdaten!B$70,Bewertung_Stammdaten!A$70,IF(AX10&lt;Bewertung_Stammdaten!B$71,Bewertung_Stammdaten!A$71,IF(AX10&lt;Bewertung_Stammdaten!B$72,Bewertung_Stammdaten!A$72,Bewertung_Stammdaten!A$73)))))))))</f>
        <v>3</v>
      </c>
      <c r="BB10" s="32">
        <f>IF(AY10&lt;Bewertung_Stammdaten!F$64,Bewertung_Stammdaten!E$64,IF(AY10&lt;Bewertung_Stammdaten!F$65,Bewertung_Stammdaten!E$65,IF(AY10&lt;Bewertung_Stammdaten!F$66,Bewertung_Stammdaten!E$66,IF(AY10&lt;Bewertung_Stammdaten!F$67,Bewertung_Stammdaten!E$67,IF(AY10&lt;Bewertung_Stammdaten!F$68,Bewertung_Stammdaten!E$68,IF(AY10&lt;Bewertung_Stammdaten!F$69,Bewertung_Stammdaten!E$69,IF(AY10&lt;Bewertung_Stammdaten!F$70,Bewertung_Stammdaten!E$70,IF(AY10&lt;Bewertung_Stammdaten!F$71,Bewertung_Stammdaten!E$71,IF(AY10&lt;Bewertung_Stammdaten!F$72,Bewertung_Stammdaten!E$72,Bewertung_Stammdaten!E$73)))))))))</f>
        <v>2</v>
      </c>
      <c r="BC10" s="32">
        <f ca="1">IF(AZ10&lt;Bewertung_Stammdaten!J$64,Bewertung_Stammdaten!I$64,IF(AZ10&lt;Bewertung_Stammdaten!J$65,Bewertung_Stammdaten!I$65,IF(AZ10&lt;Bewertung_Stammdaten!J$66,Bewertung_Stammdaten!I$66,IF(AZ10&lt;Bewertung_Stammdaten!J$67,Bewertung_Stammdaten!I$67,IF(AZ10&lt;Bewertung_Stammdaten!J$68,Bewertung_Stammdaten!I$68,IF(AZ10&lt;Bewertung_Stammdaten!J$69,Bewertung_Stammdaten!I$69,IF(AZ10&lt;Bewertung_Stammdaten!J$70,Bewertung_Stammdaten!I$70,IF(AZ10&lt;Bewertung_Stammdaten!J$71,Bewertung_Stammdaten!I$71,IF(AZ10&lt;Bewertung_Stammdaten!J$72,Bewertung_Stammdaten!I$72,Bewertung_Stammdaten!I$73)))))))))</f>
        <v>4</v>
      </c>
      <c r="BD10" s="43"/>
      <c r="BE10" s="12">
        <f>VLOOKUP(A10,Aktien_im_Umlauf_splitbereinigt!A$3:AB$103,28,FALSE)</f>
        <v>-0.29006410256410253</v>
      </c>
      <c r="BF10" s="12">
        <f>VLOOKUP(A10,Aktien_im_Umlauf_splitbereinigt!A$3:AA$103,26,FALSE)</f>
        <v>-7.144777371823377E-2</v>
      </c>
      <c r="BG10" s="12">
        <f>VLOOKUP(A10,Aktien_im_Umlauf_splitbereinigt!A$3:AA$103,27,FALSE)</f>
        <v>3.0598060298984091</v>
      </c>
      <c r="BH10" s="41">
        <f>IF(BE10&lt;Bewertung_Stammdaten!B$77,Bewertung_Stammdaten!A$77,IF(BE10&lt;Bewertung_Stammdaten!B$78,Bewertung_Stammdaten!A$78,IF(BE10&lt;Bewertung_Stammdaten!B$79,Bewertung_Stammdaten!A$79,IF(BE10&lt;Bewertung_Stammdaten!B$80,Bewertung_Stammdaten!A$80,IF(BE10&lt;Bewertung_Stammdaten!B$81,Bewertung_Stammdaten!A$81,IF(BE10&lt;Bewertung_Stammdaten!B$82,Bewertung_Stammdaten!A$82,IF(BE10&lt;Bewertung_Stammdaten!B$83,Bewertung_Stammdaten!A$83,IF(BE10&lt;Bewertung_Stammdaten!B$84,Bewertung_Stammdaten!A$84,IF(BE10&lt;Bewertung_Stammdaten!B$85,Bewertung_Stammdaten!A$85,Bewertung_Stammdaten!A$86)))))))))</f>
        <v>10</v>
      </c>
      <c r="BI10" s="41">
        <f>IF(BF10&lt;Bewertung_Stammdaten!F$77,Bewertung_Stammdaten!E$77,IF(BF10&lt;Bewertung_Stammdaten!F$78,Bewertung_Stammdaten!E$78,IF(BF10&lt;Bewertung_Stammdaten!F$79,Bewertung_Stammdaten!E$79,IF(BF10&lt;Bewertung_Stammdaten!F$80,Bewertung_Stammdaten!E$80,IF(BF10&lt;Bewertung_Stammdaten!F$81,Bewertung_Stammdaten!E$81,IF(BF10&lt;Bewertung_Stammdaten!F$82,Bewertung_Stammdaten!E$82,IF(BF10&lt;Bewertung_Stammdaten!F$83,Bewertung_Stammdaten!E$83,IF(BF10&lt;Bewertung_Stammdaten!F$84,Bewertung_Stammdaten!E$84,IF(BF10&lt;Bewertung_Stammdaten!F$85,Bewertung_Stammdaten!E$85,Bewertung_Stammdaten!E$86)))))))))</f>
        <v>10</v>
      </c>
      <c r="BJ10" s="41">
        <f>IF(BG10&lt;Bewertung_Stammdaten!J$77,Bewertung_Stammdaten!I$77,IF(BG10&lt;Bewertung_Stammdaten!J$78,Bewertung_Stammdaten!I$78,IF(BG10&lt;Bewertung_Stammdaten!J$79,Bewertung_Stammdaten!I$79,IF(BG10&lt;Bewertung_Stammdaten!J$80,Bewertung_Stammdaten!I$80,IF(BG10&lt;Bewertung_Stammdaten!J$81,Bewertung_Stammdaten!I$81,IF(BG10&lt;Bewertung_Stammdaten!J$82,Bewertung_Stammdaten!I$82,IF(BG10&lt;Bewertung_Stammdaten!J$83,Bewertung_Stammdaten!I$83,IF(BG10&lt;Bewertung_Stammdaten!J$84,Bewertung_Stammdaten!I$84,IF(BG10&lt;Bewertung_Stammdaten!J$85,Bewertung_Stammdaten!I$85,Bewertung_Stammdaten!I$86)))))))))</f>
        <v>5</v>
      </c>
      <c r="BK10" s="43"/>
      <c r="BL10" s="12">
        <f ca="1">VLOOKUP(A10,Ausschüttungsquote!A$3:AL$103,37,FALSE)</f>
        <v>0.19412338034629059</v>
      </c>
      <c r="BM10" s="12">
        <f>VLOOKUP(A10,Ausschüttungsquote!A$3:AL$103,19,FALSE)</f>
        <v>0.47006667256476203</v>
      </c>
      <c r="BN10" s="12">
        <f ca="1">VLOOKUP(A10,Ausschüttungsquote!A$3:AL$103,38,FALSE)</f>
        <v>0.195444083811386</v>
      </c>
      <c r="BO10" s="32">
        <f ca="1">IF(BL10&lt;Bewertung_Stammdaten!B$90,Bewertung_Stammdaten!A$90,IF(BL10&lt;Bewertung_Stammdaten!B$91,Bewertung_Stammdaten!A$91,IF(BL10&lt;Bewertung_Stammdaten!B$92,Bewertung_Stammdaten!A$92,IF(BL10&lt;Bewertung_Stammdaten!B$93,Bewertung_Stammdaten!A$93,IF(BL10&lt;Bewertung_Stammdaten!B$94,Bewertung_Stammdaten!A$94,IF(BL10&lt;Bewertung_Stammdaten!B$95,Bewertung_Stammdaten!A$95,IF(BL10&lt;Bewertung_Stammdaten!B$96,Bewertung_Stammdaten!A$96,IF(BL10&lt;Bewertung_Stammdaten!B$97,Bewertung_Stammdaten!A$97,IF(BL10&lt;Bewertung_Stammdaten!B$98,Bewertung_Stammdaten!A$98,Bewertung_Stammdaten!A$99)))))))))</f>
        <v>10</v>
      </c>
      <c r="BP10" s="41">
        <f>IF(BM10&lt;Bewertung_Stammdaten!F$90,Bewertung_Stammdaten!E$90,IF(BM10&lt;Bewertung_Stammdaten!F$91,Bewertung_Stammdaten!E$91,IF(BM10&lt;Bewertung_Stammdaten!F$92,Bewertung_Stammdaten!E$92,IF(BM10&lt;Bewertung_Stammdaten!F$93,Bewertung_Stammdaten!E$93,IF(BM10&lt;Bewertung_Stammdaten!F$94,Bewertung_Stammdaten!E$94,IF(BM10&lt;Bewertung_Stammdaten!F$95,Bewertung_Stammdaten!E$95,IF(BM10&lt;Bewertung_Stammdaten!F$96,Bewertung_Stammdaten!E$96,IF(BM10&lt;Bewertung_Stammdaten!F$97,Bewertung_Stammdaten!E$97,IF(BM10&lt;Bewertung_Stammdaten!F$98,Bewertung_Stammdaten!E$98,Bewertung_Stammdaten!E$99)))))))))</f>
        <v>8</v>
      </c>
      <c r="BQ10" s="32">
        <f ca="1">IF(BN10&lt;Bewertung_Stammdaten!J$90,Bewertung_Stammdaten!I$90,IF(BN10&lt;Bewertung_Stammdaten!J$91,Bewertung_Stammdaten!I$91,IF(BN10&lt;Bewertung_Stammdaten!J$92,Bewertung_Stammdaten!I$92,IF(BN10&lt;Bewertung_Stammdaten!J$93,Bewertung_Stammdaten!I$93,IF(BN10&lt;Bewertung_Stammdaten!J$94,Bewertung_Stammdaten!I$94,IF(BN10&lt;Bewertung_Stammdaten!J$95,Bewertung_Stammdaten!I$95,IF(BN10&lt;Bewertung_Stammdaten!J$96,Bewertung_Stammdaten!I$96,IF(BN10&lt;Bewertung_Stammdaten!J$97,Bewertung_Stammdaten!I$97,IF(BN10&lt;Bewertung_Stammdaten!J$98,Bewertung_Stammdaten!I$98,Bewertung_Stammdaten!I$99)))))))))</f>
        <v>2</v>
      </c>
    </row>
    <row r="11" spans="1:69">
      <c r="A11" s="55" t="s">
        <v>277</v>
      </c>
      <c r="B11" s="55" t="s">
        <v>278</v>
      </c>
      <c r="C11" s="38" t="s">
        <v>283</v>
      </c>
      <c r="D11" s="32">
        <f t="shared" ca="1" si="0"/>
        <v>172.5</v>
      </c>
      <c r="E11" s="43"/>
      <c r="F11" s="60">
        <v>1</v>
      </c>
      <c r="G11" s="11">
        <f ca="1">VLOOKUP(A11,KGV!A$3:R$103,17,FALSE)</f>
        <v>19.790107577174929</v>
      </c>
      <c r="H11" s="11">
        <f>VLOOKUP(A11,KGV!A$3:R$103,16,FALSE)</f>
        <v>15.432835820895521</v>
      </c>
      <c r="I11" s="12">
        <f ca="1">VLOOKUP(A11,KGV!A$3:R$103,18,FALSE)</f>
        <v>0.28233772502003895</v>
      </c>
      <c r="J11" s="16">
        <f t="shared" ca="1" si="1"/>
        <v>19.938905378507073</v>
      </c>
      <c r="K11" s="12">
        <f t="shared" ca="1" si="2"/>
        <v>0.29197936205026487</v>
      </c>
      <c r="L11" s="11">
        <f ca="1">VLOOKUP(A11,KBV!A$3:R$103,17,FALSE)</f>
        <v>10.134431137724551</v>
      </c>
      <c r="M11" s="11">
        <f>VLOOKUP(A11,KBV!A$3:R$103,16,FALSE)</f>
        <v>8.7422512234910279</v>
      </c>
      <c r="N11" s="12">
        <f ca="1">VLOOKUP(A11,KBV!A$3:R$103,18,FALSE)</f>
        <v>0.15924730125492625</v>
      </c>
      <c r="O11" s="16">
        <f t="shared" ca="1" si="3"/>
        <v>10.134431137724551</v>
      </c>
      <c r="P11" s="12">
        <f t="shared" ca="1" si="4"/>
        <v>0.15924730125492625</v>
      </c>
      <c r="Q11" s="32">
        <f ca="1">IF(F11=1,IF(I11&lt;Bewertung_Stammdaten!B$12,Bewertung_Stammdaten!A$12,IF(I11&lt;Bewertung_Stammdaten!B$13,Bewertung_Stammdaten!A$13,IF(I11&lt;Bewertung_Stammdaten!B$14,Bewertung_Stammdaten!A$14,IF(I11&lt;Bewertung_Stammdaten!B$15,Bewertung_Stammdaten!A$15,IF(I11&lt;Bewertung_Stammdaten!B$16,Bewertung_Stammdaten!A$16,IF(I11&lt;Bewertung_Stammdaten!B$17,Bewertung_Stammdaten!A$17,IF(I11&lt;Bewertung_Stammdaten!B$18,Bewertung_Stammdaten!A$18,IF(I11&lt;Bewertung_Stammdaten!B$19,Bewertung_Stammdaten!A$19,IF(I11&lt;Bewertung_Stammdaten!B$20,Bewertung_Stammdaten!A$20,Bewertung_Stammdaten!A$21))))))))),IF(N11&lt;Bewertung_Stammdaten!C$12,Bewertung_Stammdaten!A$12,IF(N11&lt;Bewertung_Stammdaten!C$13,Bewertung_Stammdaten!A$13,IF(N11&lt;Bewertung_Stammdaten!C$14,Bewertung_Stammdaten!A$14,IF(N11&lt;Bewertung_Stammdaten!C$15,Bewertung_Stammdaten!A$15,IF(N11&lt;Bewertung_Stammdaten!C$16,Bewertung_Stammdaten!A$16,IF(N11&lt;Bewertung_Stammdaten!C$17,Bewertung_Stammdaten!A$17,IF(N11&lt;Bewertung_Stammdaten!C$18,Bewertung_Stammdaten!A$18,IF(N11&lt;Bewertung_Stammdaten!C$19,Bewertung_Stammdaten!A$19,IF(N11&lt;Bewertung_Stammdaten!C$20,Bewertung_Stammdaten!A$20,Bewertung_Stammdaten!A$21))))))))))</f>
        <v>6</v>
      </c>
      <c r="R11" s="32">
        <f ca="1">IF(F11=1,IF(K11&lt;Bewertung_Stammdaten!F$12,Bewertung_Stammdaten!E$12,IF(K11&lt;Bewertung_Stammdaten!F$13,Bewertung_Stammdaten!E$13,IF(K11&lt;Bewertung_Stammdaten!F$14,Bewertung_Stammdaten!E$14,IF(K11&lt;Bewertung_Stammdaten!F$15,Bewertung_Stammdaten!E$15,IF(K11&lt;Bewertung_Stammdaten!F$16,Bewertung_Stammdaten!E$16,IF(K11&lt;Bewertung_Stammdaten!F$17,Bewertung_Stammdaten!E$17,IF(K11&lt;Bewertung_Stammdaten!F$18,Bewertung_Stammdaten!E$18,IF(K11&lt;Bewertung_Stammdaten!F$19,Bewertung_Stammdaten!E$19,IF(K11&lt;Bewertung_Stammdaten!F$20,Bewertung_Stammdaten!E$20,Bewertung_Stammdaten!E$21))))))))),IF(P11&lt;Bewertung_Stammdaten!G$12,Bewertung_Stammdaten!E$12,IF(P11&lt;Bewertung_Stammdaten!G$13,Bewertung_Stammdaten!E$13,IF(P11&lt;Bewertung_Stammdaten!G$14,Bewertung_Stammdaten!E$14,IF(P11&lt;Bewertung_Stammdaten!G$15,Bewertung_Stammdaten!E$15,IF(P11&lt;Bewertung_Stammdaten!G$16,Bewertung_Stammdaten!E$16,IF(P11&lt;Bewertung_Stammdaten!G$17,Bewertung_Stammdaten!E$17,IF(P11&lt;Bewertung_Stammdaten!G$18,Bewertung_Stammdaten!E$18,IF(P11&lt;Bewertung_Stammdaten!G$19,Bewertung_Stammdaten!E$19,IF(P11&lt;Bewertung_Stammdaten!G$20,Bewertung_Stammdaten!E$20,Bewertung_Stammdaten!E$21))))))))))</f>
        <v>10</v>
      </c>
      <c r="S11" s="43"/>
      <c r="T11" s="11">
        <f ca="1">VLOOKUP(A11,Buchwert_je_Aktie!A$3:AK$103,23,FALSE)</f>
        <v>11.133333333333333</v>
      </c>
      <c r="U11" s="11">
        <f>VLOOKUP(A11,Buchwert_je_Aktie!A$3:AK$103,19,FALSE)</f>
        <v>6.9369230769230761</v>
      </c>
      <c r="V11" s="12">
        <f ca="1">VLOOKUP(A11,Buchwert_je_Aktie!A$3:AK$103,24,FALSE)</f>
        <v>0.60493827160493829</v>
      </c>
      <c r="W11" s="12">
        <f>VLOOKUP(A11,Buchwert_je_Aktie!A$3:AK$103,37,FALSE)</f>
        <v>2.2613065326633208E-2</v>
      </c>
      <c r="X11" s="16">
        <f t="shared" ca="1" si="5"/>
        <v>11.133333333333333</v>
      </c>
      <c r="Y11" s="12">
        <f t="shared" ca="1" si="6"/>
        <v>0.60493827160493829</v>
      </c>
      <c r="Z11" s="51">
        <f ca="1">IF(V11&lt;Bewertung_Stammdaten!B$25,Bewertung_Stammdaten!A$25,IF(V11&lt;Bewertung_Stammdaten!B$26,Bewertung_Stammdaten!A$26,IF(V11&lt;Bewertung_Stammdaten!B$27,Bewertung_Stammdaten!A$27,IF(V11&lt;Bewertung_Stammdaten!B$28,Bewertung_Stammdaten!A$28,IF(V11&lt;Bewertung_Stammdaten!B$29,Bewertung_Stammdaten!A$29,IF(V11&lt;Bewertung_Stammdaten!B$30,Bewertung_Stammdaten!A$30,IF(V11&lt;Bewertung_Stammdaten!B$31,Bewertung_Stammdaten!A$31,IF(V11&lt;Bewertung_Stammdaten!B$32,Bewertung_Stammdaten!A$32,IF(V11&lt;Bewertung_Stammdaten!B$33,Bewertung_Stammdaten!A$33,Bewertung_Stammdaten!A$34)))))))))</f>
        <v>13.5</v>
      </c>
      <c r="AA11" s="51">
        <f>IF(W11&lt;Bewertung_Stammdaten!F$25,Bewertung_Stammdaten!E$25,IF(W11&lt;Bewertung_Stammdaten!F$26,Bewertung_Stammdaten!E$26,IF(W11&lt;Bewertung_Stammdaten!F$27,Bewertung_Stammdaten!E$27,IF(W11&lt;Bewertung_Stammdaten!F$28,Bewertung_Stammdaten!E$28,IF(W11&lt;Bewertung_Stammdaten!F$29,Bewertung_Stammdaten!E$29,IF(W11&lt;Bewertung_Stammdaten!F$30,Bewertung_Stammdaten!E$30,IF(W11&lt;Bewertung_Stammdaten!F$31,Bewertung_Stammdaten!E$31,IF(W11&lt;Bewertung_Stammdaten!F$32,Bewertung_Stammdaten!E$32,IF(W11&lt;Bewertung_Stammdaten!F$33,Bewertung_Stammdaten!E$33,Bewertung_Stammdaten!E$34)))))))))</f>
        <v>12</v>
      </c>
      <c r="AB11" s="51">
        <f ca="1">IF(Y11&lt;Bewertung_Stammdaten!J$25,Bewertung_Stammdaten!I$25,IF(Y11&lt;Bewertung_Stammdaten!J$26,Bewertung_Stammdaten!I$26,IF(Y11&lt;Bewertung_Stammdaten!J$27,Bewertung_Stammdaten!I$27,IF(Y11&lt;Bewertung_Stammdaten!J$28,Bewertung_Stammdaten!I$28,IF(Y11&lt;Bewertung_Stammdaten!J$29,Bewertung_Stammdaten!I$29,IF(Y11&lt;Bewertung_Stammdaten!J$30,Bewertung_Stammdaten!I$30,IF(Y11&lt;Bewertung_Stammdaten!J$31,Bewertung_Stammdaten!I$31,IF(Y11&lt;Bewertung_Stammdaten!J$32,Bewertung_Stammdaten!I$32,IF(Y11&lt;Bewertung_Stammdaten!J$33,Bewertung_Stammdaten!I$33,Bewertung_Stammdaten!I$34)))))))))</f>
        <v>9</v>
      </c>
      <c r="AC11" s="43"/>
      <c r="AD11" s="14">
        <f ca="1">VLOOKUP(A11,Ergebnis_je_Aktie_verwässert!A$3:AK$103,23,FALSE)</f>
        <v>5.7013333333333334</v>
      </c>
      <c r="AE11" s="14">
        <f>VLOOKUP(A11,Ergebnis_je_Aktie_verwässert!A$3:AK$103,19,FALSE)</f>
        <v>3.8484615384615384</v>
      </c>
      <c r="AF11" s="12">
        <f ca="1">VLOOKUP(A11,Ergebnis_je_Aktie_verwässert!A$3:AK$103,24,FALSE)</f>
        <v>0.48145779199147176</v>
      </c>
      <c r="AG11" s="40">
        <f>VLOOKUP(A11,Ergebnis_je_Aktie_verwässert!A$3:AK$103,37,FALSE)</f>
        <v>-7.4626865671642006E-3</v>
      </c>
      <c r="AH11" s="16">
        <f t="shared" ca="1" si="7"/>
        <v>5.6587860696517414</v>
      </c>
      <c r="AI11" s="12">
        <f t="shared" ca="1" si="8"/>
        <v>0.47040213682735632</v>
      </c>
      <c r="AJ11" s="32">
        <f ca="1">IF(AF11&lt;Bewertung_Stammdaten!B$38,Bewertung_Stammdaten!A$38,IF(AF11&lt;Bewertung_Stammdaten!B$39,Bewertung_Stammdaten!A$39,IF(AF11&lt;Bewertung_Stammdaten!B$40,Bewertung_Stammdaten!A$40,IF(AF11&lt;Bewertung_Stammdaten!B$41,Bewertung_Stammdaten!A$41,IF(AF11&lt;Bewertung_Stammdaten!B$42,Bewertung_Stammdaten!A$42,IF(AF11&lt;Bewertung_Stammdaten!B$43,Bewertung_Stammdaten!A$43,IF(AF11&lt;Bewertung_Stammdaten!B$44,Bewertung_Stammdaten!A$44,IF(AF11&lt;Bewertung_Stammdaten!B$45,Bewertung_Stammdaten!A$45,IF(AF11&lt;Bewertung_Stammdaten!B$46,Bewertung_Stammdaten!A$46,Bewertung_Stammdaten!A$47)))))))))</f>
        <v>16</v>
      </c>
      <c r="AK11" s="32">
        <f>IF(AG11&lt;Bewertung_Stammdaten!F$38,Bewertung_Stammdaten!E$38,IF(AG11&lt;Bewertung_Stammdaten!F$39,Bewertung_Stammdaten!E$39,IF(AG11&lt;Bewertung_Stammdaten!F$40,Bewertung_Stammdaten!E$40,IF(AG11&lt;Bewertung_Stammdaten!F$41,Bewertung_Stammdaten!E$41,IF(AG11&lt;Bewertung_Stammdaten!F$42,Bewertung_Stammdaten!E$42,IF(AG11&lt;Bewertung_Stammdaten!F$43,Bewertung_Stammdaten!E$43,IF(AG11&lt;Bewertung_Stammdaten!F$44,Bewertung_Stammdaten!E$44,IF(AG11&lt;Bewertung_Stammdaten!F$45,Bewertung_Stammdaten!E$45,IF(AG11&lt;Bewertung_Stammdaten!F$46,Bewertung_Stammdaten!E$46,Bewertung_Stammdaten!E$47)))))))))</f>
        <v>10.5</v>
      </c>
      <c r="AL11" s="32">
        <f ca="1">IF(AI11&lt;Bewertung_Stammdaten!J$38,Bewertung_Stammdaten!I$38,IF(AI11&lt;Bewertung_Stammdaten!J$39,Bewertung_Stammdaten!I$39,IF(AI11&lt;Bewertung_Stammdaten!J$40,Bewertung_Stammdaten!I$40,IF(AI11&lt;Bewertung_Stammdaten!J$41,Bewertung_Stammdaten!I$41,IF(AI11&lt;Bewertung_Stammdaten!J$42,Bewertung_Stammdaten!I$42,IF(AI11&lt;Bewertung_Stammdaten!J$43,Bewertung_Stammdaten!I$43,IF(AI11&lt;Bewertung_Stammdaten!J$44,Bewertung_Stammdaten!I$44,IF(AI11&lt;Bewertung_Stammdaten!J$45,Bewertung_Stammdaten!I$45,IF(AI11&lt;Bewertung_Stammdaten!J$46,Bewertung_Stammdaten!I$46,Bewertung_Stammdaten!I$47)))))))))</f>
        <v>9</v>
      </c>
      <c r="AM11" s="43"/>
      <c r="AN11" s="14">
        <f ca="1">VLOOKUP(A11,Dividende_je_Aktie!A$3:AM$103,24,FALSE)</f>
        <v>2.2556666666666665</v>
      </c>
      <c r="AO11" s="14">
        <f>VLOOKUP(A11,Dividende_je_Aktie!A$3:AM$103,20,FALSE)</f>
        <v>1.2271428571428573</v>
      </c>
      <c r="AP11" s="12">
        <f ca="1">VLOOKUP(A11,Dividende_je_Aktie!A$3:AM$103,25,FALSE)</f>
        <v>0.83814512999611912</v>
      </c>
      <c r="AQ11" s="40">
        <f>VLOOKUP(A11,Dividende_je_Aktie!A$3:AM$103,39,FALSE)</f>
        <v>-3.0434782608695587E-2</v>
      </c>
      <c r="AR11" s="16">
        <f t="shared" ca="1" si="9"/>
        <v>2.1870159420289856</v>
      </c>
      <c r="AS11" s="12">
        <f t="shared" ca="1" si="10"/>
        <v>0.78220158256145478</v>
      </c>
      <c r="AT11" s="32">
        <f ca="1">IF(AP11&lt;Bewertung_Stammdaten!B$51,Bewertung_Stammdaten!A$51,IF(AP11&lt;Bewertung_Stammdaten!B$52,Bewertung_Stammdaten!A$52,IF(AP11&lt;Bewertung_Stammdaten!B$53,Bewertung_Stammdaten!A$53,IF(AP11&lt;Bewertung_Stammdaten!B$54,Bewertung_Stammdaten!A$54,IF(AP11&lt;Bewertung_Stammdaten!B$55,Bewertung_Stammdaten!A$55,IF(AP11&lt;Bewertung_Stammdaten!B$56,Bewertung_Stammdaten!A$56,IF(AP11&lt;Bewertung_Stammdaten!B$57,Bewertung_Stammdaten!A$57,IF(AP11&lt;Bewertung_Stammdaten!B$58,Bewertung_Stammdaten!A$58,IF(AP11&lt;Bewertung_Stammdaten!B$59,Bewertung_Stammdaten!A$59,Bewertung_Stammdaten!A$60)))))))))</f>
        <v>20</v>
      </c>
      <c r="AU11" s="32">
        <f>IF(AQ11&lt;Bewertung_Stammdaten!F$51,Bewertung_Stammdaten!E$51,IF(AQ11&lt;Bewertung_Stammdaten!F$52,Bewertung_Stammdaten!E$52,IF(AQ11&lt;Bewertung_Stammdaten!F$53,Bewertung_Stammdaten!E$53,IF(AQ11&lt;Bewertung_Stammdaten!F$54,Bewertung_Stammdaten!E$54,IF(AQ11&lt;Bewertung_Stammdaten!F$55,Bewertung_Stammdaten!E$55,IF(AQ11&lt;Bewertung_Stammdaten!F$56,Bewertung_Stammdaten!E$56,IF(AQ11&lt;Bewertung_Stammdaten!F$57,Bewertung_Stammdaten!E$57,IF(AQ11&lt;Bewertung_Stammdaten!F$58,Bewertung_Stammdaten!E$58,IF(AQ11&lt;Bewertung_Stammdaten!F$59,Bewertung_Stammdaten!E$59,Bewertung_Stammdaten!E$60)))))))))</f>
        <v>10.5</v>
      </c>
      <c r="AV11" s="32">
        <f ca="1">IF(AS11&lt;Bewertung_Stammdaten!J$51,Bewertung_Stammdaten!I$51,IF(AS11&lt;Bewertung_Stammdaten!J$52,Bewertung_Stammdaten!I$52,IF(AS11&lt;Bewertung_Stammdaten!J$53,Bewertung_Stammdaten!I$53,IF(AS11&lt;Bewertung_Stammdaten!J$54,Bewertung_Stammdaten!I$54,IF(AS11&lt;Bewertung_Stammdaten!J$55,Bewertung_Stammdaten!I$55,IF(AS11&lt;Bewertung_Stammdaten!J$56,Bewertung_Stammdaten!I$56,IF(AS11&lt;Bewertung_Stammdaten!J$57,Bewertung_Stammdaten!I$57,IF(AS11&lt;Bewertung_Stammdaten!J$58,Bewertung_Stammdaten!I$58,IF(AS11&lt;Bewertung_Stammdaten!J$59,Bewertung_Stammdaten!I$59,Bewertung_Stammdaten!I$60)))))))))</f>
        <v>10</v>
      </c>
      <c r="AW11" s="43"/>
      <c r="AX11" s="12">
        <f ca="1">VLOOKUP(A11,Dividendenrendite!A$3:R$103,17,FALSE)</f>
        <v>1.9991727968329934E-2</v>
      </c>
      <c r="AY11" s="12">
        <f>VLOOKUP(A11,Dividendenrendite!A$3:R$103,16,FALSE)</f>
        <v>1.6174808814982729E-2</v>
      </c>
      <c r="AZ11" s="12">
        <f ca="1">VLOOKUP(A11,Dividendenrendite!A$3:R$103,18,FALSE)</f>
        <v>0.23597924383573488</v>
      </c>
      <c r="BA11" s="32">
        <f ca="1">IF(AX11&lt;Bewertung_Stammdaten!B$64,Bewertung_Stammdaten!A$64,IF(AX11&lt;Bewertung_Stammdaten!B$65,Bewertung_Stammdaten!A$65,IF(AX11&lt;Bewertung_Stammdaten!B$66,Bewertung_Stammdaten!A$66,IF(AX11&lt;Bewertung_Stammdaten!B$67,Bewertung_Stammdaten!A$67,IF(AX11&lt;Bewertung_Stammdaten!B$68,Bewertung_Stammdaten!A$68,IF(AX11&lt;Bewertung_Stammdaten!B$69,Bewertung_Stammdaten!A$69,IF(AX11&lt;Bewertung_Stammdaten!B$70,Bewertung_Stammdaten!A$70,IF(AX11&lt;Bewertung_Stammdaten!B$71,Bewertung_Stammdaten!A$71,IF(AX11&lt;Bewertung_Stammdaten!B$72,Bewertung_Stammdaten!A$72,Bewertung_Stammdaten!A$73)))))))))</f>
        <v>6</v>
      </c>
      <c r="BB11" s="32">
        <f>IF(AY11&lt;Bewertung_Stammdaten!F$64,Bewertung_Stammdaten!E$64,IF(AY11&lt;Bewertung_Stammdaten!F$65,Bewertung_Stammdaten!E$65,IF(AY11&lt;Bewertung_Stammdaten!F$66,Bewertung_Stammdaten!E$66,IF(AY11&lt;Bewertung_Stammdaten!F$67,Bewertung_Stammdaten!E$67,IF(AY11&lt;Bewertung_Stammdaten!F$68,Bewertung_Stammdaten!E$68,IF(AY11&lt;Bewertung_Stammdaten!F$69,Bewertung_Stammdaten!E$69,IF(AY11&lt;Bewertung_Stammdaten!F$70,Bewertung_Stammdaten!E$70,IF(AY11&lt;Bewertung_Stammdaten!F$71,Bewertung_Stammdaten!E$71,IF(AY11&lt;Bewertung_Stammdaten!F$72,Bewertung_Stammdaten!E$72,Bewertung_Stammdaten!E$73)))))))))</f>
        <v>4</v>
      </c>
      <c r="BC11" s="32">
        <f ca="1">IF(AZ11&lt;Bewertung_Stammdaten!J$64,Bewertung_Stammdaten!I$64,IF(AZ11&lt;Bewertung_Stammdaten!J$65,Bewertung_Stammdaten!I$65,IF(AZ11&lt;Bewertung_Stammdaten!J$66,Bewertung_Stammdaten!I$66,IF(AZ11&lt;Bewertung_Stammdaten!J$67,Bewertung_Stammdaten!I$67,IF(AZ11&lt;Bewertung_Stammdaten!J$68,Bewertung_Stammdaten!I$68,IF(AZ11&lt;Bewertung_Stammdaten!J$69,Bewertung_Stammdaten!I$69,IF(AZ11&lt;Bewertung_Stammdaten!J$70,Bewertung_Stammdaten!I$70,IF(AZ11&lt;Bewertung_Stammdaten!J$71,Bewertung_Stammdaten!I$71,IF(AZ11&lt;Bewertung_Stammdaten!J$72,Bewertung_Stammdaten!I$72,Bewertung_Stammdaten!I$73)))))))))</f>
        <v>5</v>
      </c>
      <c r="BD11" s="43"/>
      <c r="BE11" s="12">
        <f>VLOOKUP(A11,Aktien_im_Umlauf_splitbereinigt!A$3:AB$103,28,FALSE)</f>
        <v>-9.930547093944142E-3</v>
      </c>
      <c r="BF11" s="12">
        <f>VLOOKUP(A11,Aktien_im_Umlauf_splitbereinigt!A$3:AA$103,26,FALSE)</f>
        <v>-1.367614309288705E-2</v>
      </c>
      <c r="BG11" s="12">
        <f>VLOOKUP(A11,Aktien_im_Umlauf_splitbereinigt!A$3:AA$103,27,FALSE)</f>
        <v>-0.27387809366304372</v>
      </c>
      <c r="BH11" s="41">
        <f>IF(BE11&lt;Bewertung_Stammdaten!B$77,Bewertung_Stammdaten!A$77,IF(BE11&lt;Bewertung_Stammdaten!B$78,Bewertung_Stammdaten!A$78,IF(BE11&lt;Bewertung_Stammdaten!B$79,Bewertung_Stammdaten!A$79,IF(BE11&lt;Bewertung_Stammdaten!B$80,Bewertung_Stammdaten!A$80,IF(BE11&lt;Bewertung_Stammdaten!B$81,Bewertung_Stammdaten!A$81,IF(BE11&lt;Bewertung_Stammdaten!B$82,Bewertung_Stammdaten!A$82,IF(BE11&lt;Bewertung_Stammdaten!B$83,Bewertung_Stammdaten!A$83,IF(BE11&lt;Bewertung_Stammdaten!B$84,Bewertung_Stammdaten!A$84,IF(BE11&lt;Bewertung_Stammdaten!B$85,Bewertung_Stammdaten!A$85,Bewertung_Stammdaten!A$86)))))))))</f>
        <v>4</v>
      </c>
      <c r="BI11" s="41">
        <f>IF(BF11&lt;Bewertung_Stammdaten!F$77,Bewertung_Stammdaten!E$77,IF(BF11&lt;Bewertung_Stammdaten!F$78,Bewertung_Stammdaten!E$78,IF(BF11&lt;Bewertung_Stammdaten!F$79,Bewertung_Stammdaten!E$79,IF(BF11&lt;Bewertung_Stammdaten!F$80,Bewertung_Stammdaten!E$80,IF(BF11&lt;Bewertung_Stammdaten!F$81,Bewertung_Stammdaten!E$81,IF(BF11&lt;Bewertung_Stammdaten!F$82,Bewertung_Stammdaten!E$82,IF(BF11&lt;Bewertung_Stammdaten!F$83,Bewertung_Stammdaten!E$83,IF(BF11&lt;Bewertung_Stammdaten!F$84,Bewertung_Stammdaten!E$84,IF(BF11&lt;Bewertung_Stammdaten!F$85,Bewertung_Stammdaten!E$85,Bewertung_Stammdaten!E$86)))))))))</f>
        <v>5</v>
      </c>
      <c r="BJ11" s="41">
        <f>IF(BG11&lt;Bewertung_Stammdaten!J$77,Bewertung_Stammdaten!I$77,IF(BG11&lt;Bewertung_Stammdaten!J$78,Bewertung_Stammdaten!I$78,IF(BG11&lt;Bewertung_Stammdaten!J$79,Bewertung_Stammdaten!I$79,IF(BG11&lt;Bewertung_Stammdaten!J$80,Bewertung_Stammdaten!I$80,IF(BG11&lt;Bewertung_Stammdaten!J$81,Bewertung_Stammdaten!I$81,IF(BG11&lt;Bewertung_Stammdaten!J$82,Bewertung_Stammdaten!I$82,IF(BG11&lt;Bewertung_Stammdaten!J$83,Bewertung_Stammdaten!I$83,IF(BG11&lt;Bewertung_Stammdaten!J$84,Bewertung_Stammdaten!I$84,IF(BG11&lt;Bewertung_Stammdaten!J$85,Bewertung_Stammdaten!I$85,Bewertung_Stammdaten!I$86)))))))))</f>
        <v>2</v>
      </c>
      <c r="BK11" s="43"/>
      <c r="BL11" s="12">
        <f ca="1">VLOOKUP(A11,Ausschüttungsquote!A$3:AL$103,37,FALSE)</f>
        <v>0.39579199735449733</v>
      </c>
      <c r="BM11" s="12">
        <f>VLOOKUP(A11,Ausschüttungsquote!A$3:AL$103,19,FALSE)</f>
        <v>0.40168719626367494</v>
      </c>
      <c r="BN11" s="12">
        <f ca="1">VLOOKUP(A11,Ausschüttungsquote!A$3:AL$103,38,FALSE)</f>
        <v>0.27662397567970065</v>
      </c>
      <c r="BO11" s="32">
        <f ca="1">IF(BL11&lt;Bewertung_Stammdaten!B$90,Bewertung_Stammdaten!A$90,IF(BL11&lt;Bewertung_Stammdaten!B$91,Bewertung_Stammdaten!A$91,IF(BL11&lt;Bewertung_Stammdaten!B$92,Bewertung_Stammdaten!A$92,IF(BL11&lt;Bewertung_Stammdaten!B$93,Bewertung_Stammdaten!A$93,IF(BL11&lt;Bewertung_Stammdaten!B$94,Bewertung_Stammdaten!A$94,IF(BL11&lt;Bewertung_Stammdaten!B$95,Bewertung_Stammdaten!A$95,IF(BL11&lt;Bewertung_Stammdaten!B$96,Bewertung_Stammdaten!A$96,IF(BL11&lt;Bewertung_Stammdaten!B$97,Bewertung_Stammdaten!A$97,IF(BL11&lt;Bewertung_Stammdaten!B$98,Bewertung_Stammdaten!A$98,Bewertung_Stammdaten!A$99)))))))))</f>
        <v>10</v>
      </c>
      <c r="BP11" s="41">
        <f>IF(BM11&lt;Bewertung_Stammdaten!F$90,Bewertung_Stammdaten!E$90,IF(BM11&lt;Bewertung_Stammdaten!F$91,Bewertung_Stammdaten!E$91,IF(BM11&lt;Bewertung_Stammdaten!F$92,Bewertung_Stammdaten!E$92,IF(BM11&lt;Bewertung_Stammdaten!F$93,Bewertung_Stammdaten!E$93,IF(BM11&lt;Bewertung_Stammdaten!F$94,Bewertung_Stammdaten!E$94,IF(BM11&lt;Bewertung_Stammdaten!F$95,Bewertung_Stammdaten!E$95,IF(BM11&lt;Bewertung_Stammdaten!F$96,Bewertung_Stammdaten!E$96,IF(BM11&lt;Bewertung_Stammdaten!F$97,Bewertung_Stammdaten!E$97,IF(BM11&lt;Bewertung_Stammdaten!F$98,Bewertung_Stammdaten!E$98,Bewertung_Stammdaten!E$99)))))))))</f>
        <v>9</v>
      </c>
      <c r="BQ11" s="32">
        <f ca="1">IF(BN11&lt;Bewertung_Stammdaten!J$90,Bewertung_Stammdaten!I$90,IF(BN11&lt;Bewertung_Stammdaten!J$91,Bewertung_Stammdaten!I$91,IF(BN11&lt;Bewertung_Stammdaten!J$92,Bewertung_Stammdaten!I$92,IF(BN11&lt;Bewertung_Stammdaten!J$93,Bewertung_Stammdaten!I$93,IF(BN11&lt;Bewertung_Stammdaten!J$94,Bewertung_Stammdaten!I$94,IF(BN11&lt;Bewertung_Stammdaten!J$95,Bewertung_Stammdaten!I$95,IF(BN11&lt;Bewertung_Stammdaten!J$96,Bewertung_Stammdaten!I$96,IF(BN11&lt;Bewertung_Stammdaten!J$97,Bewertung_Stammdaten!I$97,IF(BN11&lt;Bewertung_Stammdaten!J$98,Bewertung_Stammdaten!I$98,Bewertung_Stammdaten!I$99)))))))))</f>
        <v>1</v>
      </c>
    </row>
    <row r="12" spans="1:69">
      <c r="A12" s="38" t="s">
        <v>72</v>
      </c>
      <c r="B12" s="38" t="s">
        <v>73</v>
      </c>
      <c r="C12" s="38" t="s">
        <v>283</v>
      </c>
      <c r="D12" s="32">
        <f t="shared" ca="1" si="0"/>
        <v>176</v>
      </c>
      <c r="E12" s="43"/>
      <c r="F12" s="60">
        <v>1</v>
      </c>
      <c r="G12" s="11">
        <f ca="1">VLOOKUP(A12,KGV!A$3:R$103,17,FALSE)</f>
        <v>16.060725241878394</v>
      </c>
      <c r="H12" s="11">
        <f>VLOOKUP(A12,KGV!A$3:R$103,16,FALSE)</f>
        <v>14.845029239766083</v>
      </c>
      <c r="I12" s="12">
        <f ca="1">VLOOKUP(A12,KGV!A$3:R$103,18,FALSE)</f>
        <v>8.1892462620132056E-2</v>
      </c>
      <c r="J12" s="16">
        <f t="shared" ca="1" si="1"/>
        <v>17.740278208349338</v>
      </c>
      <c r="K12" s="12">
        <f t="shared" ca="1" si="2"/>
        <v>0.19503154367844666</v>
      </c>
      <c r="L12" s="11">
        <f ca="1">VLOOKUP(A12,KBV!A$3:R$103,17,FALSE)</f>
        <v>2.5599297893681046</v>
      </c>
      <c r="M12" s="11">
        <f>VLOOKUP(A12,KBV!A$3:R$103,16,FALSE)</f>
        <v>2.9317343173431731</v>
      </c>
      <c r="N12" s="12">
        <f ca="1">VLOOKUP(A12,KBV!A$3:R$103,18,FALSE)</f>
        <v>-0.12682067599904789</v>
      </c>
      <c r="O12" s="16">
        <f t="shared" ca="1" si="3"/>
        <v>2.5711486051780841</v>
      </c>
      <c r="P12" s="12">
        <f t="shared" ca="1" si="4"/>
        <v>-0.12299399370262953</v>
      </c>
      <c r="Q12" s="32">
        <f ca="1">IF(F12=1,IF(I12&lt;Bewertung_Stammdaten!B$12,Bewertung_Stammdaten!A$12,IF(I12&lt;Bewertung_Stammdaten!B$13,Bewertung_Stammdaten!A$13,IF(I12&lt;Bewertung_Stammdaten!B$14,Bewertung_Stammdaten!A$14,IF(I12&lt;Bewertung_Stammdaten!B$15,Bewertung_Stammdaten!A$15,IF(I12&lt;Bewertung_Stammdaten!B$16,Bewertung_Stammdaten!A$16,IF(I12&lt;Bewertung_Stammdaten!B$17,Bewertung_Stammdaten!A$17,IF(I12&lt;Bewertung_Stammdaten!B$18,Bewertung_Stammdaten!A$18,IF(I12&lt;Bewertung_Stammdaten!B$19,Bewertung_Stammdaten!A$19,IF(I12&lt;Bewertung_Stammdaten!B$20,Bewertung_Stammdaten!A$20,Bewertung_Stammdaten!A$21))))))))),IF(N12&lt;Bewertung_Stammdaten!C$12,Bewertung_Stammdaten!A$12,IF(N12&lt;Bewertung_Stammdaten!C$13,Bewertung_Stammdaten!A$13,IF(N12&lt;Bewertung_Stammdaten!C$14,Bewertung_Stammdaten!A$14,IF(N12&lt;Bewertung_Stammdaten!C$15,Bewertung_Stammdaten!A$15,IF(N12&lt;Bewertung_Stammdaten!C$16,Bewertung_Stammdaten!A$16,IF(N12&lt;Bewertung_Stammdaten!C$17,Bewertung_Stammdaten!A$17,IF(N12&lt;Bewertung_Stammdaten!C$18,Bewertung_Stammdaten!A$18,IF(N12&lt;Bewertung_Stammdaten!C$19,Bewertung_Stammdaten!A$19,IF(N12&lt;Bewertung_Stammdaten!C$20,Bewertung_Stammdaten!A$20,Bewertung_Stammdaten!A$21))))))))))</f>
        <v>30</v>
      </c>
      <c r="R12" s="32">
        <f ca="1">IF(F12=1,IF(K12&lt;Bewertung_Stammdaten!F$12,Bewertung_Stammdaten!E$12,IF(K12&lt;Bewertung_Stammdaten!F$13,Bewertung_Stammdaten!E$13,IF(K12&lt;Bewertung_Stammdaten!F$14,Bewertung_Stammdaten!E$14,IF(K12&lt;Bewertung_Stammdaten!F$15,Bewertung_Stammdaten!E$15,IF(K12&lt;Bewertung_Stammdaten!F$16,Bewertung_Stammdaten!E$16,IF(K12&lt;Bewertung_Stammdaten!F$17,Bewertung_Stammdaten!E$17,IF(K12&lt;Bewertung_Stammdaten!F$18,Bewertung_Stammdaten!E$18,IF(K12&lt;Bewertung_Stammdaten!F$19,Bewertung_Stammdaten!E$19,IF(K12&lt;Bewertung_Stammdaten!F$20,Bewertung_Stammdaten!E$20,Bewertung_Stammdaten!E$21))))))))),IF(P12&lt;Bewertung_Stammdaten!G$12,Bewertung_Stammdaten!E$12,IF(P12&lt;Bewertung_Stammdaten!G$13,Bewertung_Stammdaten!E$13,IF(P12&lt;Bewertung_Stammdaten!G$14,Bewertung_Stammdaten!E$14,IF(P12&lt;Bewertung_Stammdaten!G$15,Bewertung_Stammdaten!E$15,IF(P12&lt;Bewertung_Stammdaten!G$16,Bewertung_Stammdaten!E$16,IF(P12&lt;Bewertung_Stammdaten!G$17,Bewertung_Stammdaten!E$17,IF(P12&lt;Bewertung_Stammdaten!G$18,Bewertung_Stammdaten!E$18,IF(P12&lt;Bewertung_Stammdaten!G$19,Bewertung_Stammdaten!E$19,IF(P12&lt;Bewertung_Stammdaten!G$20,Bewertung_Stammdaten!E$20,Bewertung_Stammdaten!E$21))))))))))</f>
        <v>15</v>
      </c>
      <c r="S12" s="43"/>
      <c r="T12" s="11">
        <f ca="1">VLOOKUP(A12,Buchwert_je_Aktie!A$3:AK$103,23,FALSE)</f>
        <v>26.586666666666666</v>
      </c>
      <c r="U12" s="11">
        <f>VLOOKUP(A12,Buchwert_je_Aktie!A$3:AK$103,19,FALSE)</f>
        <v>20.775384615384613</v>
      </c>
      <c r="V12" s="12">
        <f ca="1">VLOOKUP(A12,Buchwert_je_Aktie!A$3:AK$103,24,FALSE)</f>
        <v>0.27971958925750395</v>
      </c>
      <c r="W12" s="12">
        <f>VLOOKUP(A12,Buchwert_je_Aktie!A$3:AK$103,37,FALSE)</f>
        <v>-4.363347877826218E-3</v>
      </c>
      <c r="X12" s="16">
        <f t="shared" ca="1" si="5"/>
        <v>26.470659791088192</v>
      </c>
      <c r="Y12" s="12">
        <f t="shared" ca="1" si="6"/>
        <v>0.27413572750350457</v>
      </c>
      <c r="Z12" s="51">
        <f ca="1">IF(V12&lt;Bewertung_Stammdaten!B$25,Bewertung_Stammdaten!A$25,IF(V12&lt;Bewertung_Stammdaten!B$26,Bewertung_Stammdaten!A$26,IF(V12&lt;Bewertung_Stammdaten!B$27,Bewertung_Stammdaten!A$27,IF(V12&lt;Bewertung_Stammdaten!B$28,Bewertung_Stammdaten!A$28,IF(V12&lt;Bewertung_Stammdaten!B$29,Bewertung_Stammdaten!A$29,IF(V12&lt;Bewertung_Stammdaten!B$30,Bewertung_Stammdaten!A$30,IF(V12&lt;Bewertung_Stammdaten!B$31,Bewertung_Stammdaten!A$31,IF(V12&lt;Bewertung_Stammdaten!B$32,Bewertung_Stammdaten!A$32,IF(V12&lt;Bewertung_Stammdaten!B$33,Bewertung_Stammdaten!A$33,Bewertung_Stammdaten!A$34)))))))))</f>
        <v>7.5</v>
      </c>
      <c r="AA12" s="51">
        <f>IF(W12&lt;Bewertung_Stammdaten!F$25,Bewertung_Stammdaten!E$25,IF(W12&lt;Bewertung_Stammdaten!F$26,Bewertung_Stammdaten!E$26,IF(W12&lt;Bewertung_Stammdaten!F$27,Bewertung_Stammdaten!E$27,IF(W12&lt;Bewertung_Stammdaten!F$28,Bewertung_Stammdaten!E$28,IF(W12&lt;Bewertung_Stammdaten!F$29,Bewertung_Stammdaten!E$29,IF(W12&lt;Bewertung_Stammdaten!F$30,Bewertung_Stammdaten!E$30,IF(W12&lt;Bewertung_Stammdaten!F$31,Bewertung_Stammdaten!E$31,IF(W12&lt;Bewertung_Stammdaten!F$32,Bewertung_Stammdaten!E$32,IF(W12&lt;Bewertung_Stammdaten!F$33,Bewertung_Stammdaten!E$33,Bewertung_Stammdaten!E$34)))))))))</f>
        <v>10.5</v>
      </c>
      <c r="AB12" s="51">
        <f ca="1">IF(Y12&lt;Bewertung_Stammdaten!J$25,Bewertung_Stammdaten!I$25,IF(Y12&lt;Bewertung_Stammdaten!J$26,Bewertung_Stammdaten!I$26,IF(Y12&lt;Bewertung_Stammdaten!J$27,Bewertung_Stammdaten!I$27,IF(Y12&lt;Bewertung_Stammdaten!J$28,Bewertung_Stammdaten!I$28,IF(Y12&lt;Bewertung_Stammdaten!J$29,Bewertung_Stammdaten!I$29,IF(Y12&lt;Bewertung_Stammdaten!J$30,Bewertung_Stammdaten!I$30,IF(Y12&lt;Bewertung_Stammdaten!J$31,Bewertung_Stammdaten!I$31,IF(Y12&lt;Bewertung_Stammdaten!J$32,Bewertung_Stammdaten!I$32,IF(Y12&lt;Bewertung_Stammdaten!J$33,Bewertung_Stammdaten!I$33,Bewertung_Stammdaten!I$34)))))))))</f>
        <v>5</v>
      </c>
      <c r="AC12" s="43"/>
      <c r="AD12" s="14">
        <f ca="1">VLOOKUP(A12,Ergebnis_je_Aktie_verwässert!A$3:AK$103,23,FALSE)</f>
        <v>4.2376666666666667</v>
      </c>
      <c r="AE12" s="14">
        <f>VLOOKUP(A12,Ergebnis_je_Aktie_verwässert!A$3:AK$103,19,FALSE)</f>
        <v>4.042307692307693</v>
      </c>
      <c r="AF12" s="12">
        <f ca="1">VLOOKUP(A12,Ergebnis_je_Aktie_verwässert!A$3:AK$103,24,FALSE)</f>
        <v>4.8328575959403652E-2</v>
      </c>
      <c r="AG12" s="40">
        <f>VLOOKUP(A12,Ergebnis_je_Aktie_verwässert!A$3:AK$103,37,FALSE)</f>
        <v>-9.4674556213017791E-2</v>
      </c>
      <c r="AH12" s="16">
        <f t="shared" ca="1" si="7"/>
        <v>3.8364674556213014</v>
      </c>
      <c r="AI12" s="12">
        <f t="shared" ca="1" si="8"/>
        <v>-5.0921466734977883E-2</v>
      </c>
      <c r="AJ12" s="32">
        <f ca="1">IF(AF12&lt;Bewertung_Stammdaten!B$38,Bewertung_Stammdaten!A$38,IF(AF12&lt;Bewertung_Stammdaten!B$39,Bewertung_Stammdaten!A$39,IF(AF12&lt;Bewertung_Stammdaten!B$40,Bewertung_Stammdaten!A$40,IF(AF12&lt;Bewertung_Stammdaten!B$41,Bewertung_Stammdaten!A$41,IF(AF12&lt;Bewertung_Stammdaten!B$42,Bewertung_Stammdaten!A$42,IF(AF12&lt;Bewertung_Stammdaten!B$43,Bewertung_Stammdaten!A$43,IF(AF12&lt;Bewertung_Stammdaten!B$44,Bewertung_Stammdaten!A$44,IF(AF12&lt;Bewertung_Stammdaten!B$45,Bewertung_Stammdaten!A$45,IF(AF12&lt;Bewertung_Stammdaten!B$46,Bewertung_Stammdaten!A$46,Bewertung_Stammdaten!A$47)))))))))</f>
        <v>8</v>
      </c>
      <c r="AK12" s="32">
        <f>IF(AG12&lt;Bewertung_Stammdaten!F$38,Bewertung_Stammdaten!E$38,IF(AG12&lt;Bewertung_Stammdaten!F$39,Bewertung_Stammdaten!E$39,IF(AG12&lt;Bewertung_Stammdaten!F$40,Bewertung_Stammdaten!E$40,IF(AG12&lt;Bewertung_Stammdaten!F$41,Bewertung_Stammdaten!E$41,IF(AG12&lt;Bewertung_Stammdaten!F$42,Bewertung_Stammdaten!E$42,IF(AG12&lt;Bewertung_Stammdaten!F$43,Bewertung_Stammdaten!E$43,IF(AG12&lt;Bewertung_Stammdaten!F$44,Bewertung_Stammdaten!E$44,IF(AG12&lt;Bewertung_Stammdaten!F$45,Bewertung_Stammdaten!E$45,IF(AG12&lt;Bewertung_Stammdaten!F$46,Bewertung_Stammdaten!E$46,Bewertung_Stammdaten!E$47)))))))))</f>
        <v>10.5</v>
      </c>
      <c r="AL12" s="32">
        <f ca="1">IF(AI12&lt;Bewertung_Stammdaten!J$38,Bewertung_Stammdaten!I$38,IF(AI12&lt;Bewertung_Stammdaten!J$39,Bewertung_Stammdaten!I$39,IF(AI12&lt;Bewertung_Stammdaten!J$40,Bewertung_Stammdaten!I$40,IF(AI12&lt;Bewertung_Stammdaten!J$41,Bewertung_Stammdaten!I$41,IF(AI12&lt;Bewertung_Stammdaten!J$42,Bewertung_Stammdaten!I$42,IF(AI12&lt;Bewertung_Stammdaten!J$43,Bewertung_Stammdaten!I$43,IF(AI12&lt;Bewertung_Stammdaten!J$44,Bewertung_Stammdaten!I$44,IF(AI12&lt;Bewertung_Stammdaten!J$45,Bewertung_Stammdaten!I$45,IF(AI12&lt;Bewertung_Stammdaten!J$46,Bewertung_Stammdaten!I$46,Bewertung_Stammdaten!I$47)))))))))</f>
        <v>3</v>
      </c>
      <c r="AM12" s="43"/>
      <c r="AN12" s="14">
        <f ca="1">VLOOKUP(A12,Dividende_je_Aktie!A$3:AM$103,24,FALSE)</f>
        <v>2.0151666666666666</v>
      </c>
      <c r="AO12" s="14">
        <f>VLOOKUP(A12,Dividende_je_Aktie!A$3:AM$103,20,FALSE)</f>
        <v>1.342857142857143</v>
      </c>
      <c r="AP12" s="12">
        <f ca="1">VLOOKUP(A12,Dividende_je_Aktie!A$3:AM$103,25,FALSE)</f>
        <v>0.50065602836879419</v>
      </c>
      <c r="AQ12" s="40">
        <f>VLOOKUP(A12,Dividende_je_Aktie!A$3:AM$103,39,FALSE)</f>
        <v>2.0408163265306145E-2</v>
      </c>
      <c r="AR12" s="16">
        <f t="shared" ca="1" si="9"/>
        <v>2.0151666666666666</v>
      </c>
      <c r="AS12" s="12">
        <f t="shared" ca="1" si="10"/>
        <v>0.50065602836879419</v>
      </c>
      <c r="AT12" s="32">
        <f ca="1">IF(AP12&lt;Bewertung_Stammdaten!B$51,Bewertung_Stammdaten!A$51,IF(AP12&lt;Bewertung_Stammdaten!B$52,Bewertung_Stammdaten!A$52,IF(AP12&lt;Bewertung_Stammdaten!B$53,Bewertung_Stammdaten!A$53,IF(AP12&lt;Bewertung_Stammdaten!B$54,Bewertung_Stammdaten!A$54,IF(AP12&lt;Bewertung_Stammdaten!B$55,Bewertung_Stammdaten!A$55,IF(AP12&lt;Bewertung_Stammdaten!B$56,Bewertung_Stammdaten!A$56,IF(AP12&lt;Bewertung_Stammdaten!B$57,Bewertung_Stammdaten!A$57,IF(AP12&lt;Bewertung_Stammdaten!B$58,Bewertung_Stammdaten!A$58,IF(AP12&lt;Bewertung_Stammdaten!B$59,Bewertung_Stammdaten!A$59,Bewertung_Stammdaten!A$60)))))))))</f>
        <v>16</v>
      </c>
      <c r="AU12" s="32">
        <f>IF(AQ12&lt;Bewertung_Stammdaten!F$51,Bewertung_Stammdaten!E$51,IF(AQ12&lt;Bewertung_Stammdaten!F$52,Bewertung_Stammdaten!E$52,IF(AQ12&lt;Bewertung_Stammdaten!F$53,Bewertung_Stammdaten!E$53,IF(AQ12&lt;Bewertung_Stammdaten!F$54,Bewertung_Stammdaten!E$54,IF(AQ12&lt;Bewertung_Stammdaten!F$55,Bewertung_Stammdaten!E$55,IF(AQ12&lt;Bewertung_Stammdaten!F$56,Bewertung_Stammdaten!E$56,IF(AQ12&lt;Bewertung_Stammdaten!F$57,Bewertung_Stammdaten!E$57,IF(AQ12&lt;Bewertung_Stammdaten!F$58,Bewertung_Stammdaten!E$58,IF(AQ12&lt;Bewertung_Stammdaten!F$59,Bewertung_Stammdaten!E$59,Bewertung_Stammdaten!E$60)))))))))</f>
        <v>12</v>
      </c>
      <c r="AV12" s="32">
        <f ca="1">IF(AS12&lt;Bewertung_Stammdaten!J$51,Bewertung_Stammdaten!I$51,IF(AS12&lt;Bewertung_Stammdaten!J$52,Bewertung_Stammdaten!I$52,IF(AS12&lt;Bewertung_Stammdaten!J$53,Bewertung_Stammdaten!I$53,IF(AS12&lt;Bewertung_Stammdaten!J$54,Bewertung_Stammdaten!I$54,IF(AS12&lt;Bewertung_Stammdaten!J$55,Bewertung_Stammdaten!I$55,IF(AS12&lt;Bewertung_Stammdaten!J$56,Bewertung_Stammdaten!I$56,IF(AS12&lt;Bewertung_Stammdaten!J$57,Bewertung_Stammdaten!I$57,IF(AS12&lt;Bewertung_Stammdaten!J$58,Bewertung_Stammdaten!I$58,IF(AS12&lt;Bewertung_Stammdaten!J$59,Bewertung_Stammdaten!I$59,Bewertung_Stammdaten!I$60)))))))))</f>
        <v>9</v>
      </c>
      <c r="AW12" s="43"/>
      <c r="AX12" s="12">
        <f ca="1">VLOOKUP(A12,Dividendenrendite!A$3:R$103,17,FALSE)</f>
        <v>2.9608678616906647E-2</v>
      </c>
      <c r="AY12" s="12">
        <f>VLOOKUP(A12,Dividendenrendite!A$3:R$103,16,FALSE)</f>
        <v>2.0744607129629975E-2</v>
      </c>
      <c r="AZ12" s="12">
        <f ca="1">VLOOKUP(A12,Dividendenrendite!A$3:R$103,18,FALSE)</f>
        <v>0.42729522096448491</v>
      </c>
      <c r="BA12" s="32">
        <f ca="1">IF(AX12&lt;Bewertung_Stammdaten!B$64,Bewertung_Stammdaten!A$64,IF(AX12&lt;Bewertung_Stammdaten!B$65,Bewertung_Stammdaten!A$65,IF(AX12&lt;Bewertung_Stammdaten!B$66,Bewertung_Stammdaten!A$66,IF(AX12&lt;Bewertung_Stammdaten!B$67,Bewertung_Stammdaten!A$67,IF(AX12&lt;Bewertung_Stammdaten!B$68,Bewertung_Stammdaten!A$68,IF(AX12&lt;Bewertung_Stammdaten!B$69,Bewertung_Stammdaten!A$69,IF(AX12&lt;Bewertung_Stammdaten!B$70,Bewertung_Stammdaten!A$70,IF(AX12&lt;Bewertung_Stammdaten!B$71,Bewertung_Stammdaten!A$71,IF(AX12&lt;Bewertung_Stammdaten!B$72,Bewertung_Stammdaten!A$72,Bewertung_Stammdaten!A$73)))))))))</f>
        <v>9</v>
      </c>
      <c r="BB12" s="32">
        <f>IF(AY12&lt;Bewertung_Stammdaten!F$64,Bewertung_Stammdaten!E$64,IF(AY12&lt;Bewertung_Stammdaten!F$65,Bewertung_Stammdaten!E$65,IF(AY12&lt;Bewertung_Stammdaten!F$66,Bewertung_Stammdaten!E$66,IF(AY12&lt;Bewertung_Stammdaten!F$67,Bewertung_Stammdaten!E$67,IF(AY12&lt;Bewertung_Stammdaten!F$68,Bewertung_Stammdaten!E$68,IF(AY12&lt;Bewertung_Stammdaten!F$69,Bewertung_Stammdaten!E$69,IF(AY12&lt;Bewertung_Stammdaten!F$70,Bewertung_Stammdaten!E$70,IF(AY12&lt;Bewertung_Stammdaten!F$71,Bewertung_Stammdaten!E$71,IF(AY12&lt;Bewertung_Stammdaten!F$72,Bewertung_Stammdaten!E$72,Bewertung_Stammdaten!E$73)))))))))</f>
        <v>5</v>
      </c>
      <c r="BC12" s="32">
        <f ca="1">IF(AZ12&lt;Bewertung_Stammdaten!J$64,Bewertung_Stammdaten!I$64,IF(AZ12&lt;Bewertung_Stammdaten!J$65,Bewertung_Stammdaten!I$65,IF(AZ12&lt;Bewertung_Stammdaten!J$66,Bewertung_Stammdaten!I$66,IF(AZ12&lt;Bewertung_Stammdaten!J$67,Bewertung_Stammdaten!I$67,IF(AZ12&lt;Bewertung_Stammdaten!J$68,Bewertung_Stammdaten!I$68,IF(AZ12&lt;Bewertung_Stammdaten!J$69,Bewertung_Stammdaten!I$69,IF(AZ12&lt;Bewertung_Stammdaten!J$70,Bewertung_Stammdaten!I$70,IF(AZ12&lt;Bewertung_Stammdaten!J$71,Bewertung_Stammdaten!I$71,IF(AZ12&lt;Bewertung_Stammdaten!J$72,Bewertung_Stammdaten!I$72,Bewertung_Stammdaten!I$73)))))))))</f>
        <v>5</v>
      </c>
      <c r="BD12" s="43"/>
      <c r="BE12" s="12">
        <f>VLOOKUP(A12,Aktien_im_Umlauf_splitbereinigt!A$3:AB$103,28,FALSE)</f>
        <v>-2.0446096654275103E-2</v>
      </c>
      <c r="BF12" s="12">
        <f>VLOOKUP(A12,Aktien_im_Umlauf_splitbereinigt!A$3:AA$103,26,FALSE)</f>
        <v>-2.6041895327735508E-2</v>
      </c>
      <c r="BG12" s="12">
        <f>VLOOKUP(A12,Aktien_im_Umlauf_splitbereinigt!A$3:AA$103,27,FALSE)</f>
        <v>-0.21487678231701857</v>
      </c>
      <c r="BH12" s="41">
        <f>IF(BE12&lt;Bewertung_Stammdaten!B$77,Bewertung_Stammdaten!A$77,IF(BE12&lt;Bewertung_Stammdaten!B$78,Bewertung_Stammdaten!A$78,IF(BE12&lt;Bewertung_Stammdaten!B$79,Bewertung_Stammdaten!A$79,IF(BE12&lt;Bewertung_Stammdaten!B$80,Bewertung_Stammdaten!A$80,IF(BE12&lt;Bewertung_Stammdaten!B$81,Bewertung_Stammdaten!A$81,IF(BE12&lt;Bewertung_Stammdaten!B$82,Bewertung_Stammdaten!A$82,IF(BE12&lt;Bewertung_Stammdaten!B$83,Bewertung_Stammdaten!A$83,IF(BE12&lt;Bewertung_Stammdaten!B$84,Bewertung_Stammdaten!A$84,IF(BE12&lt;Bewertung_Stammdaten!B$85,Bewertung_Stammdaten!A$85,Bewertung_Stammdaten!A$86)))))))))</f>
        <v>7</v>
      </c>
      <c r="BI12" s="41">
        <f>IF(BF12&lt;Bewertung_Stammdaten!F$77,Bewertung_Stammdaten!E$77,IF(BF12&lt;Bewertung_Stammdaten!F$78,Bewertung_Stammdaten!E$78,IF(BF12&lt;Bewertung_Stammdaten!F$79,Bewertung_Stammdaten!E$79,IF(BF12&lt;Bewertung_Stammdaten!F$80,Bewertung_Stammdaten!E$80,IF(BF12&lt;Bewertung_Stammdaten!F$81,Bewertung_Stammdaten!E$81,IF(BF12&lt;Bewertung_Stammdaten!F$82,Bewertung_Stammdaten!E$82,IF(BF12&lt;Bewertung_Stammdaten!F$83,Bewertung_Stammdaten!E$83,IF(BF12&lt;Bewertung_Stammdaten!F$84,Bewertung_Stammdaten!E$84,IF(BF12&lt;Bewertung_Stammdaten!F$85,Bewertung_Stammdaten!E$85,Bewertung_Stammdaten!E$86)))))))))</f>
        <v>8</v>
      </c>
      <c r="BJ12" s="41">
        <f>IF(BG12&lt;Bewertung_Stammdaten!J$77,Bewertung_Stammdaten!I$77,IF(BG12&lt;Bewertung_Stammdaten!J$78,Bewertung_Stammdaten!I$78,IF(BG12&lt;Bewertung_Stammdaten!J$79,Bewertung_Stammdaten!I$79,IF(BG12&lt;Bewertung_Stammdaten!J$80,Bewertung_Stammdaten!I$80,IF(BG12&lt;Bewertung_Stammdaten!J$81,Bewertung_Stammdaten!I$81,IF(BG12&lt;Bewertung_Stammdaten!J$82,Bewertung_Stammdaten!I$82,IF(BG12&lt;Bewertung_Stammdaten!J$83,Bewertung_Stammdaten!I$83,IF(BG12&lt;Bewertung_Stammdaten!J$84,Bewertung_Stammdaten!I$84,IF(BG12&lt;Bewertung_Stammdaten!J$85,Bewertung_Stammdaten!I$85,Bewertung_Stammdaten!I$86)))))))))</f>
        <v>2.5</v>
      </c>
      <c r="BK12" s="43"/>
      <c r="BL12" s="12">
        <f ca="1">VLOOKUP(A12,Ausschüttungsquote!A$3:AL$103,37,FALSE)</f>
        <v>0.47560680596821059</v>
      </c>
      <c r="BM12" s="12">
        <f>VLOOKUP(A12,Ausschüttungsquote!A$3:AL$103,19,FALSE)</f>
        <v>0.6731188330720197</v>
      </c>
      <c r="BN12" s="12">
        <f ca="1">VLOOKUP(A12,Ausschüttungsquote!A$3:AL$103,38,FALSE)</f>
        <v>0.40924168346477097</v>
      </c>
      <c r="BO12" s="32">
        <f ca="1">IF(BL12&lt;Bewertung_Stammdaten!B$90,Bewertung_Stammdaten!A$90,IF(BL12&lt;Bewertung_Stammdaten!B$91,Bewertung_Stammdaten!A$91,IF(BL12&lt;Bewertung_Stammdaten!B$92,Bewertung_Stammdaten!A$92,IF(BL12&lt;Bewertung_Stammdaten!B$93,Bewertung_Stammdaten!A$93,IF(BL12&lt;Bewertung_Stammdaten!B$94,Bewertung_Stammdaten!A$94,IF(BL12&lt;Bewertung_Stammdaten!B$95,Bewertung_Stammdaten!A$95,IF(BL12&lt;Bewertung_Stammdaten!B$96,Bewertung_Stammdaten!A$96,IF(BL12&lt;Bewertung_Stammdaten!B$97,Bewertung_Stammdaten!A$97,IF(BL12&lt;Bewertung_Stammdaten!B$98,Bewertung_Stammdaten!A$98,Bewertung_Stammdaten!A$99)))))))))</f>
        <v>8</v>
      </c>
      <c r="BP12" s="41">
        <f>IF(BM12&lt;Bewertung_Stammdaten!F$90,Bewertung_Stammdaten!E$90,IF(BM12&lt;Bewertung_Stammdaten!F$91,Bewertung_Stammdaten!E$91,IF(BM12&lt;Bewertung_Stammdaten!F$92,Bewertung_Stammdaten!E$92,IF(BM12&lt;Bewertung_Stammdaten!F$93,Bewertung_Stammdaten!E$93,IF(BM12&lt;Bewertung_Stammdaten!F$94,Bewertung_Stammdaten!E$94,IF(BM12&lt;Bewertung_Stammdaten!F$95,Bewertung_Stammdaten!E$95,IF(BM12&lt;Bewertung_Stammdaten!F$96,Bewertung_Stammdaten!E$96,IF(BM12&lt;Bewertung_Stammdaten!F$97,Bewertung_Stammdaten!E$97,IF(BM12&lt;Bewertung_Stammdaten!F$98,Bewertung_Stammdaten!E$98,Bewertung_Stammdaten!E$99)))))))))</f>
        <v>4</v>
      </c>
      <c r="BQ12" s="32">
        <f ca="1">IF(BN12&lt;Bewertung_Stammdaten!J$90,Bewertung_Stammdaten!I$90,IF(BN12&lt;Bewertung_Stammdaten!J$91,Bewertung_Stammdaten!I$91,IF(BN12&lt;Bewertung_Stammdaten!J$92,Bewertung_Stammdaten!I$92,IF(BN12&lt;Bewertung_Stammdaten!J$93,Bewertung_Stammdaten!I$93,IF(BN12&lt;Bewertung_Stammdaten!J$94,Bewertung_Stammdaten!I$94,IF(BN12&lt;Bewertung_Stammdaten!J$95,Bewertung_Stammdaten!I$95,IF(BN12&lt;Bewertung_Stammdaten!J$96,Bewertung_Stammdaten!I$96,IF(BN12&lt;Bewertung_Stammdaten!J$97,Bewertung_Stammdaten!I$97,IF(BN12&lt;Bewertung_Stammdaten!J$98,Bewertung_Stammdaten!I$98,Bewertung_Stammdaten!I$99)))))))))</f>
        <v>1</v>
      </c>
    </row>
    <row r="13" spans="1:69">
      <c r="A13" s="55" t="s">
        <v>318</v>
      </c>
      <c r="B13" s="55" t="s">
        <v>319</v>
      </c>
      <c r="C13" s="55" t="s">
        <v>283</v>
      </c>
      <c r="D13" s="32">
        <f t="shared" ca="1" si="0"/>
        <v>173.5</v>
      </c>
      <c r="E13" s="43"/>
      <c r="F13" s="60">
        <v>1</v>
      </c>
      <c r="G13" s="11">
        <f ca="1">VLOOKUP(A13,KGV!A$3:R$103,17,FALSE)</f>
        <v>26.018156903048993</v>
      </c>
      <c r="H13" s="11">
        <f>VLOOKUP(A13,KGV!A$3:R$103,16,FALSE)</f>
        <v>23.233800350262698</v>
      </c>
      <c r="I13" s="12">
        <f ca="1">VLOOKUP(A13,KGV!A$3:R$103,18,FALSE)</f>
        <v>0.11984077123890824</v>
      </c>
      <c r="J13" s="16">
        <f t="shared" ca="1" si="1"/>
        <v>26.018156903048993</v>
      </c>
      <c r="K13" s="12">
        <f t="shared" ca="1" si="2"/>
        <v>0.11984077123890824</v>
      </c>
      <c r="L13" s="11">
        <f ca="1">VLOOKUP(A13,KBV!A$3:R$103,17,FALSE)</f>
        <v>3.3754222222222223</v>
      </c>
      <c r="M13" s="11">
        <f>VLOOKUP(A13,KBV!A$3:R$103,16,FALSE)</f>
        <v>3.3190657130084933</v>
      </c>
      <c r="N13" s="12">
        <f ca="1">VLOOKUP(A13,KBV!A$3:R$103,18,FALSE)</f>
        <v>1.6979630440231874E-2</v>
      </c>
      <c r="O13" s="16">
        <f t="shared" ca="1" si="3"/>
        <v>3.3754222222222223</v>
      </c>
      <c r="P13" s="12">
        <f t="shared" ca="1" si="4"/>
        <v>1.6979630440231874E-2</v>
      </c>
      <c r="Q13" s="32">
        <f ca="1">IF(F13=1,IF(I13&lt;Bewertung_Stammdaten!B$12,Bewertung_Stammdaten!A$12,IF(I13&lt;Bewertung_Stammdaten!B$13,Bewertung_Stammdaten!A$13,IF(I13&lt;Bewertung_Stammdaten!B$14,Bewertung_Stammdaten!A$14,IF(I13&lt;Bewertung_Stammdaten!B$15,Bewertung_Stammdaten!A$15,IF(I13&lt;Bewertung_Stammdaten!B$16,Bewertung_Stammdaten!A$16,IF(I13&lt;Bewertung_Stammdaten!B$17,Bewertung_Stammdaten!A$17,IF(I13&lt;Bewertung_Stammdaten!B$18,Bewertung_Stammdaten!A$18,IF(I13&lt;Bewertung_Stammdaten!B$19,Bewertung_Stammdaten!A$19,IF(I13&lt;Bewertung_Stammdaten!B$20,Bewertung_Stammdaten!A$20,Bewertung_Stammdaten!A$21))))))))),IF(N13&lt;Bewertung_Stammdaten!C$12,Bewertung_Stammdaten!A$12,IF(N13&lt;Bewertung_Stammdaten!C$13,Bewertung_Stammdaten!A$13,IF(N13&lt;Bewertung_Stammdaten!C$14,Bewertung_Stammdaten!A$14,IF(N13&lt;Bewertung_Stammdaten!C$15,Bewertung_Stammdaten!A$15,IF(N13&lt;Bewertung_Stammdaten!C$16,Bewertung_Stammdaten!A$16,IF(N13&lt;Bewertung_Stammdaten!C$17,Bewertung_Stammdaten!A$17,IF(N13&lt;Bewertung_Stammdaten!C$18,Bewertung_Stammdaten!A$18,IF(N13&lt;Bewertung_Stammdaten!C$19,Bewertung_Stammdaten!A$19,IF(N13&lt;Bewertung_Stammdaten!C$20,Bewertung_Stammdaten!A$20,Bewertung_Stammdaten!A$21))))))))))</f>
        <v>24</v>
      </c>
      <c r="R13" s="32">
        <f ca="1">IF(F13=1,IF(K13&lt;Bewertung_Stammdaten!F$12,Bewertung_Stammdaten!E$12,IF(K13&lt;Bewertung_Stammdaten!F$13,Bewertung_Stammdaten!E$13,IF(K13&lt;Bewertung_Stammdaten!F$14,Bewertung_Stammdaten!E$14,IF(K13&lt;Bewertung_Stammdaten!F$15,Bewertung_Stammdaten!E$15,IF(K13&lt;Bewertung_Stammdaten!F$16,Bewertung_Stammdaten!E$16,IF(K13&lt;Bewertung_Stammdaten!F$17,Bewertung_Stammdaten!E$17,IF(K13&lt;Bewertung_Stammdaten!F$18,Bewertung_Stammdaten!E$18,IF(K13&lt;Bewertung_Stammdaten!F$19,Bewertung_Stammdaten!E$19,IF(K13&lt;Bewertung_Stammdaten!F$20,Bewertung_Stammdaten!E$20,Bewertung_Stammdaten!E$21))))))))),IF(P13&lt;Bewertung_Stammdaten!G$12,Bewertung_Stammdaten!E$12,IF(P13&lt;Bewertung_Stammdaten!G$13,Bewertung_Stammdaten!E$13,IF(P13&lt;Bewertung_Stammdaten!G$14,Bewertung_Stammdaten!E$14,IF(P13&lt;Bewertung_Stammdaten!G$15,Bewertung_Stammdaten!E$15,IF(P13&lt;Bewertung_Stammdaten!G$16,Bewertung_Stammdaten!E$16,IF(P13&lt;Bewertung_Stammdaten!G$17,Bewertung_Stammdaten!E$17,IF(P13&lt;Bewertung_Stammdaten!G$18,Bewertung_Stammdaten!E$18,IF(P13&lt;Bewertung_Stammdaten!G$19,Bewertung_Stammdaten!E$19,IF(P13&lt;Bewertung_Stammdaten!G$20,Bewertung_Stammdaten!E$20,Bewertung_Stammdaten!E$21))))))))))</f>
        <v>17.5</v>
      </c>
      <c r="S13" s="43"/>
      <c r="T13" s="11">
        <f ca="1">VLOOKUP(A13,Buchwert_je_Aktie!A$3:AK$103,23,FALSE)</f>
        <v>225</v>
      </c>
      <c r="U13" s="11">
        <f>VLOOKUP(A13,Buchwert_je_Aktie!A$3:AK$103,19,FALSE)</f>
        <v>127.3923076923077</v>
      </c>
      <c r="V13" s="12">
        <f ca="1">VLOOKUP(A13,Buchwert_je_Aktie!A$3:AK$103,24,FALSE)</f>
        <v>0.76619769337600374</v>
      </c>
      <c r="W13" s="12">
        <f>VLOOKUP(A13,Buchwert_je_Aktie!A$3:AK$103,37,FALSE)</f>
        <v>0.13948190575371</v>
      </c>
      <c r="X13" s="16">
        <f t="shared" ca="1" si="5"/>
        <v>225</v>
      </c>
      <c r="Y13" s="12">
        <f t="shared" ca="1" si="6"/>
        <v>0.76619769337600374</v>
      </c>
      <c r="Z13" s="51">
        <f ca="1">IF(V13&lt;Bewertung_Stammdaten!B$25,Bewertung_Stammdaten!A$25,IF(V13&lt;Bewertung_Stammdaten!B$26,Bewertung_Stammdaten!A$26,IF(V13&lt;Bewertung_Stammdaten!B$27,Bewertung_Stammdaten!A$27,IF(V13&lt;Bewertung_Stammdaten!B$28,Bewertung_Stammdaten!A$28,IF(V13&lt;Bewertung_Stammdaten!B$29,Bewertung_Stammdaten!A$29,IF(V13&lt;Bewertung_Stammdaten!B$30,Bewertung_Stammdaten!A$30,IF(V13&lt;Bewertung_Stammdaten!B$31,Bewertung_Stammdaten!A$31,IF(V13&lt;Bewertung_Stammdaten!B$32,Bewertung_Stammdaten!A$32,IF(V13&lt;Bewertung_Stammdaten!B$33,Bewertung_Stammdaten!A$33,Bewertung_Stammdaten!A$34)))))))))</f>
        <v>15</v>
      </c>
      <c r="AA13" s="51">
        <f>IF(W13&lt;Bewertung_Stammdaten!F$25,Bewertung_Stammdaten!E$25,IF(W13&lt;Bewertung_Stammdaten!F$26,Bewertung_Stammdaten!E$26,IF(W13&lt;Bewertung_Stammdaten!F$27,Bewertung_Stammdaten!E$27,IF(W13&lt;Bewertung_Stammdaten!F$28,Bewertung_Stammdaten!E$28,IF(W13&lt;Bewertung_Stammdaten!F$29,Bewertung_Stammdaten!E$29,IF(W13&lt;Bewertung_Stammdaten!F$30,Bewertung_Stammdaten!E$30,IF(W13&lt;Bewertung_Stammdaten!F$31,Bewertung_Stammdaten!E$31,IF(W13&lt;Bewertung_Stammdaten!F$32,Bewertung_Stammdaten!E$32,IF(W13&lt;Bewertung_Stammdaten!F$33,Bewertung_Stammdaten!E$33,Bewertung_Stammdaten!E$34)))))))))</f>
        <v>15</v>
      </c>
      <c r="AB13" s="51">
        <f ca="1">IF(Y13&lt;Bewertung_Stammdaten!J$25,Bewertung_Stammdaten!I$25,IF(Y13&lt;Bewertung_Stammdaten!J$26,Bewertung_Stammdaten!I$26,IF(Y13&lt;Bewertung_Stammdaten!J$27,Bewertung_Stammdaten!I$27,IF(Y13&lt;Bewertung_Stammdaten!J$28,Bewertung_Stammdaten!I$28,IF(Y13&lt;Bewertung_Stammdaten!J$29,Bewertung_Stammdaten!I$29,IF(Y13&lt;Bewertung_Stammdaten!J$30,Bewertung_Stammdaten!I$30,IF(Y13&lt;Bewertung_Stammdaten!J$31,Bewertung_Stammdaten!I$31,IF(Y13&lt;Bewertung_Stammdaten!J$32,Bewertung_Stammdaten!I$32,IF(Y13&lt;Bewertung_Stammdaten!J$33,Bewertung_Stammdaten!I$33,Bewertung_Stammdaten!I$34)))))))))</f>
        <v>10</v>
      </c>
      <c r="AC13" s="43"/>
      <c r="AD13" s="14">
        <f ca="1">VLOOKUP(A13,Ergebnis_je_Aktie_verwässert!A$3:AK$103,23,FALSE)</f>
        <v>29.189999999999998</v>
      </c>
      <c r="AE13" s="14">
        <f>VLOOKUP(A13,Ergebnis_je_Aktie_verwässert!A$3:AK$103,19,FALSE)</f>
        <v>18.322384615384617</v>
      </c>
      <c r="AF13" s="12">
        <f ca="1">VLOOKUP(A13,Ergebnis_je_Aktie_verwässert!A$3:AK$103,24,FALSE)</f>
        <v>0.5931332418101436</v>
      </c>
      <c r="AG13" s="40">
        <f>VLOOKUP(A13,Ergebnis_je_Aktie_verwässert!A$3:AK$103,37,FALSE)</f>
        <v>8.4398976982097196E-2</v>
      </c>
      <c r="AH13" s="16">
        <f t="shared" ca="1" si="7"/>
        <v>29.189999999999998</v>
      </c>
      <c r="AI13" s="12">
        <f t="shared" ca="1" si="8"/>
        <v>0.5931332418101436</v>
      </c>
      <c r="AJ13" s="32">
        <f ca="1">IF(AF13&lt;Bewertung_Stammdaten!B$38,Bewertung_Stammdaten!A$38,IF(AF13&lt;Bewertung_Stammdaten!B$39,Bewertung_Stammdaten!A$39,IF(AF13&lt;Bewertung_Stammdaten!B$40,Bewertung_Stammdaten!A$40,IF(AF13&lt;Bewertung_Stammdaten!B$41,Bewertung_Stammdaten!A$41,IF(AF13&lt;Bewertung_Stammdaten!B$42,Bewertung_Stammdaten!A$42,IF(AF13&lt;Bewertung_Stammdaten!B$43,Bewertung_Stammdaten!A$43,IF(AF13&lt;Bewertung_Stammdaten!B$44,Bewertung_Stammdaten!A$44,IF(AF13&lt;Bewertung_Stammdaten!B$45,Bewertung_Stammdaten!A$45,IF(AF13&lt;Bewertung_Stammdaten!B$46,Bewertung_Stammdaten!A$46,Bewertung_Stammdaten!A$47)))))))))</f>
        <v>18</v>
      </c>
      <c r="AK13" s="32">
        <f>IF(AG13&lt;Bewertung_Stammdaten!F$38,Bewertung_Stammdaten!E$38,IF(AG13&lt;Bewertung_Stammdaten!F$39,Bewertung_Stammdaten!E$39,IF(AG13&lt;Bewertung_Stammdaten!F$40,Bewertung_Stammdaten!E$40,IF(AG13&lt;Bewertung_Stammdaten!F$41,Bewertung_Stammdaten!E$41,IF(AG13&lt;Bewertung_Stammdaten!F$42,Bewertung_Stammdaten!E$42,IF(AG13&lt;Bewertung_Stammdaten!F$43,Bewertung_Stammdaten!E$43,IF(AG13&lt;Bewertung_Stammdaten!F$44,Bewertung_Stammdaten!E$44,IF(AG13&lt;Bewertung_Stammdaten!F$45,Bewertung_Stammdaten!E$45,IF(AG13&lt;Bewertung_Stammdaten!F$46,Bewertung_Stammdaten!E$46,Bewertung_Stammdaten!E$47)))))))))</f>
        <v>12</v>
      </c>
      <c r="AL13" s="32">
        <f ca="1">IF(AI13&lt;Bewertung_Stammdaten!J$38,Bewertung_Stammdaten!I$38,IF(AI13&lt;Bewertung_Stammdaten!J$39,Bewertung_Stammdaten!I$39,IF(AI13&lt;Bewertung_Stammdaten!J$40,Bewertung_Stammdaten!I$40,IF(AI13&lt;Bewertung_Stammdaten!J$41,Bewertung_Stammdaten!I$41,IF(AI13&lt;Bewertung_Stammdaten!J$42,Bewertung_Stammdaten!I$42,IF(AI13&lt;Bewertung_Stammdaten!J$43,Bewertung_Stammdaten!I$43,IF(AI13&lt;Bewertung_Stammdaten!J$44,Bewertung_Stammdaten!I$44,IF(AI13&lt;Bewertung_Stammdaten!J$45,Bewertung_Stammdaten!I$45,IF(AI13&lt;Bewertung_Stammdaten!J$46,Bewertung_Stammdaten!I$46,Bewertung_Stammdaten!I$47)))))))))</f>
        <v>10</v>
      </c>
      <c r="AM13" s="43"/>
      <c r="AN13" s="14">
        <f ca="1">VLOOKUP(A13,Dividende_je_Aktie!A$3:AM$103,24,FALSE)</f>
        <v>0</v>
      </c>
      <c r="AO13" s="14">
        <f>VLOOKUP(A13,Dividende_je_Aktie!A$3:AM$103,20,FALSE)</f>
        <v>0</v>
      </c>
      <c r="AP13" s="12">
        <f>VLOOKUP(A13,Dividende_je_Aktie!A$3:AM$103,25,FALSE)</f>
        <v>0</v>
      </c>
      <c r="AQ13" s="40">
        <f>VLOOKUP(A13,Dividende_je_Aktie!A$3:AM$103,39,FALSE)</f>
        <v>0</v>
      </c>
      <c r="AR13" s="16">
        <f t="shared" ca="1" si="9"/>
        <v>0</v>
      </c>
      <c r="AS13" s="12">
        <f t="shared" si="10"/>
        <v>-99.999989999999997</v>
      </c>
      <c r="AT13" s="32">
        <f>IF(AP13&lt;Bewertung_Stammdaten!B$51,Bewertung_Stammdaten!A$51,IF(AP13&lt;Bewertung_Stammdaten!B$52,Bewertung_Stammdaten!A$52,IF(AP13&lt;Bewertung_Stammdaten!B$53,Bewertung_Stammdaten!A$53,IF(AP13&lt;Bewertung_Stammdaten!B$54,Bewertung_Stammdaten!A$54,IF(AP13&lt;Bewertung_Stammdaten!B$55,Bewertung_Stammdaten!A$55,IF(AP13&lt;Bewertung_Stammdaten!B$56,Bewertung_Stammdaten!A$56,IF(AP13&lt;Bewertung_Stammdaten!B$57,Bewertung_Stammdaten!A$57,IF(AP13&lt;Bewertung_Stammdaten!B$58,Bewertung_Stammdaten!A$58,IF(AP13&lt;Bewertung_Stammdaten!B$59,Bewertung_Stammdaten!A$59,Bewertung_Stammdaten!A$60)))))))))</f>
        <v>6</v>
      </c>
      <c r="AU13" s="32">
        <f>IF(AQ13&lt;Bewertung_Stammdaten!F$51,Bewertung_Stammdaten!E$51,IF(AQ13&lt;Bewertung_Stammdaten!F$52,Bewertung_Stammdaten!E$52,IF(AQ13&lt;Bewertung_Stammdaten!F$53,Bewertung_Stammdaten!E$53,IF(AQ13&lt;Bewertung_Stammdaten!F$54,Bewertung_Stammdaten!E$54,IF(AQ13&lt;Bewertung_Stammdaten!F$55,Bewertung_Stammdaten!E$55,IF(AQ13&lt;Bewertung_Stammdaten!F$56,Bewertung_Stammdaten!E$56,IF(AQ13&lt;Bewertung_Stammdaten!F$57,Bewertung_Stammdaten!E$57,IF(AQ13&lt;Bewertung_Stammdaten!F$58,Bewertung_Stammdaten!E$58,IF(AQ13&lt;Bewertung_Stammdaten!F$59,Bewertung_Stammdaten!E$59,Bewertung_Stammdaten!E$60)))))))))</f>
        <v>12</v>
      </c>
      <c r="AV13" s="32">
        <f>IF(AS13&lt;Bewertung_Stammdaten!J$51,Bewertung_Stammdaten!I$51,IF(AS13&lt;Bewertung_Stammdaten!J$52,Bewertung_Stammdaten!I$52,IF(AS13&lt;Bewertung_Stammdaten!J$53,Bewertung_Stammdaten!I$53,IF(AS13&lt;Bewertung_Stammdaten!J$54,Bewertung_Stammdaten!I$54,IF(AS13&lt;Bewertung_Stammdaten!J$55,Bewertung_Stammdaten!I$55,IF(AS13&lt;Bewertung_Stammdaten!J$56,Bewertung_Stammdaten!I$56,IF(AS13&lt;Bewertung_Stammdaten!J$57,Bewertung_Stammdaten!I$57,IF(AS13&lt;Bewertung_Stammdaten!J$58,Bewertung_Stammdaten!I$58,IF(AS13&lt;Bewertung_Stammdaten!J$59,Bewertung_Stammdaten!I$59,Bewertung_Stammdaten!I$60)))))))))</f>
        <v>1</v>
      </c>
      <c r="AW13" s="43"/>
      <c r="AX13" s="12">
        <f ca="1">VLOOKUP(A13,Dividendenrendite!A$3:R$103,17,FALSE)</f>
        <v>0</v>
      </c>
      <c r="AY13" s="12">
        <f>VLOOKUP(A13,Dividendenrendite!A$3:R$103,16,FALSE)</f>
        <v>0</v>
      </c>
      <c r="AZ13" s="12">
        <f>VLOOKUP(A13,Dividendenrendite!A$3:R$103,18,FALSE)</f>
        <v>0</v>
      </c>
      <c r="BA13" s="32">
        <f ca="1">IF(AX13&lt;Bewertung_Stammdaten!B$64,Bewertung_Stammdaten!A$64,IF(AX13&lt;Bewertung_Stammdaten!B$65,Bewertung_Stammdaten!A$65,IF(AX13&lt;Bewertung_Stammdaten!B$66,Bewertung_Stammdaten!A$66,IF(AX13&lt;Bewertung_Stammdaten!B$67,Bewertung_Stammdaten!A$67,IF(AX13&lt;Bewertung_Stammdaten!B$68,Bewertung_Stammdaten!A$68,IF(AX13&lt;Bewertung_Stammdaten!B$69,Bewertung_Stammdaten!A$69,IF(AX13&lt;Bewertung_Stammdaten!B$70,Bewertung_Stammdaten!A$70,IF(AX13&lt;Bewertung_Stammdaten!B$71,Bewertung_Stammdaten!A$71,IF(AX13&lt;Bewertung_Stammdaten!B$72,Bewertung_Stammdaten!A$72,Bewertung_Stammdaten!A$73)))))))))</f>
        <v>1.5</v>
      </c>
      <c r="BB13" s="32">
        <f>IF(AY13&lt;Bewertung_Stammdaten!F$64,Bewertung_Stammdaten!E$64,IF(AY13&lt;Bewertung_Stammdaten!F$65,Bewertung_Stammdaten!E$65,IF(AY13&lt;Bewertung_Stammdaten!F$66,Bewertung_Stammdaten!E$66,IF(AY13&lt;Bewertung_Stammdaten!F$67,Bewertung_Stammdaten!E$67,IF(AY13&lt;Bewertung_Stammdaten!F$68,Bewertung_Stammdaten!E$68,IF(AY13&lt;Bewertung_Stammdaten!F$69,Bewertung_Stammdaten!E$69,IF(AY13&lt;Bewertung_Stammdaten!F$70,Bewertung_Stammdaten!E$70,IF(AY13&lt;Bewertung_Stammdaten!F$71,Bewertung_Stammdaten!E$71,IF(AY13&lt;Bewertung_Stammdaten!F$72,Bewertung_Stammdaten!E$72,Bewertung_Stammdaten!E$73)))))))))</f>
        <v>1</v>
      </c>
      <c r="BC13" s="32">
        <f>IF(AZ13&lt;Bewertung_Stammdaten!J$64,Bewertung_Stammdaten!I$64,IF(AZ13&lt;Bewertung_Stammdaten!J$65,Bewertung_Stammdaten!I$65,IF(AZ13&lt;Bewertung_Stammdaten!J$66,Bewertung_Stammdaten!I$66,IF(AZ13&lt;Bewertung_Stammdaten!J$67,Bewertung_Stammdaten!I$67,IF(AZ13&lt;Bewertung_Stammdaten!J$68,Bewertung_Stammdaten!I$68,IF(AZ13&lt;Bewertung_Stammdaten!J$69,Bewertung_Stammdaten!I$69,IF(AZ13&lt;Bewertung_Stammdaten!J$70,Bewertung_Stammdaten!I$70,IF(AZ13&lt;Bewertung_Stammdaten!J$71,Bewertung_Stammdaten!I$71,IF(AZ13&lt;Bewertung_Stammdaten!J$72,Bewertung_Stammdaten!I$72,Bewertung_Stammdaten!I$73)))))))))</f>
        <v>3</v>
      </c>
      <c r="BD13" s="43"/>
      <c r="BE13" s="12">
        <f>VLOOKUP(A13,Aktien_im_Umlauf_splitbereinigt!A$3:AB$103,28,FALSE)</f>
        <v>1.0556184483291098E-2</v>
      </c>
      <c r="BF13" s="12">
        <f>VLOOKUP(A13,Aktien_im_Umlauf_splitbereinigt!A$3:AA$103,26,FALSE)</f>
        <v>1.6163655528417829E-2</v>
      </c>
      <c r="BG13" s="12">
        <f>VLOOKUP(A13,Aktien_im_Umlauf_splitbereinigt!A$3:AA$103,27,FALSE)</f>
        <v>-99.999989999999997</v>
      </c>
      <c r="BH13" s="41">
        <f>IF(BE13&lt;Bewertung_Stammdaten!B$77,Bewertung_Stammdaten!A$77,IF(BE13&lt;Bewertung_Stammdaten!B$78,Bewertung_Stammdaten!A$78,IF(BE13&lt;Bewertung_Stammdaten!B$79,Bewertung_Stammdaten!A$79,IF(BE13&lt;Bewertung_Stammdaten!B$80,Bewertung_Stammdaten!A$80,IF(BE13&lt;Bewertung_Stammdaten!B$81,Bewertung_Stammdaten!A$81,IF(BE13&lt;Bewertung_Stammdaten!B$82,Bewertung_Stammdaten!A$82,IF(BE13&lt;Bewertung_Stammdaten!B$83,Bewertung_Stammdaten!A$83,IF(BE13&lt;Bewertung_Stammdaten!B$84,Bewertung_Stammdaten!A$84,IF(BE13&lt;Bewertung_Stammdaten!B$85,Bewertung_Stammdaten!A$85,Bewertung_Stammdaten!A$86)))))))))</f>
        <v>1</v>
      </c>
      <c r="BI13" s="41">
        <f>IF(BF13&lt;Bewertung_Stammdaten!F$77,Bewertung_Stammdaten!E$77,IF(BF13&lt;Bewertung_Stammdaten!F$78,Bewertung_Stammdaten!E$78,IF(BF13&lt;Bewertung_Stammdaten!F$79,Bewertung_Stammdaten!E$79,IF(BF13&lt;Bewertung_Stammdaten!F$80,Bewertung_Stammdaten!E$80,IF(BF13&lt;Bewertung_Stammdaten!F$81,Bewertung_Stammdaten!E$81,IF(BF13&lt;Bewertung_Stammdaten!F$82,Bewertung_Stammdaten!E$82,IF(BF13&lt;Bewertung_Stammdaten!F$83,Bewertung_Stammdaten!E$83,IF(BF13&lt;Bewertung_Stammdaten!F$84,Bewertung_Stammdaten!E$84,IF(BF13&lt;Bewertung_Stammdaten!F$85,Bewertung_Stammdaten!E$85,Bewertung_Stammdaten!E$86)))))))))</f>
        <v>1</v>
      </c>
      <c r="BJ13" s="41">
        <f>IF(BG13&lt;Bewertung_Stammdaten!J$77,Bewertung_Stammdaten!I$77,IF(BG13&lt;Bewertung_Stammdaten!J$78,Bewertung_Stammdaten!I$78,IF(BG13&lt;Bewertung_Stammdaten!J$79,Bewertung_Stammdaten!I$79,IF(BG13&lt;Bewertung_Stammdaten!J$80,Bewertung_Stammdaten!I$80,IF(BG13&lt;Bewertung_Stammdaten!J$81,Bewertung_Stammdaten!I$81,IF(BG13&lt;Bewertung_Stammdaten!J$82,Bewertung_Stammdaten!I$82,IF(BG13&lt;Bewertung_Stammdaten!J$83,Bewertung_Stammdaten!I$83,IF(BG13&lt;Bewertung_Stammdaten!J$84,Bewertung_Stammdaten!I$84,IF(BG13&lt;Bewertung_Stammdaten!J$85,Bewertung_Stammdaten!I$85,Bewertung_Stammdaten!I$86)))))))))</f>
        <v>0.5</v>
      </c>
      <c r="BK13" s="43"/>
      <c r="BL13" s="12">
        <f ca="1">VLOOKUP(A13,Ausschüttungsquote!A$3:AL$103,37,FALSE)</f>
        <v>0</v>
      </c>
      <c r="BM13" s="12">
        <f>VLOOKUP(A13,Ausschüttungsquote!A$3:AL$103,19,FALSE)</f>
        <v>0</v>
      </c>
      <c r="BN13" s="12">
        <f>VLOOKUP(A13,Ausschüttungsquote!A$3:AL$103,38,FALSE)</f>
        <v>0</v>
      </c>
      <c r="BO13" s="32">
        <f ca="1">IF(BL13&lt;Bewertung_Stammdaten!B$90,Bewertung_Stammdaten!A$90,IF(BL13&lt;Bewertung_Stammdaten!B$91,Bewertung_Stammdaten!A$91,IF(BL13&lt;Bewertung_Stammdaten!B$92,Bewertung_Stammdaten!A$92,IF(BL13&lt;Bewertung_Stammdaten!B$93,Bewertung_Stammdaten!A$93,IF(BL13&lt;Bewertung_Stammdaten!B$94,Bewertung_Stammdaten!A$94,IF(BL13&lt;Bewertung_Stammdaten!B$95,Bewertung_Stammdaten!A$95,IF(BL13&lt;Bewertung_Stammdaten!B$96,Bewertung_Stammdaten!A$96,IF(BL13&lt;Bewertung_Stammdaten!B$97,Bewertung_Stammdaten!A$97,IF(BL13&lt;Bewertung_Stammdaten!B$98,Bewertung_Stammdaten!A$98,Bewertung_Stammdaten!A$99)))))))))</f>
        <v>10</v>
      </c>
      <c r="BP13" s="41">
        <f>IF(BM13&lt;Bewertung_Stammdaten!F$90,Bewertung_Stammdaten!E$90,IF(BM13&lt;Bewertung_Stammdaten!F$91,Bewertung_Stammdaten!E$91,IF(BM13&lt;Bewertung_Stammdaten!F$92,Bewertung_Stammdaten!E$92,IF(BM13&lt;Bewertung_Stammdaten!F$93,Bewertung_Stammdaten!E$93,IF(BM13&lt;Bewertung_Stammdaten!F$94,Bewertung_Stammdaten!E$94,IF(BM13&lt;Bewertung_Stammdaten!F$95,Bewertung_Stammdaten!E$95,IF(BM13&lt;Bewertung_Stammdaten!F$96,Bewertung_Stammdaten!E$96,IF(BM13&lt;Bewertung_Stammdaten!F$97,Bewertung_Stammdaten!E$97,IF(BM13&lt;Bewertung_Stammdaten!F$98,Bewertung_Stammdaten!E$98,Bewertung_Stammdaten!E$99)))))))))</f>
        <v>10</v>
      </c>
      <c r="BQ13" s="32">
        <f>IF(BN13&lt;Bewertung_Stammdaten!J$90,Bewertung_Stammdaten!I$90,IF(BN13&lt;Bewertung_Stammdaten!J$91,Bewertung_Stammdaten!I$91,IF(BN13&lt;Bewertung_Stammdaten!J$92,Bewertung_Stammdaten!I$92,IF(BN13&lt;Bewertung_Stammdaten!J$93,Bewertung_Stammdaten!I$93,IF(BN13&lt;Bewertung_Stammdaten!J$94,Bewertung_Stammdaten!I$94,IF(BN13&lt;Bewertung_Stammdaten!J$95,Bewertung_Stammdaten!I$95,IF(BN13&lt;Bewertung_Stammdaten!J$96,Bewertung_Stammdaten!I$96,IF(BN13&lt;Bewertung_Stammdaten!J$97,Bewertung_Stammdaten!I$97,IF(BN13&lt;Bewertung_Stammdaten!J$98,Bewertung_Stammdaten!I$98,Bewertung_Stammdaten!I$99)))))))))</f>
        <v>5</v>
      </c>
    </row>
    <row r="14" spans="1:69">
      <c r="A14" s="38" t="s">
        <v>58</v>
      </c>
      <c r="B14" s="38" t="s">
        <v>59</v>
      </c>
      <c r="C14" s="38" t="s">
        <v>283</v>
      </c>
      <c r="D14" s="32">
        <f t="shared" ca="1" si="0"/>
        <v>172</v>
      </c>
      <c r="E14" s="43"/>
      <c r="F14" s="60">
        <v>1</v>
      </c>
      <c r="G14" s="11">
        <f ca="1">VLOOKUP(A14,KGV!A$3:R$103,17,FALSE)</f>
        <v>17.092403814534691</v>
      </c>
      <c r="H14" s="11">
        <f>VLOOKUP(A14,KGV!A$3:R$103,16,FALSE)</f>
        <v>19.159340659340657</v>
      </c>
      <c r="I14" s="12">
        <f ca="1">VLOOKUP(A14,KGV!A$3:R$103,18,FALSE)</f>
        <v>-0.10788141834089071</v>
      </c>
      <c r="J14" s="16">
        <f t="shared" ca="1" si="1"/>
        <v>31.276971295476343</v>
      </c>
      <c r="K14" s="12">
        <f t="shared" ca="1" si="2"/>
        <v>0.63246595233056935</v>
      </c>
      <c r="L14" s="11">
        <f ca="1">VLOOKUP(A14,KBV!A$3:R$103,17,FALSE)</f>
        <v>6.7767926988265978</v>
      </c>
      <c r="M14" s="11">
        <f>VLOOKUP(A14,KBV!A$3:R$103,16,FALSE)</f>
        <v>4.4879614767255207</v>
      </c>
      <c r="N14" s="12">
        <f ca="1">VLOOKUP(A14,KBV!A$3:R$103,18,FALSE)</f>
        <v>0.50999350907330876</v>
      </c>
      <c r="O14" s="16">
        <f t="shared" ca="1" si="3"/>
        <v>9.9125729310008275</v>
      </c>
      <c r="P14" s="12">
        <f t="shared" ca="1" si="4"/>
        <v>1.2087027668145627</v>
      </c>
      <c r="Q14" s="32">
        <f ca="1">IF(F14=1,IF(I14&lt;Bewertung_Stammdaten!B$12,Bewertung_Stammdaten!A$12,IF(I14&lt;Bewertung_Stammdaten!B$13,Bewertung_Stammdaten!A$13,IF(I14&lt;Bewertung_Stammdaten!B$14,Bewertung_Stammdaten!A$14,IF(I14&lt;Bewertung_Stammdaten!B$15,Bewertung_Stammdaten!A$15,IF(I14&lt;Bewertung_Stammdaten!B$16,Bewertung_Stammdaten!A$16,IF(I14&lt;Bewertung_Stammdaten!B$17,Bewertung_Stammdaten!A$17,IF(I14&lt;Bewertung_Stammdaten!B$18,Bewertung_Stammdaten!A$18,IF(I14&lt;Bewertung_Stammdaten!B$19,Bewertung_Stammdaten!A$19,IF(I14&lt;Bewertung_Stammdaten!B$20,Bewertung_Stammdaten!A$20,Bewertung_Stammdaten!A$21))))))))),IF(N14&lt;Bewertung_Stammdaten!C$12,Bewertung_Stammdaten!A$12,IF(N14&lt;Bewertung_Stammdaten!C$13,Bewertung_Stammdaten!A$13,IF(N14&lt;Bewertung_Stammdaten!C$14,Bewertung_Stammdaten!A$14,IF(N14&lt;Bewertung_Stammdaten!C$15,Bewertung_Stammdaten!A$15,IF(N14&lt;Bewertung_Stammdaten!C$16,Bewertung_Stammdaten!A$16,IF(N14&lt;Bewertung_Stammdaten!C$17,Bewertung_Stammdaten!A$17,IF(N14&lt;Bewertung_Stammdaten!C$18,Bewertung_Stammdaten!A$18,IF(N14&lt;Bewertung_Stammdaten!C$19,Bewertung_Stammdaten!A$19,IF(N14&lt;Bewertung_Stammdaten!C$20,Bewertung_Stammdaten!A$20,Bewertung_Stammdaten!A$21))))))))))</f>
        <v>54</v>
      </c>
      <c r="R14" s="32">
        <f ca="1">IF(F14=1,IF(K14&lt;Bewertung_Stammdaten!F$12,Bewertung_Stammdaten!E$12,IF(K14&lt;Bewertung_Stammdaten!F$13,Bewertung_Stammdaten!E$13,IF(K14&lt;Bewertung_Stammdaten!F$14,Bewertung_Stammdaten!E$14,IF(K14&lt;Bewertung_Stammdaten!F$15,Bewertung_Stammdaten!E$15,IF(K14&lt;Bewertung_Stammdaten!F$16,Bewertung_Stammdaten!E$16,IF(K14&lt;Bewertung_Stammdaten!F$17,Bewertung_Stammdaten!E$17,IF(K14&lt;Bewertung_Stammdaten!F$18,Bewertung_Stammdaten!E$18,IF(K14&lt;Bewertung_Stammdaten!F$19,Bewertung_Stammdaten!E$19,IF(K14&lt;Bewertung_Stammdaten!F$20,Bewertung_Stammdaten!E$20,Bewertung_Stammdaten!E$21))))))))),IF(P14&lt;Bewertung_Stammdaten!G$12,Bewertung_Stammdaten!E$12,IF(P14&lt;Bewertung_Stammdaten!G$13,Bewertung_Stammdaten!E$13,IF(P14&lt;Bewertung_Stammdaten!G$14,Bewertung_Stammdaten!E$14,IF(P14&lt;Bewertung_Stammdaten!G$15,Bewertung_Stammdaten!E$15,IF(P14&lt;Bewertung_Stammdaten!G$16,Bewertung_Stammdaten!E$16,IF(P14&lt;Bewertung_Stammdaten!G$17,Bewertung_Stammdaten!E$17,IF(P14&lt;Bewertung_Stammdaten!G$18,Bewertung_Stammdaten!E$18,IF(P14&lt;Bewertung_Stammdaten!G$19,Bewertung_Stammdaten!E$19,IF(P14&lt;Bewertung_Stammdaten!G$20,Bewertung_Stammdaten!E$20,Bewertung_Stammdaten!E$21))))))))))</f>
        <v>2.5</v>
      </c>
      <c r="S14" s="43"/>
      <c r="T14" s="11">
        <f ca="1">VLOOKUP(A14,Buchwert_je_Aktie!A$3:AK$103,23,FALSE)</f>
        <v>12.783333333333331</v>
      </c>
      <c r="U14" s="11">
        <f>VLOOKUP(A14,Buchwert_je_Aktie!A$3:AK$103,19,FALSE)</f>
        <v>16.729230769230767</v>
      </c>
      <c r="V14" s="12">
        <f ca="1">VLOOKUP(A14,Buchwert_je_Aktie!A$3:AK$103,24,FALSE)</f>
        <v>-0.23586843234626942</v>
      </c>
      <c r="W14" s="12">
        <f>VLOOKUP(A14,Buchwert_je_Aktie!A$3:AK$103,37,FALSE)</f>
        <v>-0.31634372367312547</v>
      </c>
      <c r="X14" s="16">
        <f t="shared" ca="1" si="5"/>
        <v>8.7394060657118775</v>
      </c>
      <c r="Y14" s="12">
        <f t="shared" ca="1" si="6"/>
        <v>-0.47759665783403338</v>
      </c>
      <c r="Z14" s="51">
        <f ca="1">IF(V14&lt;Bewertung_Stammdaten!B$25,Bewertung_Stammdaten!A$25,IF(V14&lt;Bewertung_Stammdaten!B$26,Bewertung_Stammdaten!A$26,IF(V14&lt;Bewertung_Stammdaten!B$27,Bewertung_Stammdaten!A$27,IF(V14&lt;Bewertung_Stammdaten!B$28,Bewertung_Stammdaten!A$28,IF(V14&lt;Bewertung_Stammdaten!B$29,Bewertung_Stammdaten!A$29,IF(V14&lt;Bewertung_Stammdaten!B$30,Bewertung_Stammdaten!A$30,IF(V14&lt;Bewertung_Stammdaten!B$31,Bewertung_Stammdaten!A$31,IF(V14&lt;Bewertung_Stammdaten!B$32,Bewertung_Stammdaten!A$32,IF(V14&lt;Bewertung_Stammdaten!B$33,Bewertung_Stammdaten!A$33,Bewertung_Stammdaten!A$34)))))))))</f>
        <v>1.5</v>
      </c>
      <c r="AA14" s="51">
        <f>IF(W14&lt;Bewertung_Stammdaten!F$25,Bewertung_Stammdaten!E$25,IF(W14&lt;Bewertung_Stammdaten!F$26,Bewertung_Stammdaten!E$26,IF(W14&lt;Bewertung_Stammdaten!F$27,Bewertung_Stammdaten!E$27,IF(W14&lt;Bewertung_Stammdaten!F$28,Bewertung_Stammdaten!E$28,IF(W14&lt;Bewertung_Stammdaten!F$29,Bewertung_Stammdaten!E$29,IF(W14&lt;Bewertung_Stammdaten!F$30,Bewertung_Stammdaten!E$30,IF(W14&lt;Bewertung_Stammdaten!F$31,Bewertung_Stammdaten!E$31,IF(W14&lt;Bewertung_Stammdaten!F$32,Bewertung_Stammdaten!E$32,IF(W14&lt;Bewertung_Stammdaten!F$33,Bewertung_Stammdaten!E$33,Bewertung_Stammdaten!E$34)))))))))</f>
        <v>1.5</v>
      </c>
      <c r="AB14" s="51">
        <f ca="1">IF(Y14&lt;Bewertung_Stammdaten!J$25,Bewertung_Stammdaten!I$25,IF(Y14&lt;Bewertung_Stammdaten!J$26,Bewertung_Stammdaten!I$26,IF(Y14&lt;Bewertung_Stammdaten!J$27,Bewertung_Stammdaten!I$27,IF(Y14&lt;Bewertung_Stammdaten!J$28,Bewertung_Stammdaten!I$28,IF(Y14&lt;Bewertung_Stammdaten!J$29,Bewertung_Stammdaten!I$29,IF(Y14&lt;Bewertung_Stammdaten!J$30,Bewertung_Stammdaten!I$30,IF(Y14&lt;Bewertung_Stammdaten!J$31,Bewertung_Stammdaten!I$31,IF(Y14&lt;Bewertung_Stammdaten!J$32,Bewertung_Stammdaten!I$32,IF(Y14&lt;Bewertung_Stammdaten!J$33,Bewertung_Stammdaten!I$33,Bewertung_Stammdaten!I$34)))))))))</f>
        <v>1</v>
      </c>
      <c r="AC14" s="43"/>
      <c r="AD14" s="14">
        <f ca="1">VLOOKUP(A14,Ergebnis_je_Aktie_verwässert!A$3:AK$103,23,FALSE)</f>
        <v>5.0683333333333334</v>
      </c>
      <c r="AE14" s="14">
        <f>VLOOKUP(A14,Ergebnis_je_Aktie_verwässert!A$3:AK$103,19,FALSE)</f>
        <v>4.0161538461538449</v>
      </c>
      <c r="AF14" s="12">
        <f ca="1">VLOOKUP(A14,Ergebnis_je_Aktie_verwässert!A$3:AK$103,24,FALSE)</f>
        <v>0.26198684798569927</v>
      </c>
      <c r="AG14" s="40">
        <f>VLOOKUP(A14,Ergebnis_je_Aktie_verwässert!A$3:AK$103,37,FALSE)</f>
        <v>-0.45351473922902497</v>
      </c>
      <c r="AH14" s="16">
        <f t="shared" ca="1" si="7"/>
        <v>2.769769463340892</v>
      </c>
      <c r="AI14" s="12">
        <f t="shared" ca="1" si="8"/>
        <v>-0.31034278828899431</v>
      </c>
      <c r="AJ14" s="32">
        <f ca="1">IF(AF14&lt;Bewertung_Stammdaten!B$38,Bewertung_Stammdaten!A$38,IF(AF14&lt;Bewertung_Stammdaten!B$39,Bewertung_Stammdaten!A$39,IF(AF14&lt;Bewertung_Stammdaten!B$40,Bewertung_Stammdaten!A$40,IF(AF14&lt;Bewertung_Stammdaten!B$41,Bewertung_Stammdaten!A$41,IF(AF14&lt;Bewertung_Stammdaten!B$42,Bewertung_Stammdaten!A$42,IF(AF14&lt;Bewertung_Stammdaten!B$43,Bewertung_Stammdaten!A$43,IF(AF14&lt;Bewertung_Stammdaten!B$44,Bewertung_Stammdaten!A$44,IF(AF14&lt;Bewertung_Stammdaten!B$45,Bewertung_Stammdaten!A$45,IF(AF14&lt;Bewertung_Stammdaten!B$46,Bewertung_Stammdaten!A$46,Bewertung_Stammdaten!A$47)))))))))</f>
        <v>12</v>
      </c>
      <c r="AK14" s="32">
        <f>IF(AG14&lt;Bewertung_Stammdaten!F$38,Bewertung_Stammdaten!E$38,IF(AG14&lt;Bewertung_Stammdaten!F$39,Bewertung_Stammdaten!E$39,IF(AG14&lt;Bewertung_Stammdaten!F$40,Bewertung_Stammdaten!E$40,IF(AG14&lt;Bewertung_Stammdaten!F$41,Bewertung_Stammdaten!E$41,IF(AG14&lt;Bewertung_Stammdaten!F$42,Bewertung_Stammdaten!E$42,IF(AG14&lt;Bewertung_Stammdaten!F$43,Bewertung_Stammdaten!E$43,IF(AG14&lt;Bewertung_Stammdaten!F$44,Bewertung_Stammdaten!E$44,IF(AG14&lt;Bewertung_Stammdaten!F$45,Bewertung_Stammdaten!E$45,IF(AG14&lt;Bewertung_Stammdaten!F$46,Bewertung_Stammdaten!E$46,Bewertung_Stammdaten!E$47)))))))))</f>
        <v>4.5</v>
      </c>
      <c r="AL14" s="32">
        <f ca="1">IF(AI14&lt;Bewertung_Stammdaten!J$38,Bewertung_Stammdaten!I$38,IF(AI14&lt;Bewertung_Stammdaten!J$39,Bewertung_Stammdaten!I$39,IF(AI14&lt;Bewertung_Stammdaten!J$40,Bewertung_Stammdaten!I$40,IF(AI14&lt;Bewertung_Stammdaten!J$41,Bewertung_Stammdaten!I$41,IF(AI14&lt;Bewertung_Stammdaten!J$42,Bewertung_Stammdaten!I$42,IF(AI14&lt;Bewertung_Stammdaten!J$43,Bewertung_Stammdaten!I$43,IF(AI14&lt;Bewertung_Stammdaten!J$44,Bewertung_Stammdaten!I$44,IF(AI14&lt;Bewertung_Stammdaten!J$45,Bewertung_Stammdaten!I$45,IF(AI14&lt;Bewertung_Stammdaten!J$46,Bewertung_Stammdaten!I$46,Bewertung_Stammdaten!I$47)))))))))</f>
        <v>1</v>
      </c>
      <c r="AM14" s="43"/>
      <c r="AN14" s="14">
        <f ca="1">VLOOKUP(A14,Dividende_je_Aktie!A$3:AM$103,24,FALSE)</f>
        <v>2.2313333333333332</v>
      </c>
      <c r="AO14" s="14">
        <f>VLOOKUP(A14,Dividende_je_Aktie!A$3:AM$103,20,FALSE)</f>
        <v>1.3449999999999995</v>
      </c>
      <c r="AP14" s="12">
        <f ca="1">VLOOKUP(A14,Dividende_je_Aktie!A$3:AM$103,25,FALSE)</f>
        <v>0.65898389095415166</v>
      </c>
      <c r="AQ14" s="40">
        <f>VLOOKUP(A14,Dividende_je_Aktie!A$3:AM$103,39,FALSE)</f>
        <v>3.8461538461538547E-2</v>
      </c>
      <c r="AR14" s="16">
        <f t="shared" ca="1" si="9"/>
        <v>2.2313333333333332</v>
      </c>
      <c r="AS14" s="12">
        <f t="shared" ca="1" si="10"/>
        <v>0.65898389095415166</v>
      </c>
      <c r="AT14" s="32">
        <f ca="1">IF(AP14&lt;Bewertung_Stammdaten!B$51,Bewertung_Stammdaten!A$51,IF(AP14&lt;Bewertung_Stammdaten!B$52,Bewertung_Stammdaten!A$52,IF(AP14&lt;Bewertung_Stammdaten!B$53,Bewertung_Stammdaten!A$53,IF(AP14&lt;Bewertung_Stammdaten!B$54,Bewertung_Stammdaten!A$54,IF(AP14&lt;Bewertung_Stammdaten!B$55,Bewertung_Stammdaten!A$55,IF(AP14&lt;Bewertung_Stammdaten!B$56,Bewertung_Stammdaten!A$56,IF(AP14&lt;Bewertung_Stammdaten!B$57,Bewertung_Stammdaten!A$57,IF(AP14&lt;Bewertung_Stammdaten!B$58,Bewertung_Stammdaten!A$58,IF(AP14&lt;Bewertung_Stammdaten!B$59,Bewertung_Stammdaten!A$59,Bewertung_Stammdaten!A$60)))))))))</f>
        <v>18</v>
      </c>
      <c r="AU14" s="32">
        <f>IF(AQ14&lt;Bewertung_Stammdaten!F$51,Bewertung_Stammdaten!E$51,IF(AQ14&lt;Bewertung_Stammdaten!F$52,Bewertung_Stammdaten!E$52,IF(AQ14&lt;Bewertung_Stammdaten!F$53,Bewertung_Stammdaten!E$53,IF(AQ14&lt;Bewertung_Stammdaten!F$54,Bewertung_Stammdaten!E$54,IF(AQ14&lt;Bewertung_Stammdaten!F$55,Bewertung_Stammdaten!E$55,IF(AQ14&lt;Bewertung_Stammdaten!F$56,Bewertung_Stammdaten!E$56,IF(AQ14&lt;Bewertung_Stammdaten!F$57,Bewertung_Stammdaten!E$57,IF(AQ14&lt;Bewertung_Stammdaten!F$58,Bewertung_Stammdaten!E$58,IF(AQ14&lt;Bewertung_Stammdaten!F$59,Bewertung_Stammdaten!E$59,Bewertung_Stammdaten!E$60)))))))))</f>
        <v>12</v>
      </c>
      <c r="AV14" s="32">
        <f ca="1">IF(AS14&lt;Bewertung_Stammdaten!J$51,Bewertung_Stammdaten!I$51,IF(AS14&lt;Bewertung_Stammdaten!J$52,Bewertung_Stammdaten!I$52,IF(AS14&lt;Bewertung_Stammdaten!J$53,Bewertung_Stammdaten!I$53,IF(AS14&lt;Bewertung_Stammdaten!J$54,Bewertung_Stammdaten!I$54,IF(AS14&lt;Bewertung_Stammdaten!J$55,Bewertung_Stammdaten!I$55,IF(AS14&lt;Bewertung_Stammdaten!J$56,Bewertung_Stammdaten!I$56,IF(AS14&lt;Bewertung_Stammdaten!J$57,Bewertung_Stammdaten!I$57,IF(AS14&lt;Bewertung_Stammdaten!J$58,Bewertung_Stammdaten!I$58,IF(AS14&lt;Bewertung_Stammdaten!J$59,Bewertung_Stammdaten!I$59,Bewertung_Stammdaten!I$60)))))))))</f>
        <v>10</v>
      </c>
      <c r="AW14" s="43"/>
      <c r="AX14" s="12">
        <f ca="1">VLOOKUP(A14,Dividendenrendite!A$3:R$103,17,FALSE)</f>
        <v>2.5757051060063874E-2</v>
      </c>
      <c r="AY14" s="12">
        <f>VLOOKUP(A14,Dividendenrendite!A$3:R$103,16,FALSE)</f>
        <v>1.5487568994856576E-2</v>
      </c>
      <c r="AZ14" s="12">
        <f ca="1">VLOOKUP(A14,Dividendenrendite!A$3:R$103,18,FALSE)</f>
        <v>0.663079019607131</v>
      </c>
      <c r="BA14" s="32">
        <f ca="1">IF(AX14&lt;Bewertung_Stammdaten!B$64,Bewertung_Stammdaten!A$64,IF(AX14&lt;Bewertung_Stammdaten!B$65,Bewertung_Stammdaten!A$65,IF(AX14&lt;Bewertung_Stammdaten!B$66,Bewertung_Stammdaten!A$66,IF(AX14&lt;Bewertung_Stammdaten!B$67,Bewertung_Stammdaten!A$67,IF(AX14&lt;Bewertung_Stammdaten!B$68,Bewertung_Stammdaten!A$68,IF(AX14&lt;Bewertung_Stammdaten!B$69,Bewertung_Stammdaten!A$69,IF(AX14&lt;Bewertung_Stammdaten!B$70,Bewertung_Stammdaten!A$70,IF(AX14&lt;Bewertung_Stammdaten!B$71,Bewertung_Stammdaten!A$71,IF(AX14&lt;Bewertung_Stammdaten!B$72,Bewertung_Stammdaten!A$72,Bewertung_Stammdaten!A$73)))))))))</f>
        <v>9</v>
      </c>
      <c r="BB14" s="32">
        <f>IF(AY14&lt;Bewertung_Stammdaten!F$64,Bewertung_Stammdaten!E$64,IF(AY14&lt;Bewertung_Stammdaten!F$65,Bewertung_Stammdaten!E$65,IF(AY14&lt;Bewertung_Stammdaten!F$66,Bewertung_Stammdaten!E$66,IF(AY14&lt;Bewertung_Stammdaten!F$67,Bewertung_Stammdaten!E$67,IF(AY14&lt;Bewertung_Stammdaten!F$68,Bewertung_Stammdaten!E$68,IF(AY14&lt;Bewertung_Stammdaten!F$69,Bewertung_Stammdaten!E$69,IF(AY14&lt;Bewertung_Stammdaten!F$70,Bewertung_Stammdaten!E$70,IF(AY14&lt;Bewertung_Stammdaten!F$71,Bewertung_Stammdaten!E$71,IF(AY14&lt;Bewertung_Stammdaten!F$72,Bewertung_Stammdaten!E$72,Bewertung_Stammdaten!E$73)))))))))</f>
        <v>4</v>
      </c>
      <c r="BC14" s="32">
        <f ca="1">IF(AZ14&lt;Bewertung_Stammdaten!J$64,Bewertung_Stammdaten!I$64,IF(AZ14&lt;Bewertung_Stammdaten!J$65,Bewertung_Stammdaten!I$65,IF(AZ14&lt;Bewertung_Stammdaten!J$66,Bewertung_Stammdaten!I$66,IF(AZ14&lt;Bewertung_Stammdaten!J$67,Bewertung_Stammdaten!I$67,IF(AZ14&lt;Bewertung_Stammdaten!J$68,Bewertung_Stammdaten!I$68,IF(AZ14&lt;Bewertung_Stammdaten!J$69,Bewertung_Stammdaten!I$69,IF(AZ14&lt;Bewertung_Stammdaten!J$70,Bewertung_Stammdaten!I$70,IF(AZ14&lt;Bewertung_Stammdaten!J$71,Bewertung_Stammdaten!I$71,IF(AZ14&lt;Bewertung_Stammdaten!J$72,Bewertung_Stammdaten!I$72,Bewertung_Stammdaten!I$73)))))))))</f>
        <v>5</v>
      </c>
      <c r="BD14" s="43"/>
      <c r="BE14" s="12">
        <f>VLOOKUP(A14,Aktien_im_Umlauf_splitbereinigt!A$3:AB$103,28,FALSE)</f>
        <v>-3.5774636277459582E-2</v>
      </c>
      <c r="BF14" s="12">
        <f>VLOOKUP(A14,Aktien_im_Umlauf_splitbereinigt!A$3:AA$103,26,FALSE)</f>
        <v>-1.320816597572767E-2</v>
      </c>
      <c r="BG14" s="12">
        <f>VLOOKUP(A14,Aktien_im_Umlauf_splitbereinigt!A$3:AA$103,27,FALSE)</f>
        <v>1.7085241314503294</v>
      </c>
      <c r="BH14" s="41">
        <f>IF(BE14&lt;Bewertung_Stammdaten!B$77,Bewertung_Stammdaten!A$77,IF(BE14&lt;Bewertung_Stammdaten!B$78,Bewertung_Stammdaten!A$78,IF(BE14&lt;Bewertung_Stammdaten!B$79,Bewertung_Stammdaten!A$79,IF(BE14&lt;Bewertung_Stammdaten!B$80,Bewertung_Stammdaten!A$80,IF(BE14&lt;Bewertung_Stammdaten!B$81,Bewertung_Stammdaten!A$81,IF(BE14&lt;Bewertung_Stammdaten!B$82,Bewertung_Stammdaten!A$82,IF(BE14&lt;Bewertung_Stammdaten!B$83,Bewertung_Stammdaten!A$83,IF(BE14&lt;Bewertung_Stammdaten!B$84,Bewertung_Stammdaten!A$84,IF(BE14&lt;Bewertung_Stammdaten!B$85,Bewertung_Stammdaten!A$85,Bewertung_Stammdaten!A$86)))))))))</f>
        <v>10</v>
      </c>
      <c r="BI14" s="41">
        <f>IF(BF14&lt;Bewertung_Stammdaten!F$77,Bewertung_Stammdaten!E$77,IF(BF14&lt;Bewertung_Stammdaten!F$78,Bewertung_Stammdaten!E$78,IF(BF14&lt;Bewertung_Stammdaten!F$79,Bewertung_Stammdaten!E$79,IF(BF14&lt;Bewertung_Stammdaten!F$80,Bewertung_Stammdaten!E$80,IF(BF14&lt;Bewertung_Stammdaten!F$81,Bewertung_Stammdaten!E$81,IF(BF14&lt;Bewertung_Stammdaten!F$82,Bewertung_Stammdaten!E$82,IF(BF14&lt;Bewertung_Stammdaten!F$83,Bewertung_Stammdaten!E$83,IF(BF14&lt;Bewertung_Stammdaten!F$84,Bewertung_Stammdaten!E$84,IF(BF14&lt;Bewertung_Stammdaten!F$85,Bewertung_Stammdaten!E$85,Bewertung_Stammdaten!E$86)))))))))</f>
        <v>5</v>
      </c>
      <c r="BJ14" s="41">
        <f>IF(BG14&lt;Bewertung_Stammdaten!J$77,Bewertung_Stammdaten!I$77,IF(BG14&lt;Bewertung_Stammdaten!J$78,Bewertung_Stammdaten!I$78,IF(BG14&lt;Bewertung_Stammdaten!J$79,Bewertung_Stammdaten!I$79,IF(BG14&lt;Bewertung_Stammdaten!J$80,Bewertung_Stammdaten!I$80,IF(BG14&lt;Bewertung_Stammdaten!J$81,Bewertung_Stammdaten!I$81,IF(BG14&lt;Bewertung_Stammdaten!J$82,Bewertung_Stammdaten!I$82,IF(BG14&lt;Bewertung_Stammdaten!J$83,Bewertung_Stammdaten!I$83,IF(BG14&lt;Bewertung_Stammdaten!J$84,Bewertung_Stammdaten!I$84,IF(BG14&lt;Bewertung_Stammdaten!J$85,Bewertung_Stammdaten!I$85,Bewertung_Stammdaten!I$86)))))))))</f>
        <v>5</v>
      </c>
      <c r="BK14" s="43"/>
      <c r="BL14" s="12">
        <f ca="1">VLOOKUP(A14,Ausschüttungsquote!A$3:AL$103,37,FALSE)</f>
        <v>0.44718086632243265</v>
      </c>
      <c r="BM14" s="12">
        <f>VLOOKUP(A14,Ausschüttungsquote!A$3:AL$103,19,FALSE)</f>
        <v>0.58760094062163326</v>
      </c>
      <c r="BN14" s="12">
        <f ca="1">VLOOKUP(A14,Ausschüttungsquote!A$3:AL$103,38,FALSE)</f>
        <v>0.27740065067839148</v>
      </c>
      <c r="BO14" s="32">
        <f ca="1">IF(BL14&lt;Bewertung_Stammdaten!B$90,Bewertung_Stammdaten!A$90,IF(BL14&lt;Bewertung_Stammdaten!B$91,Bewertung_Stammdaten!A$91,IF(BL14&lt;Bewertung_Stammdaten!B$92,Bewertung_Stammdaten!A$92,IF(BL14&lt;Bewertung_Stammdaten!B$93,Bewertung_Stammdaten!A$93,IF(BL14&lt;Bewertung_Stammdaten!B$94,Bewertung_Stammdaten!A$94,IF(BL14&lt;Bewertung_Stammdaten!B$95,Bewertung_Stammdaten!A$95,IF(BL14&lt;Bewertung_Stammdaten!B$96,Bewertung_Stammdaten!A$96,IF(BL14&lt;Bewertung_Stammdaten!B$97,Bewertung_Stammdaten!A$97,IF(BL14&lt;Bewertung_Stammdaten!B$98,Bewertung_Stammdaten!A$98,Bewertung_Stammdaten!A$99)))))))))</f>
        <v>9</v>
      </c>
      <c r="BP14" s="41">
        <f>IF(BM14&lt;Bewertung_Stammdaten!F$90,Bewertung_Stammdaten!E$90,IF(BM14&lt;Bewertung_Stammdaten!F$91,Bewertung_Stammdaten!E$91,IF(BM14&lt;Bewertung_Stammdaten!F$92,Bewertung_Stammdaten!E$92,IF(BM14&lt;Bewertung_Stammdaten!F$93,Bewertung_Stammdaten!E$93,IF(BM14&lt;Bewertung_Stammdaten!F$94,Bewertung_Stammdaten!E$94,IF(BM14&lt;Bewertung_Stammdaten!F$95,Bewertung_Stammdaten!E$95,IF(BM14&lt;Bewertung_Stammdaten!F$96,Bewertung_Stammdaten!E$96,IF(BM14&lt;Bewertung_Stammdaten!F$97,Bewertung_Stammdaten!E$97,IF(BM14&lt;Bewertung_Stammdaten!F$98,Bewertung_Stammdaten!E$98,Bewertung_Stammdaten!E$99)))))))))</f>
        <v>6</v>
      </c>
      <c r="BQ14" s="32">
        <f ca="1">IF(BN14&lt;Bewertung_Stammdaten!J$90,Bewertung_Stammdaten!I$90,IF(BN14&lt;Bewertung_Stammdaten!J$91,Bewertung_Stammdaten!I$91,IF(BN14&lt;Bewertung_Stammdaten!J$92,Bewertung_Stammdaten!I$92,IF(BN14&lt;Bewertung_Stammdaten!J$93,Bewertung_Stammdaten!I$93,IF(BN14&lt;Bewertung_Stammdaten!J$94,Bewertung_Stammdaten!I$94,IF(BN14&lt;Bewertung_Stammdaten!J$95,Bewertung_Stammdaten!I$95,IF(BN14&lt;Bewertung_Stammdaten!J$96,Bewertung_Stammdaten!I$96,IF(BN14&lt;Bewertung_Stammdaten!J$97,Bewertung_Stammdaten!I$97,IF(BN14&lt;Bewertung_Stammdaten!J$98,Bewertung_Stammdaten!I$98,Bewertung_Stammdaten!I$99)))))))))</f>
        <v>1</v>
      </c>
    </row>
    <row r="15" spans="1:69">
      <c r="A15" s="38" t="s">
        <v>4</v>
      </c>
      <c r="B15" s="38" t="s">
        <v>5</v>
      </c>
      <c r="C15" s="38" t="s">
        <v>283</v>
      </c>
      <c r="D15" s="32">
        <f t="shared" ca="1" si="0"/>
        <v>171.5</v>
      </c>
      <c r="E15" s="43"/>
      <c r="F15" s="60">
        <v>1</v>
      </c>
      <c r="G15" s="11">
        <f ca="1">VLOOKUP(A15,KGV!A$3:R$103,17,FALSE)</f>
        <v>17.080701754385966</v>
      </c>
      <c r="H15" s="11">
        <f>VLOOKUP(A15,KGV!A$3:R$103,16,FALSE)</f>
        <v>15.908496732026144</v>
      </c>
      <c r="I15" s="12">
        <f ca="1">VLOOKUP(A15,KGV!A$3:R$103,18,FALSE)</f>
        <v>7.3684210526315796E-2</v>
      </c>
      <c r="J15" s="16">
        <f t="shared" ca="1" si="1"/>
        <v>18.716768652845758</v>
      </c>
      <c r="K15" s="12">
        <f t="shared" ca="1" si="2"/>
        <v>0.17652654227009079</v>
      </c>
      <c r="L15" s="11">
        <f ca="1">VLOOKUP(A15,KBV!A$3:R$103,17,FALSE)</f>
        <v>7.5920149719276351</v>
      </c>
      <c r="M15" s="11">
        <f>VLOOKUP(A15,KBV!A$3:R$103,16,FALSE)</f>
        <v>9.6239725562122125</v>
      </c>
      <c r="N15" s="12">
        <f ca="1">VLOOKUP(A15,KBV!A$3:R$103,18,FALSE)</f>
        <v>-0.21113501440452065</v>
      </c>
      <c r="O15" s="16">
        <f t="shared" ca="1" si="3"/>
        <v>7.5920149719276351</v>
      </c>
      <c r="P15" s="12">
        <f t="shared" ca="1" si="4"/>
        <v>-0.21113501440452065</v>
      </c>
      <c r="Q15" s="32">
        <f ca="1">IF(F15=1,IF(I15&lt;Bewertung_Stammdaten!B$12,Bewertung_Stammdaten!A$12,IF(I15&lt;Bewertung_Stammdaten!B$13,Bewertung_Stammdaten!A$13,IF(I15&lt;Bewertung_Stammdaten!B$14,Bewertung_Stammdaten!A$14,IF(I15&lt;Bewertung_Stammdaten!B$15,Bewertung_Stammdaten!A$15,IF(I15&lt;Bewertung_Stammdaten!B$16,Bewertung_Stammdaten!A$16,IF(I15&lt;Bewertung_Stammdaten!B$17,Bewertung_Stammdaten!A$17,IF(I15&lt;Bewertung_Stammdaten!B$18,Bewertung_Stammdaten!A$18,IF(I15&lt;Bewertung_Stammdaten!B$19,Bewertung_Stammdaten!A$19,IF(I15&lt;Bewertung_Stammdaten!B$20,Bewertung_Stammdaten!A$20,Bewertung_Stammdaten!A$21))))))))),IF(N15&lt;Bewertung_Stammdaten!C$12,Bewertung_Stammdaten!A$12,IF(N15&lt;Bewertung_Stammdaten!C$13,Bewertung_Stammdaten!A$13,IF(N15&lt;Bewertung_Stammdaten!C$14,Bewertung_Stammdaten!A$14,IF(N15&lt;Bewertung_Stammdaten!C$15,Bewertung_Stammdaten!A$15,IF(N15&lt;Bewertung_Stammdaten!C$16,Bewertung_Stammdaten!A$16,IF(N15&lt;Bewertung_Stammdaten!C$17,Bewertung_Stammdaten!A$17,IF(N15&lt;Bewertung_Stammdaten!C$18,Bewertung_Stammdaten!A$18,IF(N15&lt;Bewertung_Stammdaten!C$19,Bewertung_Stammdaten!A$19,IF(N15&lt;Bewertung_Stammdaten!C$20,Bewertung_Stammdaten!A$20,Bewertung_Stammdaten!A$21))))))))))</f>
        <v>30</v>
      </c>
      <c r="R15" s="32">
        <f ca="1">IF(F15=1,IF(K15&lt;Bewertung_Stammdaten!F$12,Bewertung_Stammdaten!E$12,IF(K15&lt;Bewertung_Stammdaten!F$13,Bewertung_Stammdaten!E$13,IF(K15&lt;Bewertung_Stammdaten!F$14,Bewertung_Stammdaten!E$14,IF(K15&lt;Bewertung_Stammdaten!F$15,Bewertung_Stammdaten!E$15,IF(K15&lt;Bewertung_Stammdaten!F$16,Bewertung_Stammdaten!E$16,IF(K15&lt;Bewertung_Stammdaten!F$17,Bewertung_Stammdaten!E$17,IF(K15&lt;Bewertung_Stammdaten!F$18,Bewertung_Stammdaten!E$18,IF(K15&lt;Bewertung_Stammdaten!F$19,Bewertung_Stammdaten!E$19,IF(K15&lt;Bewertung_Stammdaten!F$20,Bewertung_Stammdaten!E$20,Bewertung_Stammdaten!E$21))))))))),IF(P15&lt;Bewertung_Stammdaten!G$12,Bewertung_Stammdaten!E$12,IF(P15&lt;Bewertung_Stammdaten!G$13,Bewertung_Stammdaten!E$13,IF(P15&lt;Bewertung_Stammdaten!G$14,Bewertung_Stammdaten!E$14,IF(P15&lt;Bewertung_Stammdaten!G$15,Bewertung_Stammdaten!E$15,IF(P15&lt;Bewertung_Stammdaten!G$16,Bewertung_Stammdaten!E$16,IF(P15&lt;Bewertung_Stammdaten!G$17,Bewertung_Stammdaten!E$17,IF(P15&lt;Bewertung_Stammdaten!G$18,Bewertung_Stammdaten!E$18,IF(P15&lt;Bewertung_Stammdaten!G$19,Bewertung_Stammdaten!E$19,IF(P15&lt;Bewertung_Stammdaten!G$20,Bewertung_Stammdaten!E$20,Bewertung_Stammdaten!E$21))))))))))</f>
        <v>15</v>
      </c>
      <c r="S15" s="43"/>
      <c r="T15" s="11">
        <f ca="1">VLOOKUP(A15,Buchwert_je_Aktie!A$3:AK$103,23,FALSE)</f>
        <v>32.06</v>
      </c>
      <c r="U15" s="11">
        <f>VLOOKUP(A15,Buchwert_je_Aktie!A$3:AK$103,19,FALSE)</f>
        <v>23.084000000000003</v>
      </c>
      <c r="V15" s="12">
        <f ca="1">VLOOKUP(A15,Buchwert_je_Aktie!A$3:AK$103,24,FALSE)</f>
        <v>0.38884075550164598</v>
      </c>
      <c r="W15" s="12">
        <f>VLOOKUP(A15,Buchwert_je_Aktie!A$3:AK$103,37,FALSE)</f>
        <v>1.5198927134555174E-2</v>
      </c>
      <c r="X15" s="16">
        <f t="shared" ca="1" si="5"/>
        <v>32.06</v>
      </c>
      <c r="Y15" s="12">
        <f t="shared" ca="1" si="6"/>
        <v>0.38884075550164598</v>
      </c>
      <c r="Z15" s="51">
        <f ca="1">IF(V15&lt;Bewertung_Stammdaten!B$25,Bewertung_Stammdaten!A$25,IF(V15&lt;Bewertung_Stammdaten!B$26,Bewertung_Stammdaten!A$26,IF(V15&lt;Bewertung_Stammdaten!B$27,Bewertung_Stammdaten!A$27,IF(V15&lt;Bewertung_Stammdaten!B$28,Bewertung_Stammdaten!A$28,IF(V15&lt;Bewertung_Stammdaten!B$29,Bewertung_Stammdaten!A$29,IF(V15&lt;Bewertung_Stammdaten!B$30,Bewertung_Stammdaten!A$30,IF(V15&lt;Bewertung_Stammdaten!B$31,Bewertung_Stammdaten!A$31,IF(V15&lt;Bewertung_Stammdaten!B$32,Bewertung_Stammdaten!A$32,IF(V15&lt;Bewertung_Stammdaten!B$33,Bewertung_Stammdaten!A$33,Bewertung_Stammdaten!A$34)))))))))</f>
        <v>9</v>
      </c>
      <c r="AA15" s="51">
        <f>IF(W15&lt;Bewertung_Stammdaten!F$25,Bewertung_Stammdaten!E$25,IF(W15&lt;Bewertung_Stammdaten!F$26,Bewertung_Stammdaten!E$26,IF(W15&lt;Bewertung_Stammdaten!F$27,Bewertung_Stammdaten!E$27,IF(W15&lt;Bewertung_Stammdaten!F$28,Bewertung_Stammdaten!E$28,IF(W15&lt;Bewertung_Stammdaten!F$29,Bewertung_Stammdaten!E$29,IF(W15&lt;Bewertung_Stammdaten!F$30,Bewertung_Stammdaten!E$30,IF(W15&lt;Bewertung_Stammdaten!F$31,Bewertung_Stammdaten!E$31,IF(W15&lt;Bewertung_Stammdaten!F$32,Bewertung_Stammdaten!E$32,IF(W15&lt;Bewertung_Stammdaten!F$33,Bewertung_Stammdaten!E$33,Bewertung_Stammdaten!E$34)))))))))</f>
        <v>12</v>
      </c>
      <c r="AB15" s="51">
        <f ca="1">IF(Y15&lt;Bewertung_Stammdaten!J$25,Bewertung_Stammdaten!I$25,IF(Y15&lt;Bewertung_Stammdaten!J$26,Bewertung_Stammdaten!I$26,IF(Y15&lt;Bewertung_Stammdaten!J$27,Bewertung_Stammdaten!I$27,IF(Y15&lt;Bewertung_Stammdaten!J$28,Bewertung_Stammdaten!I$28,IF(Y15&lt;Bewertung_Stammdaten!J$29,Bewertung_Stammdaten!I$29,IF(Y15&lt;Bewertung_Stammdaten!J$30,Bewertung_Stammdaten!I$30,IF(Y15&lt;Bewertung_Stammdaten!J$31,Bewertung_Stammdaten!I$31,IF(Y15&lt;Bewertung_Stammdaten!J$32,Bewertung_Stammdaten!I$32,IF(Y15&lt;Bewertung_Stammdaten!J$33,Bewertung_Stammdaten!I$33,Bewertung_Stammdaten!I$34)))))))))</f>
        <v>6</v>
      </c>
      <c r="AC15" s="43"/>
      <c r="AD15" s="14">
        <f ca="1">VLOOKUP(A15,Ergebnis_je_Aktie_verwässert!A$3:AK$103,23,FALSE)</f>
        <v>14.25</v>
      </c>
      <c r="AE15" s="14">
        <f>VLOOKUP(A15,Ergebnis_je_Aktie_verwässert!A$3:AK$103,19,FALSE)</f>
        <v>12.759615384615385</v>
      </c>
      <c r="AF15" s="12">
        <f ca="1">VLOOKUP(A15,Ergebnis_je_Aktie_verwässert!A$3:AK$103,24,FALSE)</f>
        <v>0.11680482290881677</v>
      </c>
      <c r="AG15" s="40">
        <f>VLOOKUP(A15,Ergebnis_je_Aktie_verwässert!A$3:AK$103,37,FALSE)</f>
        <v>-8.7411824594574972E-2</v>
      </c>
      <c r="AH15" s="16">
        <f t="shared" ca="1" si="7"/>
        <v>13.004381499527307</v>
      </c>
      <c r="AI15" s="12">
        <f t="shared" ca="1" si="8"/>
        <v>1.9182875622336004E-2</v>
      </c>
      <c r="AJ15" s="32">
        <f ca="1">IF(AF15&lt;Bewertung_Stammdaten!B$38,Bewertung_Stammdaten!A$38,IF(AF15&lt;Bewertung_Stammdaten!B$39,Bewertung_Stammdaten!A$39,IF(AF15&lt;Bewertung_Stammdaten!B$40,Bewertung_Stammdaten!A$40,IF(AF15&lt;Bewertung_Stammdaten!B$41,Bewertung_Stammdaten!A$41,IF(AF15&lt;Bewertung_Stammdaten!B$42,Bewertung_Stammdaten!A$42,IF(AF15&lt;Bewertung_Stammdaten!B$43,Bewertung_Stammdaten!A$43,IF(AF15&lt;Bewertung_Stammdaten!B$44,Bewertung_Stammdaten!A$44,IF(AF15&lt;Bewertung_Stammdaten!B$45,Bewertung_Stammdaten!A$45,IF(AF15&lt;Bewertung_Stammdaten!B$46,Bewertung_Stammdaten!A$46,Bewertung_Stammdaten!A$47)))))))))</f>
        <v>10</v>
      </c>
      <c r="AK15" s="32">
        <f>IF(AG15&lt;Bewertung_Stammdaten!F$38,Bewertung_Stammdaten!E$38,IF(AG15&lt;Bewertung_Stammdaten!F$39,Bewertung_Stammdaten!E$39,IF(AG15&lt;Bewertung_Stammdaten!F$40,Bewertung_Stammdaten!E$40,IF(AG15&lt;Bewertung_Stammdaten!F$41,Bewertung_Stammdaten!E$41,IF(AG15&lt;Bewertung_Stammdaten!F$42,Bewertung_Stammdaten!E$42,IF(AG15&lt;Bewertung_Stammdaten!F$43,Bewertung_Stammdaten!E$43,IF(AG15&lt;Bewertung_Stammdaten!F$44,Bewertung_Stammdaten!E$44,IF(AG15&lt;Bewertung_Stammdaten!F$45,Bewertung_Stammdaten!E$45,IF(AG15&lt;Bewertung_Stammdaten!F$46,Bewertung_Stammdaten!E$46,Bewertung_Stammdaten!E$47)))))))))</f>
        <v>10.5</v>
      </c>
      <c r="AL15" s="32">
        <f ca="1">IF(AI15&lt;Bewertung_Stammdaten!J$38,Bewertung_Stammdaten!I$38,IF(AI15&lt;Bewertung_Stammdaten!J$39,Bewertung_Stammdaten!I$39,IF(AI15&lt;Bewertung_Stammdaten!J$40,Bewertung_Stammdaten!I$40,IF(AI15&lt;Bewertung_Stammdaten!J$41,Bewertung_Stammdaten!I$41,IF(AI15&lt;Bewertung_Stammdaten!J$42,Bewertung_Stammdaten!I$42,IF(AI15&lt;Bewertung_Stammdaten!J$43,Bewertung_Stammdaten!I$43,IF(AI15&lt;Bewertung_Stammdaten!J$44,Bewertung_Stammdaten!I$44,IF(AI15&lt;Bewertung_Stammdaten!J$45,Bewertung_Stammdaten!I$45,IF(AI15&lt;Bewertung_Stammdaten!J$46,Bewertung_Stammdaten!I$46,Bewertung_Stammdaten!I$47)))))))))</f>
        <v>4</v>
      </c>
      <c r="AM15" s="43"/>
      <c r="AN15" s="14">
        <f ca="1">VLOOKUP(A15,Dividende_je_Aktie!A$3:AM$103,24,FALSE)</f>
        <v>8.7460000000000004</v>
      </c>
      <c r="AO15" s="14">
        <f>VLOOKUP(A15,Dividende_je_Aktie!A$3:AM$103,20,FALSE)</f>
        <v>6.6778571428571425</v>
      </c>
      <c r="AP15" s="12">
        <f ca="1">VLOOKUP(A15,Dividende_je_Aktie!A$3:AM$103,25,FALSE)</f>
        <v>0.30970157236068041</v>
      </c>
      <c r="AQ15" s="40">
        <f>VLOOKUP(A15,Dividende_je_Aktie!A$3:AM$103,39,FALSE)</f>
        <v>1.2499999999999956E-2</v>
      </c>
      <c r="AR15" s="16">
        <f t="shared" ca="1" si="9"/>
        <v>8.7460000000000004</v>
      </c>
      <c r="AS15" s="12">
        <f t="shared" ca="1" si="10"/>
        <v>0.30970157236068041</v>
      </c>
      <c r="AT15" s="32">
        <f ca="1">IF(AP15&lt;Bewertung_Stammdaten!B$51,Bewertung_Stammdaten!A$51,IF(AP15&lt;Bewertung_Stammdaten!B$52,Bewertung_Stammdaten!A$52,IF(AP15&lt;Bewertung_Stammdaten!B$53,Bewertung_Stammdaten!A$53,IF(AP15&lt;Bewertung_Stammdaten!B$54,Bewertung_Stammdaten!A$54,IF(AP15&lt;Bewertung_Stammdaten!B$55,Bewertung_Stammdaten!A$55,IF(AP15&lt;Bewertung_Stammdaten!B$56,Bewertung_Stammdaten!A$56,IF(AP15&lt;Bewertung_Stammdaten!B$57,Bewertung_Stammdaten!A$57,IF(AP15&lt;Bewertung_Stammdaten!B$58,Bewertung_Stammdaten!A$58,IF(AP15&lt;Bewertung_Stammdaten!B$59,Bewertung_Stammdaten!A$59,Bewertung_Stammdaten!A$60)))))))))</f>
        <v>12</v>
      </c>
      <c r="AU15" s="32">
        <f>IF(AQ15&lt;Bewertung_Stammdaten!F$51,Bewertung_Stammdaten!E$51,IF(AQ15&lt;Bewertung_Stammdaten!F$52,Bewertung_Stammdaten!E$52,IF(AQ15&lt;Bewertung_Stammdaten!F$53,Bewertung_Stammdaten!E$53,IF(AQ15&lt;Bewertung_Stammdaten!F$54,Bewertung_Stammdaten!E$54,IF(AQ15&lt;Bewertung_Stammdaten!F$55,Bewertung_Stammdaten!E$55,IF(AQ15&lt;Bewertung_Stammdaten!F$56,Bewertung_Stammdaten!E$56,IF(AQ15&lt;Bewertung_Stammdaten!F$57,Bewertung_Stammdaten!E$57,IF(AQ15&lt;Bewertung_Stammdaten!F$58,Bewertung_Stammdaten!E$58,IF(AQ15&lt;Bewertung_Stammdaten!F$59,Bewertung_Stammdaten!E$59,Bewertung_Stammdaten!E$60)))))))))</f>
        <v>12</v>
      </c>
      <c r="AV15" s="32">
        <f ca="1">IF(AS15&lt;Bewertung_Stammdaten!J$51,Bewertung_Stammdaten!I$51,IF(AS15&lt;Bewertung_Stammdaten!J$52,Bewertung_Stammdaten!I$52,IF(AS15&lt;Bewertung_Stammdaten!J$53,Bewertung_Stammdaten!I$53,IF(AS15&lt;Bewertung_Stammdaten!J$54,Bewertung_Stammdaten!I$54,IF(AS15&lt;Bewertung_Stammdaten!J$55,Bewertung_Stammdaten!I$55,IF(AS15&lt;Bewertung_Stammdaten!J$56,Bewertung_Stammdaten!I$56,IF(AS15&lt;Bewertung_Stammdaten!J$57,Bewertung_Stammdaten!I$57,IF(AS15&lt;Bewertung_Stammdaten!J$58,Bewertung_Stammdaten!I$58,IF(AS15&lt;Bewertung_Stammdaten!J$59,Bewertung_Stammdaten!I$59,Bewertung_Stammdaten!I$60)))))))))</f>
        <v>7</v>
      </c>
      <c r="AW15" s="43"/>
      <c r="AX15" s="12">
        <f ca="1">VLOOKUP(A15,Dividendenrendite!A$3:R$103,17,FALSE)</f>
        <v>3.5932621199671326E-2</v>
      </c>
      <c r="AY15" s="12">
        <f>VLOOKUP(A15,Dividendenrendite!A$3:R$103,16,FALSE)</f>
        <v>3.1585590198355391E-2</v>
      </c>
      <c r="AZ15" s="12">
        <f ca="1">VLOOKUP(A15,Dividendenrendite!A$3:R$103,18,FALSE)</f>
        <v>0.13762703099789708</v>
      </c>
      <c r="BA15" s="32">
        <f ca="1">IF(AX15&lt;Bewertung_Stammdaten!B$64,Bewertung_Stammdaten!A$64,IF(AX15&lt;Bewertung_Stammdaten!B$65,Bewertung_Stammdaten!A$65,IF(AX15&lt;Bewertung_Stammdaten!B$66,Bewertung_Stammdaten!A$66,IF(AX15&lt;Bewertung_Stammdaten!B$67,Bewertung_Stammdaten!A$67,IF(AX15&lt;Bewertung_Stammdaten!B$68,Bewertung_Stammdaten!A$68,IF(AX15&lt;Bewertung_Stammdaten!B$69,Bewertung_Stammdaten!A$69,IF(AX15&lt;Bewertung_Stammdaten!B$70,Bewertung_Stammdaten!A$70,IF(AX15&lt;Bewertung_Stammdaten!B$71,Bewertung_Stammdaten!A$71,IF(AX15&lt;Bewertung_Stammdaten!B$72,Bewertung_Stammdaten!A$72,Bewertung_Stammdaten!A$73)))))))))</f>
        <v>12</v>
      </c>
      <c r="BB15" s="32">
        <f>IF(AY15&lt;Bewertung_Stammdaten!F$64,Bewertung_Stammdaten!E$64,IF(AY15&lt;Bewertung_Stammdaten!F$65,Bewertung_Stammdaten!E$65,IF(AY15&lt;Bewertung_Stammdaten!F$66,Bewertung_Stammdaten!E$66,IF(AY15&lt;Bewertung_Stammdaten!F$67,Bewertung_Stammdaten!E$67,IF(AY15&lt;Bewertung_Stammdaten!F$68,Bewertung_Stammdaten!E$68,IF(AY15&lt;Bewertung_Stammdaten!F$69,Bewertung_Stammdaten!E$69,IF(AY15&lt;Bewertung_Stammdaten!F$70,Bewertung_Stammdaten!E$70,IF(AY15&lt;Bewertung_Stammdaten!F$71,Bewertung_Stammdaten!E$71,IF(AY15&lt;Bewertung_Stammdaten!F$72,Bewertung_Stammdaten!E$72,Bewertung_Stammdaten!E$73)))))))))</f>
        <v>7</v>
      </c>
      <c r="BC15" s="32">
        <f ca="1">IF(AZ15&lt;Bewertung_Stammdaten!J$64,Bewertung_Stammdaten!I$64,IF(AZ15&lt;Bewertung_Stammdaten!J$65,Bewertung_Stammdaten!I$65,IF(AZ15&lt;Bewertung_Stammdaten!J$66,Bewertung_Stammdaten!I$66,IF(AZ15&lt;Bewertung_Stammdaten!J$67,Bewertung_Stammdaten!I$67,IF(AZ15&lt;Bewertung_Stammdaten!J$68,Bewertung_Stammdaten!I$68,IF(AZ15&lt;Bewertung_Stammdaten!J$69,Bewertung_Stammdaten!I$69,IF(AZ15&lt;Bewertung_Stammdaten!J$70,Bewertung_Stammdaten!I$70,IF(AZ15&lt;Bewertung_Stammdaten!J$71,Bewertung_Stammdaten!I$71,IF(AZ15&lt;Bewertung_Stammdaten!J$72,Bewertung_Stammdaten!I$72,Bewertung_Stammdaten!I$73)))))))))</f>
        <v>4</v>
      </c>
      <c r="BD15" s="43"/>
      <c r="BE15" s="12">
        <f>VLOOKUP(A15,Aktien_im_Umlauf_splitbereinigt!A$3:AB$103,28,FALSE)</f>
        <v>0</v>
      </c>
      <c r="BF15" s="12">
        <f>VLOOKUP(A15,Aktien_im_Umlauf_splitbereinigt!A$3:AA$103,26,FALSE)</f>
        <v>-4.6371435196035373E-6</v>
      </c>
      <c r="BG15" s="12">
        <f>VLOOKUP(A15,Aktien_im_Umlauf_splitbereinigt!A$3:AA$103,27,FALSE)</f>
        <v>-1</v>
      </c>
      <c r="BH15" s="41">
        <f>IF(BE15&lt;Bewertung_Stammdaten!B$77,Bewertung_Stammdaten!A$77,IF(BE15&lt;Bewertung_Stammdaten!B$78,Bewertung_Stammdaten!A$78,IF(BE15&lt;Bewertung_Stammdaten!B$79,Bewertung_Stammdaten!A$79,IF(BE15&lt;Bewertung_Stammdaten!B$80,Bewertung_Stammdaten!A$80,IF(BE15&lt;Bewertung_Stammdaten!B$81,Bewertung_Stammdaten!A$81,IF(BE15&lt;Bewertung_Stammdaten!B$82,Bewertung_Stammdaten!A$82,IF(BE15&lt;Bewertung_Stammdaten!B$83,Bewertung_Stammdaten!A$83,IF(BE15&lt;Bewertung_Stammdaten!B$84,Bewertung_Stammdaten!A$84,IF(BE15&lt;Bewertung_Stammdaten!B$85,Bewertung_Stammdaten!A$85,Bewertung_Stammdaten!A$86)))))))))</f>
        <v>2</v>
      </c>
      <c r="BI15" s="41">
        <f>IF(BF15&lt;Bewertung_Stammdaten!F$77,Bewertung_Stammdaten!E$77,IF(BF15&lt;Bewertung_Stammdaten!F$78,Bewertung_Stammdaten!E$78,IF(BF15&lt;Bewertung_Stammdaten!F$79,Bewertung_Stammdaten!E$79,IF(BF15&lt;Bewertung_Stammdaten!F$80,Bewertung_Stammdaten!E$80,IF(BF15&lt;Bewertung_Stammdaten!F$81,Bewertung_Stammdaten!E$81,IF(BF15&lt;Bewertung_Stammdaten!F$82,Bewertung_Stammdaten!E$82,IF(BF15&lt;Bewertung_Stammdaten!F$83,Bewertung_Stammdaten!E$83,IF(BF15&lt;Bewertung_Stammdaten!F$84,Bewertung_Stammdaten!E$84,IF(BF15&lt;Bewertung_Stammdaten!F$85,Bewertung_Stammdaten!E$85,Bewertung_Stammdaten!E$86)))))))))</f>
        <v>3</v>
      </c>
      <c r="BJ15" s="41">
        <f>IF(BG15&lt;Bewertung_Stammdaten!J$77,Bewertung_Stammdaten!I$77,IF(BG15&lt;Bewertung_Stammdaten!J$78,Bewertung_Stammdaten!I$78,IF(BG15&lt;Bewertung_Stammdaten!J$79,Bewertung_Stammdaten!I$79,IF(BG15&lt;Bewertung_Stammdaten!J$80,Bewertung_Stammdaten!I$80,IF(BG15&lt;Bewertung_Stammdaten!J$81,Bewertung_Stammdaten!I$81,IF(BG15&lt;Bewertung_Stammdaten!J$82,Bewertung_Stammdaten!I$82,IF(BG15&lt;Bewertung_Stammdaten!J$83,Bewertung_Stammdaten!I$83,IF(BG15&lt;Bewertung_Stammdaten!J$84,Bewertung_Stammdaten!I$84,IF(BG15&lt;Bewertung_Stammdaten!J$85,Bewertung_Stammdaten!I$85,Bewertung_Stammdaten!I$86)))))))))</f>
        <v>1</v>
      </c>
      <c r="BK15" s="43"/>
      <c r="BL15" s="12">
        <f ca="1">VLOOKUP(A15,Ausschüttungsquote!A$3:AL$103,37,FALSE)</f>
        <v>0.61420289855072463</v>
      </c>
      <c r="BM15" s="12">
        <f>VLOOKUP(A15,Ausschüttungsquote!A$3:AL$103,19,FALSE)</f>
        <v>0.54032493651596036</v>
      </c>
      <c r="BN15" s="12">
        <f ca="1">VLOOKUP(A15,Ausschüttungsquote!A$3:AL$103,38,FALSE)</f>
        <v>0.13684618511488411</v>
      </c>
      <c r="BO15" s="32">
        <f ca="1">IF(BL15&lt;Bewertung_Stammdaten!B$90,Bewertung_Stammdaten!A$90,IF(BL15&lt;Bewertung_Stammdaten!B$91,Bewertung_Stammdaten!A$91,IF(BL15&lt;Bewertung_Stammdaten!B$92,Bewertung_Stammdaten!A$92,IF(BL15&lt;Bewertung_Stammdaten!B$93,Bewertung_Stammdaten!A$93,IF(BL15&lt;Bewertung_Stammdaten!B$94,Bewertung_Stammdaten!A$94,IF(BL15&lt;Bewertung_Stammdaten!B$95,Bewertung_Stammdaten!A$95,IF(BL15&lt;Bewertung_Stammdaten!B$96,Bewertung_Stammdaten!A$96,IF(BL15&lt;Bewertung_Stammdaten!B$97,Bewertung_Stammdaten!A$97,IF(BL15&lt;Bewertung_Stammdaten!B$98,Bewertung_Stammdaten!A$98,Bewertung_Stammdaten!A$99)))))))))</f>
        <v>5</v>
      </c>
      <c r="BP15" s="41">
        <f>IF(BM15&lt;Bewertung_Stammdaten!F$90,Bewertung_Stammdaten!E$90,IF(BM15&lt;Bewertung_Stammdaten!F$91,Bewertung_Stammdaten!E$91,IF(BM15&lt;Bewertung_Stammdaten!F$92,Bewertung_Stammdaten!E$92,IF(BM15&lt;Bewertung_Stammdaten!F$93,Bewertung_Stammdaten!E$93,IF(BM15&lt;Bewertung_Stammdaten!F$94,Bewertung_Stammdaten!E$94,IF(BM15&lt;Bewertung_Stammdaten!F$95,Bewertung_Stammdaten!E$95,IF(BM15&lt;Bewertung_Stammdaten!F$96,Bewertung_Stammdaten!E$96,IF(BM15&lt;Bewertung_Stammdaten!F$97,Bewertung_Stammdaten!E$97,IF(BM15&lt;Bewertung_Stammdaten!F$98,Bewertung_Stammdaten!E$98,Bewertung_Stammdaten!E$99)))))))))</f>
        <v>7</v>
      </c>
      <c r="BQ15" s="32">
        <f ca="1">IF(BN15&lt;Bewertung_Stammdaten!J$90,Bewertung_Stammdaten!I$90,IF(BN15&lt;Bewertung_Stammdaten!J$91,Bewertung_Stammdaten!I$91,IF(BN15&lt;Bewertung_Stammdaten!J$92,Bewertung_Stammdaten!I$92,IF(BN15&lt;Bewertung_Stammdaten!J$93,Bewertung_Stammdaten!I$93,IF(BN15&lt;Bewertung_Stammdaten!J$94,Bewertung_Stammdaten!I$94,IF(BN15&lt;Bewertung_Stammdaten!J$95,Bewertung_Stammdaten!I$95,IF(BN15&lt;Bewertung_Stammdaten!J$96,Bewertung_Stammdaten!I$96,IF(BN15&lt;Bewertung_Stammdaten!J$97,Bewertung_Stammdaten!I$97,IF(BN15&lt;Bewertung_Stammdaten!J$98,Bewertung_Stammdaten!I$98,Bewertung_Stammdaten!I$99)))))))))</f>
        <v>3</v>
      </c>
    </row>
    <row r="16" spans="1:69">
      <c r="A16" s="38" t="s">
        <v>16</v>
      </c>
      <c r="B16" s="38" t="s">
        <v>17</v>
      </c>
      <c r="C16" s="38" t="s">
        <v>283</v>
      </c>
      <c r="D16" s="32">
        <f t="shared" ca="1" si="0"/>
        <v>170</v>
      </c>
      <c r="E16" s="43"/>
      <c r="F16" s="60">
        <v>1</v>
      </c>
      <c r="G16" s="11">
        <f ca="1">VLOOKUP(A16,KGV!A$3:R$103,17,FALSE)</f>
        <v>13.107544691301619</v>
      </c>
      <c r="H16" s="11">
        <f>VLOOKUP(A16,KGV!A$3:R$103,16,FALSE)</f>
        <v>14.114104595879558</v>
      </c>
      <c r="I16" s="12">
        <f ca="1">VLOOKUP(A16,KGV!A$3:R$103,18,FALSE)</f>
        <v>-7.1315888141553985E-2</v>
      </c>
      <c r="J16" s="16">
        <f t="shared" ca="1" si="1"/>
        <v>25.047090350705076</v>
      </c>
      <c r="K16" s="12">
        <f t="shared" ca="1" si="2"/>
        <v>0.77461419394732767</v>
      </c>
      <c r="L16" s="11">
        <f ca="1">VLOOKUP(A16,KBV!A$3:R$103,17,FALSE)</f>
        <v>1.9358803646420157</v>
      </c>
      <c r="M16" s="11">
        <f>VLOOKUP(A16,KBV!A$3:R$103,16,FALSE)</f>
        <v>2.1689785624211853</v>
      </c>
      <c r="N16" s="12">
        <f ca="1">VLOOKUP(A16,KBV!A$3:R$103,18,FALSE)</f>
        <v>-0.10746911095283807</v>
      </c>
      <c r="O16" s="16">
        <f t="shared" ca="1" si="3"/>
        <v>2.1160610190759486</v>
      </c>
      <c r="P16" s="12">
        <f t="shared" ca="1" si="4"/>
        <v>-2.4397448763239904E-2</v>
      </c>
      <c r="Q16" s="32">
        <f ca="1">IF(F16=1,IF(I16&lt;Bewertung_Stammdaten!B$12,Bewertung_Stammdaten!A$12,IF(I16&lt;Bewertung_Stammdaten!B$13,Bewertung_Stammdaten!A$13,IF(I16&lt;Bewertung_Stammdaten!B$14,Bewertung_Stammdaten!A$14,IF(I16&lt;Bewertung_Stammdaten!B$15,Bewertung_Stammdaten!A$15,IF(I16&lt;Bewertung_Stammdaten!B$16,Bewertung_Stammdaten!A$16,IF(I16&lt;Bewertung_Stammdaten!B$17,Bewertung_Stammdaten!A$17,IF(I16&lt;Bewertung_Stammdaten!B$18,Bewertung_Stammdaten!A$18,IF(I16&lt;Bewertung_Stammdaten!B$19,Bewertung_Stammdaten!A$19,IF(I16&lt;Bewertung_Stammdaten!B$20,Bewertung_Stammdaten!A$20,Bewertung_Stammdaten!A$21))))))))),IF(N16&lt;Bewertung_Stammdaten!C$12,Bewertung_Stammdaten!A$12,IF(N16&lt;Bewertung_Stammdaten!C$13,Bewertung_Stammdaten!A$13,IF(N16&lt;Bewertung_Stammdaten!C$14,Bewertung_Stammdaten!A$14,IF(N16&lt;Bewertung_Stammdaten!C$15,Bewertung_Stammdaten!A$15,IF(N16&lt;Bewertung_Stammdaten!C$16,Bewertung_Stammdaten!A$16,IF(N16&lt;Bewertung_Stammdaten!C$17,Bewertung_Stammdaten!A$17,IF(N16&lt;Bewertung_Stammdaten!C$18,Bewertung_Stammdaten!A$18,IF(N16&lt;Bewertung_Stammdaten!C$19,Bewertung_Stammdaten!A$19,IF(N16&lt;Bewertung_Stammdaten!C$20,Bewertung_Stammdaten!A$20,Bewertung_Stammdaten!A$21))))))))))</f>
        <v>48</v>
      </c>
      <c r="R16" s="32">
        <f ca="1">IF(F16=1,IF(K16&lt;Bewertung_Stammdaten!F$12,Bewertung_Stammdaten!E$12,IF(K16&lt;Bewertung_Stammdaten!F$13,Bewertung_Stammdaten!E$13,IF(K16&lt;Bewertung_Stammdaten!F$14,Bewertung_Stammdaten!E$14,IF(K16&lt;Bewertung_Stammdaten!F$15,Bewertung_Stammdaten!E$15,IF(K16&lt;Bewertung_Stammdaten!F$16,Bewertung_Stammdaten!E$16,IF(K16&lt;Bewertung_Stammdaten!F$17,Bewertung_Stammdaten!E$17,IF(K16&lt;Bewertung_Stammdaten!F$18,Bewertung_Stammdaten!E$18,IF(K16&lt;Bewertung_Stammdaten!F$19,Bewertung_Stammdaten!E$19,IF(K16&lt;Bewertung_Stammdaten!F$20,Bewertung_Stammdaten!E$20,Bewertung_Stammdaten!E$21))))))))),IF(P16&lt;Bewertung_Stammdaten!G$12,Bewertung_Stammdaten!E$12,IF(P16&lt;Bewertung_Stammdaten!G$13,Bewertung_Stammdaten!E$13,IF(P16&lt;Bewertung_Stammdaten!G$14,Bewertung_Stammdaten!E$14,IF(P16&lt;Bewertung_Stammdaten!G$15,Bewertung_Stammdaten!E$15,IF(P16&lt;Bewertung_Stammdaten!G$16,Bewertung_Stammdaten!E$16,IF(P16&lt;Bewertung_Stammdaten!G$17,Bewertung_Stammdaten!E$17,IF(P16&lt;Bewertung_Stammdaten!G$18,Bewertung_Stammdaten!E$18,IF(P16&lt;Bewertung_Stammdaten!G$19,Bewertung_Stammdaten!E$19,IF(P16&lt;Bewertung_Stammdaten!G$20,Bewertung_Stammdaten!E$20,Bewertung_Stammdaten!E$21))))))))))</f>
        <v>2.5</v>
      </c>
      <c r="S16" s="43"/>
      <c r="T16" s="11">
        <f ca="1">VLOOKUP(A16,Buchwert_je_Aktie!A$3:AK$103,23,FALSE)</f>
        <v>46.103055555555557</v>
      </c>
      <c r="U16" s="11">
        <f>VLOOKUP(A16,Buchwert_je_Aktie!A$3:AK$103,19,FALSE)</f>
        <v>36.377692307692307</v>
      </c>
      <c r="V16" s="12">
        <f ca="1">VLOOKUP(A16,Buchwert_je_Aktie!A$3:AK$103,24,FALSE)</f>
        <v>0.26734415051959615</v>
      </c>
      <c r="W16" s="12">
        <f>VLOOKUP(A16,Buchwert_je_Aktie!A$3:AK$103,37,FALSE)</f>
        <v>-8.5149082568807377E-2</v>
      </c>
      <c r="X16" s="16">
        <f t="shared" ca="1" si="5"/>
        <v>42.177422671381244</v>
      </c>
      <c r="Y16" s="12">
        <f t="shared" ca="1" si="6"/>
        <v>0.15943095880390801</v>
      </c>
      <c r="Z16" s="51">
        <f ca="1">IF(V16&lt;Bewertung_Stammdaten!B$25,Bewertung_Stammdaten!A$25,IF(V16&lt;Bewertung_Stammdaten!B$26,Bewertung_Stammdaten!A$26,IF(V16&lt;Bewertung_Stammdaten!B$27,Bewertung_Stammdaten!A$27,IF(V16&lt;Bewertung_Stammdaten!B$28,Bewertung_Stammdaten!A$28,IF(V16&lt;Bewertung_Stammdaten!B$29,Bewertung_Stammdaten!A$29,IF(V16&lt;Bewertung_Stammdaten!B$30,Bewertung_Stammdaten!A$30,IF(V16&lt;Bewertung_Stammdaten!B$31,Bewertung_Stammdaten!A$31,IF(V16&lt;Bewertung_Stammdaten!B$32,Bewertung_Stammdaten!A$32,IF(V16&lt;Bewertung_Stammdaten!B$33,Bewertung_Stammdaten!A$33,Bewertung_Stammdaten!A$34)))))))))</f>
        <v>7.5</v>
      </c>
      <c r="AA16" s="51">
        <f>IF(W16&lt;Bewertung_Stammdaten!F$25,Bewertung_Stammdaten!E$25,IF(W16&lt;Bewertung_Stammdaten!F$26,Bewertung_Stammdaten!E$26,IF(W16&lt;Bewertung_Stammdaten!F$27,Bewertung_Stammdaten!E$27,IF(W16&lt;Bewertung_Stammdaten!F$28,Bewertung_Stammdaten!E$28,IF(W16&lt;Bewertung_Stammdaten!F$29,Bewertung_Stammdaten!E$29,IF(W16&lt;Bewertung_Stammdaten!F$30,Bewertung_Stammdaten!E$30,IF(W16&lt;Bewertung_Stammdaten!F$31,Bewertung_Stammdaten!E$31,IF(W16&lt;Bewertung_Stammdaten!F$32,Bewertung_Stammdaten!E$32,IF(W16&lt;Bewertung_Stammdaten!F$33,Bewertung_Stammdaten!E$33,Bewertung_Stammdaten!E$34)))))))))</f>
        <v>9</v>
      </c>
      <c r="AB16" s="51">
        <f ca="1">IF(Y16&lt;Bewertung_Stammdaten!J$25,Bewertung_Stammdaten!I$25,IF(Y16&lt;Bewertung_Stammdaten!J$26,Bewertung_Stammdaten!I$26,IF(Y16&lt;Bewertung_Stammdaten!J$27,Bewertung_Stammdaten!I$27,IF(Y16&lt;Bewertung_Stammdaten!J$28,Bewertung_Stammdaten!I$28,IF(Y16&lt;Bewertung_Stammdaten!J$29,Bewertung_Stammdaten!I$29,IF(Y16&lt;Bewertung_Stammdaten!J$30,Bewertung_Stammdaten!I$30,IF(Y16&lt;Bewertung_Stammdaten!J$31,Bewertung_Stammdaten!I$31,IF(Y16&lt;Bewertung_Stammdaten!J$32,Bewertung_Stammdaten!I$32,IF(Y16&lt;Bewertung_Stammdaten!J$33,Bewertung_Stammdaten!I$33,Bewertung_Stammdaten!I$34)))))))))</f>
        <v>4</v>
      </c>
      <c r="AC16" s="43"/>
      <c r="AD16" s="14">
        <f ca="1">VLOOKUP(A16,Ergebnis_je_Aktie_verwässert!A$3:AK$103,23,FALSE)</f>
        <v>6.8090555555555543</v>
      </c>
      <c r="AE16" s="14">
        <f>VLOOKUP(A16,Ergebnis_je_Aktie_verwässert!A$3:AK$103,19,FALSE)</f>
        <v>5.363846153846155</v>
      </c>
      <c r="AF16" s="12">
        <f ca="1">VLOOKUP(A16,Ergebnis_je_Aktie_verwässert!A$3:AK$103,24,FALSE)</f>
        <v>0.2694352821199224</v>
      </c>
      <c r="AG16" s="40">
        <f>VLOOKUP(A16,Ergebnis_je_Aktie_verwässert!A$3:AK$103,37,FALSE)</f>
        <v>-0.47668393782383423</v>
      </c>
      <c r="AH16" s="16">
        <f t="shared" ca="1" si="7"/>
        <v>3.5632881404720775</v>
      </c>
      <c r="AI16" s="12">
        <f t="shared" ca="1" si="8"/>
        <v>-0.33568412697351213</v>
      </c>
      <c r="AJ16" s="32">
        <f ca="1">IF(AF16&lt;Bewertung_Stammdaten!B$38,Bewertung_Stammdaten!A$38,IF(AF16&lt;Bewertung_Stammdaten!B$39,Bewertung_Stammdaten!A$39,IF(AF16&lt;Bewertung_Stammdaten!B$40,Bewertung_Stammdaten!A$40,IF(AF16&lt;Bewertung_Stammdaten!B$41,Bewertung_Stammdaten!A$41,IF(AF16&lt;Bewertung_Stammdaten!B$42,Bewertung_Stammdaten!A$42,IF(AF16&lt;Bewertung_Stammdaten!B$43,Bewertung_Stammdaten!A$43,IF(AF16&lt;Bewertung_Stammdaten!B$44,Bewertung_Stammdaten!A$44,IF(AF16&lt;Bewertung_Stammdaten!B$45,Bewertung_Stammdaten!A$45,IF(AF16&lt;Bewertung_Stammdaten!B$46,Bewertung_Stammdaten!A$46,Bewertung_Stammdaten!A$47)))))))))</f>
        <v>12</v>
      </c>
      <c r="AK16" s="32">
        <f>IF(AG16&lt;Bewertung_Stammdaten!F$38,Bewertung_Stammdaten!E$38,IF(AG16&lt;Bewertung_Stammdaten!F$39,Bewertung_Stammdaten!E$39,IF(AG16&lt;Bewertung_Stammdaten!F$40,Bewertung_Stammdaten!E$40,IF(AG16&lt;Bewertung_Stammdaten!F$41,Bewertung_Stammdaten!E$41,IF(AG16&lt;Bewertung_Stammdaten!F$42,Bewertung_Stammdaten!E$42,IF(AG16&lt;Bewertung_Stammdaten!F$43,Bewertung_Stammdaten!E$43,IF(AG16&lt;Bewertung_Stammdaten!F$44,Bewertung_Stammdaten!E$44,IF(AG16&lt;Bewertung_Stammdaten!F$45,Bewertung_Stammdaten!E$45,IF(AG16&lt;Bewertung_Stammdaten!F$46,Bewertung_Stammdaten!E$46,Bewertung_Stammdaten!E$47)))))))))</f>
        <v>4.5</v>
      </c>
      <c r="AL16" s="32">
        <f ca="1">IF(AI16&lt;Bewertung_Stammdaten!J$38,Bewertung_Stammdaten!I$38,IF(AI16&lt;Bewertung_Stammdaten!J$39,Bewertung_Stammdaten!I$39,IF(AI16&lt;Bewertung_Stammdaten!J$40,Bewertung_Stammdaten!I$40,IF(AI16&lt;Bewertung_Stammdaten!J$41,Bewertung_Stammdaten!I$41,IF(AI16&lt;Bewertung_Stammdaten!J$42,Bewertung_Stammdaten!I$42,IF(AI16&lt;Bewertung_Stammdaten!J$43,Bewertung_Stammdaten!I$43,IF(AI16&lt;Bewertung_Stammdaten!J$44,Bewertung_Stammdaten!I$44,IF(AI16&lt;Bewertung_Stammdaten!J$45,Bewertung_Stammdaten!I$45,IF(AI16&lt;Bewertung_Stammdaten!J$46,Bewertung_Stammdaten!I$46,Bewertung_Stammdaten!I$47)))))))))</f>
        <v>1</v>
      </c>
      <c r="AM16" s="43"/>
      <c r="AN16" s="14">
        <f ca="1">VLOOKUP(A16,Dividende_je_Aktie!A$3:AM$103,24,FALSE)</f>
        <v>3.7260833333333334</v>
      </c>
      <c r="AO16" s="14">
        <f>VLOOKUP(A16,Dividende_je_Aktie!A$3:AM$103,20,FALSE)</f>
        <v>2.6771428571428575</v>
      </c>
      <c r="AP16" s="12">
        <f ca="1">VLOOKUP(A16,Dividende_je_Aktie!A$3:AM$103,25,FALSE)</f>
        <v>0.39181341159729621</v>
      </c>
      <c r="AQ16" s="40">
        <f>VLOOKUP(A16,Dividende_je_Aktie!A$3:AM$103,39,FALSE)</f>
        <v>0</v>
      </c>
      <c r="AR16" s="16">
        <f t="shared" ca="1" si="9"/>
        <v>3.7260833333333334</v>
      </c>
      <c r="AS16" s="12">
        <f t="shared" ca="1" si="10"/>
        <v>0.39181341159729621</v>
      </c>
      <c r="AT16" s="32">
        <f ca="1">IF(AP16&lt;Bewertung_Stammdaten!B$51,Bewertung_Stammdaten!A$51,IF(AP16&lt;Bewertung_Stammdaten!B$52,Bewertung_Stammdaten!A$52,IF(AP16&lt;Bewertung_Stammdaten!B$53,Bewertung_Stammdaten!A$53,IF(AP16&lt;Bewertung_Stammdaten!B$54,Bewertung_Stammdaten!A$54,IF(AP16&lt;Bewertung_Stammdaten!B$55,Bewertung_Stammdaten!A$55,IF(AP16&lt;Bewertung_Stammdaten!B$56,Bewertung_Stammdaten!A$56,IF(AP16&lt;Bewertung_Stammdaten!B$57,Bewertung_Stammdaten!A$57,IF(AP16&lt;Bewertung_Stammdaten!B$58,Bewertung_Stammdaten!A$58,IF(AP16&lt;Bewertung_Stammdaten!B$59,Bewertung_Stammdaten!A$59,Bewertung_Stammdaten!A$60)))))))))</f>
        <v>12</v>
      </c>
      <c r="AU16" s="32">
        <f>IF(AQ16&lt;Bewertung_Stammdaten!F$51,Bewertung_Stammdaten!E$51,IF(AQ16&lt;Bewertung_Stammdaten!F$52,Bewertung_Stammdaten!E$52,IF(AQ16&lt;Bewertung_Stammdaten!F$53,Bewertung_Stammdaten!E$53,IF(AQ16&lt;Bewertung_Stammdaten!F$54,Bewertung_Stammdaten!E$54,IF(AQ16&lt;Bewertung_Stammdaten!F$55,Bewertung_Stammdaten!E$55,IF(AQ16&lt;Bewertung_Stammdaten!F$56,Bewertung_Stammdaten!E$56,IF(AQ16&lt;Bewertung_Stammdaten!F$57,Bewertung_Stammdaten!E$57,IF(AQ16&lt;Bewertung_Stammdaten!F$58,Bewertung_Stammdaten!E$58,IF(AQ16&lt;Bewertung_Stammdaten!F$59,Bewertung_Stammdaten!E$59,Bewertung_Stammdaten!E$60)))))))))</f>
        <v>12</v>
      </c>
      <c r="AV16" s="32">
        <f ca="1">IF(AS16&lt;Bewertung_Stammdaten!J$51,Bewertung_Stammdaten!I$51,IF(AS16&lt;Bewertung_Stammdaten!J$52,Bewertung_Stammdaten!I$52,IF(AS16&lt;Bewertung_Stammdaten!J$53,Bewertung_Stammdaten!I$53,IF(AS16&lt;Bewertung_Stammdaten!J$54,Bewertung_Stammdaten!I$54,IF(AS16&lt;Bewertung_Stammdaten!J$55,Bewertung_Stammdaten!I$55,IF(AS16&lt;Bewertung_Stammdaten!J$56,Bewertung_Stammdaten!I$56,IF(AS16&lt;Bewertung_Stammdaten!J$57,Bewertung_Stammdaten!I$57,IF(AS16&lt;Bewertung_Stammdaten!J$58,Bewertung_Stammdaten!I$58,IF(AS16&lt;Bewertung_Stammdaten!J$59,Bewertung_Stammdaten!I$59,Bewertung_Stammdaten!I$60)))))))))</f>
        <v>8</v>
      </c>
      <c r="AW16" s="43"/>
      <c r="AX16" s="12">
        <f ca="1">VLOOKUP(A16,Dividendenrendite!A$3:R$103,17,FALSE)</f>
        <v>4.1748832866479929E-2</v>
      </c>
      <c r="AY16" s="12">
        <f>VLOOKUP(A16,Dividendenrendite!A$3:R$103,16,FALSE)</f>
        <v>3.243080943604347E-2</v>
      </c>
      <c r="AZ16" s="12">
        <f ca="1">VLOOKUP(A16,Dividendenrendite!A$3:R$103,18,FALSE)</f>
        <v>0.28732010062260249</v>
      </c>
      <c r="BA16" s="32">
        <f ca="1">IF(AX16&lt;Bewertung_Stammdaten!B$64,Bewertung_Stammdaten!A$64,IF(AX16&lt;Bewertung_Stammdaten!B$65,Bewertung_Stammdaten!A$65,IF(AX16&lt;Bewertung_Stammdaten!B$66,Bewertung_Stammdaten!A$66,IF(AX16&lt;Bewertung_Stammdaten!B$67,Bewertung_Stammdaten!A$67,IF(AX16&lt;Bewertung_Stammdaten!B$68,Bewertung_Stammdaten!A$68,IF(AX16&lt;Bewertung_Stammdaten!B$69,Bewertung_Stammdaten!A$69,IF(AX16&lt;Bewertung_Stammdaten!B$70,Bewertung_Stammdaten!A$70,IF(AX16&lt;Bewertung_Stammdaten!B$71,Bewertung_Stammdaten!A$71,IF(AX16&lt;Bewertung_Stammdaten!B$72,Bewertung_Stammdaten!A$72,Bewertung_Stammdaten!A$73)))))))))</f>
        <v>13.5</v>
      </c>
      <c r="BB16" s="32">
        <f>IF(AY16&lt;Bewertung_Stammdaten!F$64,Bewertung_Stammdaten!E$64,IF(AY16&lt;Bewertung_Stammdaten!F$65,Bewertung_Stammdaten!E$65,IF(AY16&lt;Bewertung_Stammdaten!F$66,Bewertung_Stammdaten!E$66,IF(AY16&lt;Bewertung_Stammdaten!F$67,Bewertung_Stammdaten!E$67,IF(AY16&lt;Bewertung_Stammdaten!F$68,Bewertung_Stammdaten!E$68,IF(AY16&lt;Bewertung_Stammdaten!F$69,Bewertung_Stammdaten!E$69,IF(AY16&lt;Bewertung_Stammdaten!F$70,Bewertung_Stammdaten!E$70,IF(AY16&lt;Bewertung_Stammdaten!F$71,Bewertung_Stammdaten!E$71,IF(AY16&lt;Bewertung_Stammdaten!F$72,Bewertung_Stammdaten!E$72,Bewertung_Stammdaten!E$73)))))))))</f>
        <v>7</v>
      </c>
      <c r="BC16" s="32">
        <f ca="1">IF(AZ16&lt;Bewertung_Stammdaten!J$64,Bewertung_Stammdaten!I$64,IF(AZ16&lt;Bewertung_Stammdaten!J$65,Bewertung_Stammdaten!I$65,IF(AZ16&lt;Bewertung_Stammdaten!J$66,Bewertung_Stammdaten!I$66,IF(AZ16&lt;Bewertung_Stammdaten!J$67,Bewertung_Stammdaten!I$67,IF(AZ16&lt;Bewertung_Stammdaten!J$68,Bewertung_Stammdaten!I$68,IF(AZ16&lt;Bewertung_Stammdaten!J$69,Bewertung_Stammdaten!I$69,IF(AZ16&lt;Bewertung_Stammdaten!J$70,Bewertung_Stammdaten!I$70,IF(AZ16&lt;Bewertung_Stammdaten!J$71,Bewertung_Stammdaten!I$71,IF(AZ16&lt;Bewertung_Stammdaten!J$72,Bewertung_Stammdaten!I$72,Bewertung_Stammdaten!I$73)))))))))</f>
        <v>5</v>
      </c>
      <c r="BD16" s="43"/>
      <c r="BE16" s="12">
        <f>VLOOKUP(A16,Aktien_im_Umlauf_splitbereinigt!A$3:AB$103,28,FALSE)</f>
        <v>0</v>
      </c>
      <c r="BF16" s="12">
        <f>VLOOKUP(A16,Aktien_im_Umlauf_splitbereinigt!A$3:AA$103,26,FALSE)</f>
        <v>-1.0277745244565151E-3</v>
      </c>
      <c r="BG16" s="12">
        <f>VLOOKUP(A16,Aktien_im_Umlauf_splitbereinigt!A$3:AA$103,27,FALSE)</f>
        <v>-1</v>
      </c>
      <c r="BH16" s="41">
        <f>IF(BE16&lt;Bewertung_Stammdaten!B$77,Bewertung_Stammdaten!A$77,IF(BE16&lt;Bewertung_Stammdaten!B$78,Bewertung_Stammdaten!A$78,IF(BE16&lt;Bewertung_Stammdaten!B$79,Bewertung_Stammdaten!A$79,IF(BE16&lt;Bewertung_Stammdaten!B$80,Bewertung_Stammdaten!A$80,IF(BE16&lt;Bewertung_Stammdaten!B$81,Bewertung_Stammdaten!A$81,IF(BE16&lt;Bewertung_Stammdaten!B$82,Bewertung_Stammdaten!A$82,IF(BE16&lt;Bewertung_Stammdaten!B$83,Bewertung_Stammdaten!A$83,IF(BE16&lt;Bewertung_Stammdaten!B$84,Bewertung_Stammdaten!A$84,IF(BE16&lt;Bewertung_Stammdaten!B$85,Bewertung_Stammdaten!A$85,Bewertung_Stammdaten!A$86)))))))))</f>
        <v>2</v>
      </c>
      <c r="BI16" s="41">
        <f>IF(BF16&lt;Bewertung_Stammdaten!F$77,Bewertung_Stammdaten!E$77,IF(BF16&lt;Bewertung_Stammdaten!F$78,Bewertung_Stammdaten!E$78,IF(BF16&lt;Bewertung_Stammdaten!F$79,Bewertung_Stammdaten!E$79,IF(BF16&lt;Bewertung_Stammdaten!F$80,Bewertung_Stammdaten!E$80,IF(BF16&lt;Bewertung_Stammdaten!F$81,Bewertung_Stammdaten!E$81,IF(BF16&lt;Bewertung_Stammdaten!F$82,Bewertung_Stammdaten!E$82,IF(BF16&lt;Bewertung_Stammdaten!F$83,Bewertung_Stammdaten!E$83,IF(BF16&lt;Bewertung_Stammdaten!F$84,Bewertung_Stammdaten!E$84,IF(BF16&lt;Bewertung_Stammdaten!F$85,Bewertung_Stammdaten!E$85,Bewertung_Stammdaten!E$86)))))))))</f>
        <v>3</v>
      </c>
      <c r="BJ16" s="41">
        <f>IF(BG16&lt;Bewertung_Stammdaten!J$77,Bewertung_Stammdaten!I$77,IF(BG16&lt;Bewertung_Stammdaten!J$78,Bewertung_Stammdaten!I$78,IF(BG16&lt;Bewertung_Stammdaten!J$79,Bewertung_Stammdaten!I$79,IF(BG16&lt;Bewertung_Stammdaten!J$80,Bewertung_Stammdaten!I$80,IF(BG16&lt;Bewertung_Stammdaten!J$81,Bewertung_Stammdaten!I$81,IF(BG16&lt;Bewertung_Stammdaten!J$82,Bewertung_Stammdaten!I$82,IF(BG16&lt;Bewertung_Stammdaten!J$83,Bewertung_Stammdaten!I$83,IF(BG16&lt;Bewertung_Stammdaten!J$84,Bewertung_Stammdaten!I$84,IF(BG16&lt;Bewertung_Stammdaten!J$85,Bewertung_Stammdaten!I$85,Bewertung_Stammdaten!I$86)))))))))</f>
        <v>1</v>
      </c>
      <c r="BK16" s="43"/>
      <c r="BL16" s="12">
        <f ca="1">VLOOKUP(A16,Ausschüttungsquote!A$3:AL$103,37,FALSE)</f>
        <v>0.5480051378190165</v>
      </c>
      <c r="BM16" s="12">
        <f>VLOOKUP(A16,Ausschüttungsquote!A$3:AL$103,19,FALSE)</f>
        <v>0.58410374317583313</v>
      </c>
      <c r="BN16" s="12">
        <f ca="1">VLOOKUP(A16,Ausschüttungsquote!A$3:AL$103,38,FALSE)</f>
        <v>1.5829595189179146E-2</v>
      </c>
      <c r="BO16" s="32">
        <f ca="1">IF(BL16&lt;Bewertung_Stammdaten!B$90,Bewertung_Stammdaten!A$90,IF(BL16&lt;Bewertung_Stammdaten!B$91,Bewertung_Stammdaten!A$91,IF(BL16&lt;Bewertung_Stammdaten!B$92,Bewertung_Stammdaten!A$92,IF(BL16&lt;Bewertung_Stammdaten!B$93,Bewertung_Stammdaten!A$93,IF(BL16&lt;Bewertung_Stammdaten!B$94,Bewertung_Stammdaten!A$94,IF(BL16&lt;Bewertung_Stammdaten!B$95,Bewertung_Stammdaten!A$95,IF(BL16&lt;Bewertung_Stammdaten!B$96,Bewertung_Stammdaten!A$96,IF(BL16&lt;Bewertung_Stammdaten!B$97,Bewertung_Stammdaten!A$97,IF(BL16&lt;Bewertung_Stammdaten!B$98,Bewertung_Stammdaten!A$98,Bewertung_Stammdaten!A$99)))))))))</f>
        <v>7</v>
      </c>
      <c r="BP16" s="41">
        <f>IF(BM16&lt;Bewertung_Stammdaten!F$90,Bewertung_Stammdaten!E$90,IF(BM16&lt;Bewertung_Stammdaten!F$91,Bewertung_Stammdaten!E$91,IF(BM16&lt;Bewertung_Stammdaten!F$92,Bewertung_Stammdaten!E$92,IF(BM16&lt;Bewertung_Stammdaten!F$93,Bewertung_Stammdaten!E$93,IF(BM16&lt;Bewertung_Stammdaten!F$94,Bewertung_Stammdaten!E$94,IF(BM16&lt;Bewertung_Stammdaten!F$95,Bewertung_Stammdaten!E$95,IF(BM16&lt;Bewertung_Stammdaten!F$96,Bewertung_Stammdaten!E$96,IF(BM16&lt;Bewertung_Stammdaten!F$97,Bewertung_Stammdaten!E$97,IF(BM16&lt;Bewertung_Stammdaten!F$98,Bewertung_Stammdaten!E$98,Bewertung_Stammdaten!E$99)))))))))</f>
        <v>6</v>
      </c>
      <c r="BQ16" s="32">
        <f ca="1">IF(BN16&lt;Bewertung_Stammdaten!J$90,Bewertung_Stammdaten!I$90,IF(BN16&lt;Bewertung_Stammdaten!J$91,Bewertung_Stammdaten!I$91,IF(BN16&lt;Bewertung_Stammdaten!J$92,Bewertung_Stammdaten!I$92,IF(BN16&lt;Bewertung_Stammdaten!J$93,Bewertung_Stammdaten!I$93,IF(BN16&lt;Bewertung_Stammdaten!J$94,Bewertung_Stammdaten!I$94,IF(BN16&lt;Bewertung_Stammdaten!J$95,Bewertung_Stammdaten!I$95,IF(BN16&lt;Bewertung_Stammdaten!J$96,Bewertung_Stammdaten!I$96,IF(BN16&lt;Bewertung_Stammdaten!J$97,Bewertung_Stammdaten!I$97,IF(BN16&lt;Bewertung_Stammdaten!J$98,Bewertung_Stammdaten!I$98,Bewertung_Stammdaten!I$99)))))))))</f>
        <v>5</v>
      </c>
    </row>
    <row r="17" spans="1:69">
      <c r="A17" s="55" t="s">
        <v>312</v>
      </c>
      <c r="B17" s="55" t="s">
        <v>313</v>
      </c>
      <c r="C17" s="55" t="s">
        <v>283</v>
      </c>
      <c r="D17" s="32">
        <f t="shared" ca="1" si="0"/>
        <v>170.5</v>
      </c>
      <c r="E17" s="43"/>
      <c r="F17" s="60">
        <v>1</v>
      </c>
      <c r="G17" s="11">
        <f ca="1">VLOOKUP(A17,KGV!A$3:R$103,17,FALSE)</f>
        <v>21.077844311377248</v>
      </c>
      <c r="H17" s="11">
        <f>VLOOKUP(A17,KGV!A$3:R$103,16,FALSE)</f>
        <v>16.670529161838548</v>
      </c>
      <c r="I17" s="12">
        <f ca="1">VLOOKUP(A17,KGV!A$3:R$103,18,FALSE)</f>
        <v>0.26437763953094762</v>
      </c>
      <c r="J17" s="16">
        <f t="shared" ca="1" si="1"/>
        <v>21.077844311377248</v>
      </c>
      <c r="K17" s="12">
        <f t="shared" ca="1" si="2"/>
        <v>0.26437763953094762</v>
      </c>
      <c r="L17" s="11">
        <f ca="1">VLOOKUP(A17,KBV!A$3:R$103,17,FALSE)</f>
        <v>2.7169811320754715</v>
      </c>
      <c r="M17" s="11">
        <f>VLOOKUP(A17,KBV!A$3:R$103,16,FALSE)</f>
        <v>2.1536926147704589</v>
      </c>
      <c r="N17" s="12">
        <f ca="1">VLOOKUP(A17,KBV!A$3:R$103,18,FALSE)</f>
        <v>0.26154545613513558</v>
      </c>
      <c r="O17" s="16">
        <f t="shared" ca="1" si="3"/>
        <v>2.7169811320754715</v>
      </c>
      <c r="P17" s="12">
        <f t="shared" ca="1" si="4"/>
        <v>0.26154545613513558</v>
      </c>
      <c r="Q17" s="32">
        <f ca="1">IF(F17=1,IF(I17&lt;Bewertung_Stammdaten!B$12,Bewertung_Stammdaten!A$12,IF(I17&lt;Bewertung_Stammdaten!B$13,Bewertung_Stammdaten!A$13,IF(I17&lt;Bewertung_Stammdaten!B$14,Bewertung_Stammdaten!A$14,IF(I17&lt;Bewertung_Stammdaten!B$15,Bewertung_Stammdaten!A$15,IF(I17&lt;Bewertung_Stammdaten!B$16,Bewertung_Stammdaten!A$16,IF(I17&lt;Bewertung_Stammdaten!B$17,Bewertung_Stammdaten!A$17,IF(I17&lt;Bewertung_Stammdaten!B$18,Bewertung_Stammdaten!A$18,IF(I17&lt;Bewertung_Stammdaten!B$19,Bewertung_Stammdaten!A$19,IF(I17&lt;Bewertung_Stammdaten!B$20,Bewertung_Stammdaten!A$20,Bewertung_Stammdaten!A$21))))))))),IF(N17&lt;Bewertung_Stammdaten!C$12,Bewertung_Stammdaten!A$12,IF(N17&lt;Bewertung_Stammdaten!C$13,Bewertung_Stammdaten!A$13,IF(N17&lt;Bewertung_Stammdaten!C$14,Bewertung_Stammdaten!A$14,IF(N17&lt;Bewertung_Stammdaten!C$15,Bewertung_Stammdaten!A$15,IF(N17&lt;Bewertung_Stammdaten!C$16,Bewertung_Stammdaten!A$16,IF(N17&lt;Bewertung_Stammdaten!C$17,Bewertung_Stammdaten!A$17,IF(N17&lt;Bewertung_Stammdaten!C$18,Bewertung_Stammdaten!A$18,IF(N17&lt;Bewertung_Stammdaten!C$19,Bewertung_Stammdaten!A$19,IF(N17&lt;Bewertung_Stammdaten!C$20,Bewertung_Stammdaten!A$20,Bewertung_Stammdaten!A$21))))))))))</f>
        <v>6</v>
      </c>
      <c r="R17" s="32">
        <f ca="1">IF(F17=1,IF(K17&lt;Bewertung_Stammdaten!F$12,Bewertung_Stammdaten!E$12,IF(K17&lt;Bewertung_Stammdaten!F$13,Bewertung_Stammdaten!E$13,IF(K17&lt;Bewertung_Stammdaten!F$14,Bewertung_Stammdaten!E$14,IF(K17&lt;Bewertung_Stammdaten!F$15,Bewertung_Stammdaten!E$15,IF(K17&lt;Bewertung_Stammdaten!F$16,Bewertung_Stammdaten!E$16,IF(K17&lt;Bewertung_Stammdaten!F$17,Bewertung_Stammdaten!E$17,IF(K17&lt;Bewertung_Stammdaten!F$18,Bewertung_Stammdaten!E$18,IF(K17&lt;Bewertung_Stammdaten!F$19,Bewertung_Stammdaten!E$19,IF(K17&lt;Bewertung_Stammdaten!F$20,Bewertung_Stammdaten!E$20,Bewertung_Stammdaten!E$21))))))))),IF(P17&lt;Bewertung_Stammdaten!G$12,Bewertung_Stammdaten!E$12,IF(P17&lt;Bewertung_Stammdaten!G$13,Bewertung_Stammdaten!E$13,IF(P17&lt;Bewertung_Stammdaten!G$14,Bewertung_Stammdaten!E$14,IF(P17&lt;Bewertung_Stammdaten!G$15,Bewertung_Stammdaten!E$15,IF(P17&lt;Bewertung_Stammdaten!G$16,Bewertung_Stammdaten!E$16,IF(P17&lt;Bewertung_Stammdaten!G$17,Bewertung_Stammdaten!E$17,IF(P17&lt;Bewertung_Stammdaten!G$18,Bewertung_Stammdaten!E$18,IF(P17&lt;Bewertung_Stammdaten!G$19,Bewertung_Stammdaten!E$19,IF(P17&lt;Bewertung_Stammdaten!G$20,Bewertung_Stammdaten!E$20,Bewertung_Stammdaten!E$21))))))))))</f>
        <v>10</v>
      </c>
      <c r="S17" s="43"/>
      <c r="T17" s="11">
        <f ca="1">VLOOKUP(A17,Buchwert_je_Aktie!A$3:AK$103,23,FALSE)</f>
        <v>23.32</v>
      </c>
      <c r="U17" s="11">
        <f>VLOOKUP(A17,Buchwert_je_Aktie!A$3:AK$103,19,FALSE)</f>
        <v>15.070769230769233</v>
      </c>
      <c r="V17" s="12">
        <f ca="1">VLOOKUP(A17,Buchwert_je_Aktie!A$3:AK$103,24,FALSE)</f>
        <v>0.54736627194773346</v>
      </c>
      <c r="W17" s="12">
        <f>VLOOKUP(A17,Buchwert_je_Aktie!A$3:AK$103,37,FALSE)</f>
        <v>6.4425770308123242E-2</v>
      </c>
      <c r="X17" s="16">
        <f t="shared" ca="1" si="5"/>
        <v>23.32</v>
      </c>
      <c r="Y17" s="12">
        <f t="shared" ca="1" si="6"/>
        <v>0.54736627194773346</v>
      </c>
      <c r="Z17" s="51">
        <f ca="1">IF(V17&lt;Bewertung_Stammdaten!B$25,Bewertung_Stammdaten!A$25,IF(V17&lt;Bewertung_Stammdaten!B$26,Bewertung_Stammdaten!A$26,IF(V17&lt;Bewertung_Stammdaten!B$27,Bewertung_Stammdaten!A$27,IF(V17&lt;Bewertung_Stammdaten!B$28,Bewertung_Stammdaten!A$28,IF(V17&lt;Bewertung_Stammdaten!B$29,Bewertung_Stammdaten!A$29,IF(V17&lt;Bewertung_Stammdaten!B$30,Bewertung_Stammdaten!A$30,IF(V17&lt;Bewertung_Stammdaten!B$31,Bewertung_Stammdaten!A$31,IF(V17&lt;Bewertung_Stammdaten!B$32,Bewertung_Stammdaten!A$32,IF(V17&lt;Bewertung_Stammdaten!B$33,Bewertung_Stammdaten!A$33,Bewertung_Stammdaten!A$34)))))))))</f>
        <v>12</v>
      </c>
      <c r="AA17" s="51">
        <f>IF(W17&lt;Bewertung_Stammdaten!F$25,Bewertung_Stammdaten!E$25,IF(W17&lt;Bewertung_Stammdaten!F$26,Bewertung_Stammdaten!E$26,IF(W17&lt;Bewertung_Stammdaten!F$27,Bewertung_Stammdaten!E$27,IF(W17&lt;Bewertung_Stammdaten!F$28,Bewertung_Stammdaten!E$28,IF(W17&lt;Bewertung_Stammdaten!F$29,Bewertung_Stammdaten!E$29,IF(W17&lt;Bewertung_Stammdaten!F$30,Bewertung_Stammdaten!E$30,IF(W17&lt;Bewertung_Stammdaten!F$31,Bewertung_Stammdaten!E$31,IF(W17&lt;Bewertung_Stammdaten!F$32,Bewertung_Stammdaten!E$32,IF(W17&lt;Bewertung_Stammdaten!F$33,Bewertung_Stammdaten!E$33,Bewertung_Stammdaten!E$34)))))))))</f>
        <v>13.5</v>
      </c>
      <c r="AB17" s="51">
        <f ca="1">IF(Y17&lt;Bewertung_Stammdaten!J$25,Bewertung_Stammdaten!I$25,IF(Y17&lt;Bewertung_Stammdaten!J$26,Bewertung_Stammdaten!I$26,IF(Y17&lt;Bewertung_Stammdaten!J$27,Bewertung_Stammdaten!I$27,IF(Y17&lt;Bewertung_Stammdaten!J$28,Bewertung_Stammdaten!I$28,IF(Y17&lt;Bewertung_Stammdaten!J$29,Bewertung_Stammdaten!I$29,IF(Y17&lt;Bewertung_Stammdaten!J$30,Bewertung_Stammdaten!I$30,IF(Y17&lt;Bewertung_Stammdaten!J$31,Bewertung_Stammdaten!I$31,IF(Y17&lt;Bewertung_Stammdaten!J$32,Bewertung_Stammdaten!I$32,IF(Y17&lt;Bewertung_Stammdaten!J$33,Bewertung_Stammdaten!I$33,Bewertung_Stammdaten!I$34)))))))))</f>
        <v>8</v>
      </c>
      <c r="AC17" s="43"/>
      <c r="AD17" s="14">
        <f ca="1">VLOOKUP(A17,Ergebnis_je_Aktie_verwässert!A$3:AK$103,23,FALSE)</f>
        <v>3.0059999999999998</v>
      </c>
      <c r="AE17" s="14">
        <f>VLOOKUP(A17,Ergebnis_je_Aktie_verwässert!A$3:AK$103,19,FALSE)</f>
        <v>1.8786153846153846</v>
      </c>
      <c r="AF17" s="12">
        <f ca="1">VLOOKUP(A17,Ergebnis_je_Aktie_verwässert!A$3:AK$103,24,FALSE)</f>
        <v>0.60011465072475634</v>
      </c>
      <c r="AG17" s="40">
        <f>VLOOKUP(A17,Ergebnis_je_Aktie_verwässert!A$3:AK$103,37,FALSE)</f>
        <v>1.4942528735632177E-2</v>
      </c>
      <c r="AH17" s="16">
        <f t="shared" ca="1" si="7"/>
        <v>3.0059999999999998</v>
      </c>
      <c r="AI17" s="12">
        <f t="shared" ca="1" si="8"/>
        <v>0.60011465072475634</v>
      </c>
      <c r="AJ17" s="32">
        <f ca="1">IF(AF17&lt;Bewertung_Stammdaten!B$38,Bewertung_Stammdaten!A$38,IF(AF17&lt;Bewertung_Stammdaten!B$39,Bewertung_Stammdaten!A$39,IF(AF17&lt;Bewertung_Stammdaten!B$40,Bewertung_Stammdaten!A$40,IF(AF17&lt;Bewertung_Stammdaten!B$41,Bewertung_Stammdaten!A$41,IF(AF17&lt;Bewertung_Stammdaten!B$42,Bewertung_Stammdaten!A$42,IF(AF17&lt;Bewertung_Stammdaten!B$43,Bewertung_Stammdaten!A$43,IF(AF17&lt;Bewertung_Stammdaten!B$44,Bewertung_Stammdaten!A$44,IF(AF17&lt;Bewertung_Stammdaten!B$45,Bewertung_Stammdaten!A$45,IF(AF17&lt;Bewertung_Stammdaten!B$46,Bewertung_Stammdaten!A$46,Bewertung_Stammdaten!A$47)))))))))</f>
        <v>20</v>
      </c>
      <c r="AK17" s="32">
        <f>IF(AG17&lt;Bewertung_Stammdaten!F$38,Bewertung_Stammdaten!E$38,IF(AG17&lt;Bewertung_Stammdaten!F$39,Bewertung_Stammdaten!E$39,IF(AG17&lt;Bewertung_Stammdaten!F$40,Bewertung_Stammdaten!E$40,IF(AG17&lt;Bewertung_Stammdaten!F$41,Bewertung_Stammdaten!E$41,IF(AG17&lt;Bewertung_Stammdaten!F$42,Bewertung_Stammdaten!E$42,IF(AG17&lt;Bewertung_Stammdaten!F$43,Bewertung_Stammdaten!E$43,IF(AG17&lt;Bewertung_Stammdaten!F$44,Bewertung_Stammdaten!E$44,IF(AG17&lt;Bewertung_Stammdaten!F$45,Bewertung_Stammdaten!E$45,IF(AG17&lt;Bewertung_Stammdaten!F$46,Bewertung_Stammdaten!E$46,Bewertung_Stammdaten!E$47)))))))))</f>
        <v>12</v>
      </c>
      <c r="AL17" s="32">
        <f ca="1">IF(AI17&lt;Bewertung_Stammdaten!J$38,Bewertung_Stammdaten!I$38,IF(AI17&lt;Bewertung_Stammdaten!J$39,Bewertung_Stammdaten!I$39,IF(AI17&lt;Bewertung_Stammdaten!J$40,Bewertung_Stammdaten!I$40,IF(AI17&lt;Bewertung_Stammdaten!J$41,Bewertung_Stammdaten!I$41,IF(AI17&lt;Bewertung_Stammdaten!J$42,Bewertung_Stammdaten!I$42,IF(AI17&lt;Bewertung_Stammdaten!J$43,Bewertung_Stammdaten!I$43,IF(AI17&lt;Bewertung_Stammdaten!J$44,Bewertung_Stammdaten!I$44,IF(AI17&lt;Bewertung_Stammdaten!J$45,Bewertung_Stammdaten!I$45,IF(AI17&lt;Bewertung_Stammdaten!J$46,Bewertung_Stammdaten!I$46,Bewertung_Stammdaten!I$47)))))))))</f>
        <v>10</v>
      </c>
      <c r="AM17" s="43"/>
      <c r="AN17" s="14">
        <f ca="1">VLOOKUP(A17,Dividende_je_Aktie!A$3:AM$103,24,FALSE)</f>
        <v>0.67800000000000005</v>
      </c>
      <c r="AO17" s="14">
        <f>VLOOKUP(A17,Dividende_je_Aktie!A$3:AM$103,20,FALSE)</f>
        <v>0.39714285714285719</v>
      </c>
      <c r="AP17" s="12">
        <f ca="1">VLOOKUP(A17,Dividende_je_Aktie!A$3:AM$103,25,FALSE)</f>
        <v>0.70719424460431646</v>
      </c>
      <c r="AQ17" s="40">
        <f>VLOOKUP(A17,Dividende_je_Aktie!A$3:AM$103,39,FALSE)</f>
        <v>2.7777777777777901E-2</v>
      </c>
      <c r="AR17" s="16">
        <f t="shared" ca="1" si="9"/>
        <v>0.67800000000000005</v>
      </c>
      <c r="AS17" s="12">
        <f t="shared" ca="1" si="10"/>
        <v>0.70719424460431646</v>
      </c>
      <c r="AT17" s="32">
        <f ca="1">IF(AP17&lt;Bewertung_Stammdaten!B$51,Bewertung_Stammdaten!A$51,IF(AP17&lt;Bewertung_Stammdaten!B$52,Bewertung_Stammdaten!A$52,IF(AP17&lt;Bewertung_Stammdaten!B$53,Bewertung_Stammdaten!A$53,IF(AP17&lt;Bewertung_Stammdaten!B$54,Bewertung_Stammdaten!A$54,IF(AP17&lt;Bewertung_Stammdaten!B$55,Bewertung_Stammdaten!A$55,IF(AP17&lt;Bewertung_Stammdaten!B$56,Bewertung_Stammdaten!A$56,IF(AP17&lt;Bewertung_Stammdaten!B$57,Bewertung_Stammdaten!A$57,IF(AP17&lt;Bewertung_Stammdaten!B$58,Bewertung_Stammdaten!A$58,IF(AP17&lt;Bewertung_Stammdaten!B$59,Bewertung_Stammdaten!A$59,Bewertung_Stammdaten!A$60)))))))))</f>
        <v>20</v>
      </c>
      <c r="AU17" s="32">
        <f>IF(AQ17&lt;Bewertung_Stammdaten!F$51,Bewertung_Stammdaten!E$51,IF(AQ17&lt;Bewertung_Stammdaten!F$52,Bewertung_Stammdaten!E$52,IF(AQ17&lt;Bewertung_Stammdaten!F$53,Bewertung_Stammdaten!E$53,IF(AQ17&lt;Bewertung_Stammdaten!F$54,Bewertung_Stammdaten!E$54,IF(AQ17&lt;Bewertung_Stammdaten!F$55,Bewertung_Stammdaten!E$55,IF(AQ17&lt;Bewertung_Stammdaten!F$56,Bewertung_Stammdaten!E$56,IF(AQ17&lt;Bewertung_Stammdaten!F$57,Bewertung_Stammdaten!E$57,IF(AQ17&lt;Bewertung_Stammdaten!F$58,Bewertung_Stammdaten!E$58,IF(AQ17&lt;Bewertung_Stammdaten!F$59,Bewertung_Stammdaten!E$59,Bewertung_Stammdaten!E$60)))))))))</f>
        <v>12</v>
      </c>
      <c r="AV17" s="32">
        <f ca="1">IF(AS17&lt;Bewertung_Stammdaten!J$51,Bewertung_Stammdaten!I$51,IF(AS17&lt;Bewertung_Stammdaten!J$52,Bewertung_Stammdaten!I$52,IF(AS17&lt;Bewertung_Stammdaten!J$53,Bewertung_Stammdaten!I$53,IF(AS17&lt;Bewertung_Stammdaten!J$54,Bewertung_Stammdaten!I$54,IF(AS17&lt;Bewertung_Stammdaten!J$55,Bewertung_Stammdaten!I$55,IF(AS17&lt;Bewertung_Stammdaten!J$56,Bewertung_Stammdaten!I$56,IF(AS17&lt;Bewertung_Stammdaten!J$57,Bewertung_Stammdaten!I$57,IF(AS17&lt;Bewertung_Stammdaten!J$58,Bewertung_Stammdaten!I$58,IF(AS17&lt;Bewertung_Stammdaten!J$59,Bewertung_Stammdaten!I$59,Bewertung_Stammdaten!I$60)))))))))</f>
        <v>10</v>
      </c>
      <c r="AW17" s="43"/>
      <c r="AX17" s="12">
        <f ca="1">VLOOKUP(A17,Dividendenrendite!A$3:R$103,17,FALSE)</f>
        <v>1.0700757575757577E-2</v>
      </c>
      <c r="AY17" s="12">
        <f>VLOOKUP(A17,Dividendenrendite!A$3:R$103,16,FALSE)</f>
        <v>1.2660726500211697E-2</v>
      </c>
      <c r="AZ17" s="12">
        <f ca="1">VLOOKUP(A17,Dividendenrendite!A$3:R$103,18,FALSE)</f>
        <v>-0.15480698713627117</v>
      </c>
      <c r="BA17" s="32">
        <f ca="1">IF(AX17&lt;Bewertung_Stammdaten!B$64,Bewertung_Stammdaten!A$64,IF(AX17&lt;Bewertung_Stammdaten!B$65,Bewertung_Stammdaten!A$65,IF(AX17&lt;Bewertung_Stammdaten!B$66,Bewertung_Stammdaten!A$66,IF(AX17&lt;Bewertung_Stammdaten!B$67,Bewertung_Stammdaten!A$67,IF(AX17&lt;Bewertung_Stammdaten!B$68,Bewertung_Stammdaten!A$68,IF(AX17&lt;Bewertung_Stammdaten!B$69,Bewertung_Stammdaten!A$69,IF(AX17&lt;Bewertung_Stammdaten!B$70,Bewertung_Stammdaten!A$70,IF(AX17&lt;Bewertung_Stammdaten!B$71,Bewertung_Stammdaten!A$71,IF(AX17&lt;Bewertung_Stammdaten!B$72,Bewertung_Stammdaten!A$72,Bewertung_Stammdaten!A$73)))))))))</f>
        <v>4.5</v>
      </c>
      <c r="BB17" s="32">
        <f>IF(AY17&lt;Bewertung_Stammdaten!F$64,Bewertung_Stammdaten!E$64,IF(AY17&lt;Bewertung_Stammdaten!F$65,Bewertung_Stammdaten!E$65,IF(AY17&lt;Bewertung_Stammdaten!F$66,Bewertung_Stammdaten!E$66,IF(AY17&lt;Bewertung_Stammdaten!F$67,Bewertung_Stammdaten!E$67,IF(AY17&lt;Bewertung_Stammdaten!F$68,Bewertung_Stammdaten!E$68,IF(AY17&lt;Bewertung_Stammdaten!F$69,Bewertung_Stammdaten!E$69,IF(AY17&lt;Bewertung_Stammdaten!F$70,Bewertung_Stammdaten!E$70,IF(AY17&lt;Bewertung_Stammdaten!F$71,Bewertung_Stammdaten!E$71,IF(AY17&lt;Bewertung_Stammdaten!F$72,Bewertung_Stammdaten!E$72,Bewertung_Stammdaten!E$73)))))))))</f>
        <v>3</v>
      </c>
      <c r="BC17" s="32">
        <f ca="1">IF(AZ17&lt;Bewertung_Stammdaten!J$64,Bewertung_Stammdaten!I$64,IF(AZ17&lt;Bewertung_Stammdaten!J$65,Bewertung_Stammdaten!I$65,IF(AZ17&lt;Bewertung_Stammdaten!J$66,Bewertung_Stammdaten!I$66,IF(AZ17&lt;Bewertung_Stammdaten!J$67,Bewertung_Stammdaten!I$67,IF(AZ17&lt;Bewertung_Stammdaten!J$68,Bewertung_Stammdaten!I$68,IF(AZ17&lt;Bewertung_Stammdaten!J$69,Bewertung_Stammdaten!I$69,IF(AZ17&lt;Bewertung_Stammdaten!J$70,Bewertung_Stammdaten!I$70,IF(AZ17&lt;Bewertung_Stammdaten!J$71,Bewertung_Stammdaten!I$71,IF(AZ17&lt;Bewertung_Stammdaten!J$72,Bewertung_Stammdaten!I$72,Bewertung_Stammdaten!I$73)))))))))</f>
        <v>1</v>
      </c>
      <c r="BD17" s="43"/>
      <c r="BE17" s="12">
        <f>VLOOKUP(A17,Aktien_im_Umlauf_splitbereinigt!A$3:AB$103,28,FALSE)</f>
        <v>7.7558030026039226E-3</v>
      </c>
      <c r="BF17" s="12">
        <f>VLOOKUP(A17,Aktien_im_Umlauf_splitbereinigt!A$3:AA$103,26,FALSE)</f>
        <v>1.8390157166437947E-2</v>
      </c>
      <c r="BG17" s="12">
        <f>VLOOKUP(A17,Aktien_im_Umlauf_splitbereinigt!A$3:AA$103,27,FALSE)</f>
        <v>-99.999989999999997</v>
      </c>
      <c r="BH17" s="41">
        <f>IF(BE17&lt;Bewertung_Stammdaten!B$77,Bewertung_Stammdaten!A$77,IF(BE17&lt;Bewertung_Stammdaten!B$78,Bewertung_Stammdaten!A$78,IF(BE17&lt;Bewertung_Stammdaten!B$79,Bewertung_Stammdaten!A$79,IF(BE17&lt;Bewertung_Stammdaten!B$80,Bewertung_Stammdaten!A$80,IF(BE17&lt;Bewertung_Stammdaten!B$81,Bewertung_Stammdaten!A$81,IF(BE17&lt;Bewertung_Stammdaten!B$82,Bewertung_Stammdaten!A$82,IF(BE17&lt;Bewertung_Stammdaten!B$83,Bewertung_Stammdaten!A$83,IF(BE17&lt;Bewertung_Stammdaten!B$84,Bewertung_Stammdaten!A$84,IF(BE17&lt;Bewertung_Stammdaten!B$85,Bewertung_Stammdaten!A$85,Bewertung_Stammdaten!A$86)))))))))</f>
        <v>1</v>
      </c>
      <c r="BI17" s="41">
        <f>IF(BF17&lt;Bewertung_Stammdaten!F$77,Bewertung_Stammdaten!E$77,IF(BF17&lt;Bewertung_Stammdaten!F$78,Bewertung_Stammdaten!E$78,IF(BF17&lt;Bewertung_Stammdaten!F$79,Bewertung_Stammdaten!E$79,IF(BF17&lt;Bewertung_Stammdaten!F$80,Bewertung_Stammdaten!E$80,IF(BF17&lt;Bewertung_Stammdaten!F$81,Bewertung_Stammdaten!E$81,IF(BF17&lt;Bewertung_Stammdaten!F$82,Bewertung_Stammdaten!E$82,IF(BF17&lt;Bewertung_Stammdaten!F$83,Bewertung_Stammdaten!E$83,IF(BF17&lt;Bewertung_Stammdaten!F$84,Bewertung_Stammdaten!E$84,IF(BF17&lt;Bewertung_Stammdaten!F$85,Bewertung_Stammdaten!E$85,Bewertung_Stammdaten!E$86)))))))))</f>
        <v>1</v>
      </c>
      <c r="BJ17" s="41">
        <f>IF(BG17&lt;Bewertung_Stammdaten!J$77,Bewertung_Stammdaten!I$77,IF(BG17&lt;Bewertung_Stammdaten!J$78,Bewertung_Stammdaten!I$78,IF(BG17&lt;Bewertung_Stammdaten!J$79,Bewertung_Stammdaten!I$79,IF(BG17&lt;Bewertung_Stammdaten!J$80,Bewertung_Stammdaten!I$80,IF(BG17&lt;Bewertung_Stammdaten!J$81,Bewertung_Stammdaten!I$81,IF(BG17&lt;Bewertung_Stammdaten!J$82,Bewertung_Stammdaten!I$82,IF(BG17&lt;Bewertung_Stammdaten!J$83,Bewertung_Stammdaten!I$83,IF(BG17&lt;Bewertung_Stammdaten!J$84,Bewertung_Stammdaten!I$84,IF(BG17&lt;Bewertung_Stammdaten!J$85,Bewertung_Stammdaten!I$85,Bewertung_Stammdaten!I$86)))))))))</f>
        <v>0.5</v>
      </c>
      <c r="BK17" s="43"/>
      <c r="BL17" s="12">
        <f ca="1">VLOOKUP(A17,Ausschüttungsquote!A$3:AL$103,37,FALSE)</f>
        <v>0.22563595161341804</v>
      </c>
      <c r="BM17" s="12">
        <f>VLOOKUP(A17,Ausschüttungsquote!A$3:AL$103,19,FALSE)</f>
        <v>0.2273147361212674</v>
      </c>
      <c r="BN17" s="12">
        <f ca="1">VLOOKUP(A17,Ausschüttungsquote!A$3:AL$103,38,FALSE)</f>
        <v>-7.3852867460109106E-3</v>
      </c>
      <c r="BO17" s="32">
        <f ca="1">IF(BL17&lt;Bewertung_Stammdaten!B$90,Bewertung_Stammdaten!A$90,IF(BL17&lt;Bewertung_Stammdaten!B$91,Bewertung_Stammdaten!A$91,IF(BL17&lt;Bewertung_Stammdaten!B$92,Bewertung_Stammdaten!A$92,IF(BL17&lt;Bewertung_Stammdaten!B$93,Bewertung_Stammdaten!A$93,IF(BL17&lt;Bewertung_Stammdaten!B$94,Bewertung_Stammdaten!A$94,IF(BL17&lt;Bewertung_Stammdaten!B$95,Bewertung_Stammdaten!A$95,IF(BL17&lt;Bewertung_Stammdaten!B$96,Bewertung_Stammdaten!A$96,IF(BL17&lt;Bewertung_Stammdaten!B$97,Bewertung_Stammdaten!A$97,IF(BL17&lt;Bewertung_Stammdaten!B$98,Bewertung_Stammdaten!A$98,Bewertung_Stammdaten!A$99)))))))))</f>
        <v>10</v>
      </c>
      <c r="BP17" s="41">
        <f>IF(BM17&lt;Bewertung_Stammdaten!F$90,Bewertung_Stammdaten!E$90,IF(BM17&lt;Bewertung_Stammdaten!F$91,Bewertung_Stammdaten!E$91,IF(BM17&lt;Bewertung_Stammdaten!F$92,Bewertung_Stammdaten!E$92,IF(BM17&lt;Bewertung_Stammdaten!F$93,Bewertung_Stammdaten!E$93,IF(BM17&lt;Bewertung_Stammdaten!F$94,Bewertung_Stammdaten!E$94,IF(BM17&lt;Bewertung_Stammdaten!F$95,Bewertung_Stammdaten!E$95,IF(BM17&lt;Bewertung_Stammdaten!F$96,Bewertung_Stammdaten!E$96,IF(BM17&lt;Bewertung_Stammdaten!F$97,Bewertung_Stammdaten!E$97,IF(BM17&lt;Bewertung_Stammdaten!F$98,Bewertung_Stammdaten!E$98,Bewertung_Stammdaten!E$99)))))))))</f>
        <v>10</v>
      </c>
      <c r="BQ17" s="32">
        <f ca="1">IF(BN17&lt;Bewertung_Stammdaten!J$90,Bewertung_Stammdaten!I$90,IF(BN17&lt;Bewertung_Stammdaten!J$91,Bewertung_Stammdaten!I$91,IF(BN17&lt;Bewertung_Stammdaten!J$92,Bewertung_Stammdaten!I$92,IF(BN17&lt;Bewertung_Stammdaten!J$93,Bewertung_Stammdaten!I$93,IF(BN17&lt;Bewertung_Stammdaten!J$94,Bewertung_Stammdaten!I$94,IF(BN17&lt;Bewertung_Stammdaten!J$95,Bewertung_Stammdaten!I$95,IF(BN17&lt;Bewertung_Stammdaten!J$96,Bewertung_Stammdaten!I$96,IF(BN17&lt;Bewertung_Stammdaten!J$97,Bewertung_Stammdaten!I$97,IF(BN17&lt;Bewertung_Stammdaten!J$98,Bewertung_Stammdaten!I$98,Bewertung_Stammdaten!I$99)))))))))</f>
        <v>6</v>
      </c>
    </row>
    <row r="18" spans="1:69">
      <c r="A18" s="55" t="s">
        <v>323</v>
      </c>
      <c r="B18" s="55" t="s">
        <v>324</v>
      </c>
      <c r="C18" s="38" t="s">
        <v>282</v>
      </c>
      <c r="D18" s="32">
        <f t="shared" ca="1" si="0"/>
        <v>166.5</v>
      </c>
      <c r="E18" s="43"/>
      <c r="F18" s="60">
        <v>1</v>
      </c>
      <c r="G18" s="11">
        <f ca="1">VLOOKUP(A18,KGV!A$3:R$103,17,FALSE)</f>
        <v>20.743334839584275</v>
      </c>
      <c r="H18" s="11">
        <f>VLOOKUP(A18,KGV!A$3:R$103,16,FALSE)</f>
        <v>19.744086021505375</v>
      </c>
      <c r="I18" s="12">
        <f ca="1">VLOOKUP(A18,KGV!A$3:R$103,18,FALSE)</f>
        <v>5.0610031631269869E-2</v>
      </c>
      <c r="J18" s="16">
        <f t="shared" ca="1" si="1"/>
        <v>23.635434408564777</v>
      </c>
      <c r="K18" s="12">
        <f t="shared" ca="1" si="2"/>
        <v>0.19708931488755277</v>
      </c>
      <c r="L18" s="11">
        <f ca="1">VLOOKUP(A18,KBV!A$3:R$103,17,FALSE)</f>
        <v>14.356528537920251</v>
      </c>
      <c r="M18" s="11">
        <f>VLOOKUP(A18,KBV!A$3:R$103,16,FALSE)</f>
        <v>13.670750382848391</v>
      </c>
      <c r="N18" s="12">
        <f ca="1">VLOOKUP(A18,KBV!A$3:R$103,18,FALSE)</f>
        <v>5.0163899995734784E-2</v>
      </c>
      <c r="O18" s="16">
        <f t="shared" ca="1" si="3"/>
        <v>26.7646710599799</v>
      </c>
      <c r="P18" s="12">
        <f t="shared" ca="1" si="4"/>
        <v>0.95780555642062004</v>
      </c>
      <c r="Q18" s="32">
        <f ca="1">IF(F18=1,IF(I18&lt;Bewertung_Stammdaten!B$12,Bewertung_Stammdaten!A$12,IF(I18&lt;Bewertung_Stammdaten!B$13,Bewertung_Stammdaten!A$13,IF(I18&lt;Bewertung_Stammdaten!B$14,Bewertung_Stammdaten!A$14,IF(I18&lt;Bewertung_Stammdaten!B$15,Bewertung_Stammdaten!A$15,IF(I18&lt;Bewertung_Stammdaten!B$16,Bewertung_Stammdaten!A$16,IF(I18&lt;Bewertung_Stammdaten!B$17,Bewertung_Stammdaten!A$17,IF(I18&lt;Bewertung_Stammdaten!B$18,Bewertung_Stammdaten!A$18,IF(I18&lt;Bewertung_Stammdaten!B$19,Bewertung_Stammdaten!A$19,IF(I18&lt;Bewertung_Stammdaten!B$20,Bewertung_Stammdaten!A$20,Bewertung_Stammdaten!A$21))))))))),IF(N18&lt;Bewertung_Stammdaten!C$12,Bewertung_Stammdaten!A$12,IF(N18&lt;Bewertung_Stammdaten!C$13,Bewertung_Stammdaten!A$13,IF(N18&lt;Bewertung_Stammdaten!C$14,Bewertung_Stammdaten!A$14,IF(N18&lt;Bewertung_Stammdaten!C$15,Bewertung_Stammdaten!A$15,IF(N18&lt;Bewertung_Stammdaten!C$16,Bewertung_Stammdaten!A$16,IF(N18&lt;Bewertung_Stammdaten!C$17,Bewertung_Stammdaten!A$17,IF(N18&lt;Bewertung_Stammdaten!C$18,Bewertung_Stammdaten!A$18,IF(N18&lt;Bewertung_Stammdaten!C$19,Bewertung_Stammdaten!A$19,IF(N18&lt;Bewertung_Stammdaten!C$20,Bewertung_Stammdaten!A$20,Bewertung_Stammdaten!A$21))))))))))</f>
        <v>30</v>
      </c>
      <c r="R18" s="32">
        <f ca="1">IF(F18=1,IF(K18&lt;Bewertung_Stammdaten!F$12,Bewertung_Stammdaten!E$12,IF(K18&lt;Bewertung_Stammdaten!F$13,Bewertung_Stammdaten!E$13,IF(K18&lt;Bewertung_Stammdaten!F$14,Bewertung_Stammdaten!E$14,IF(K18&lt;Bewertung_Stammdaten!F$15,Bewertung_Stammdaten!E$15,IF(K18&lt;Bewertung_Stammdaten!F$16,Bewertung_Stammdaten!E$16,IF(K18&lt;Bewertung_Stammdaten!F$17,Bewertung_Stammdaten!E$17,IF(K18&lt;Bewertung_Stammdaten!F$18,Bewertung_Stammdaten!E$18,IF(K18&lt;Bewertung_Stammdaten!F$19,Bewertung_Stammdaten!E$19,IF(K18&lt;Bewertung_Stammdaten!F$20,Bewertung_Stammdaten!E$20,Bewertung_Stammdaten!E$21))))))))),IF(P18&lt;Bewertung_Stammdaten!G$12,Bewertung_Stammdaten!E$12,IF(P18&lt;Bewertung_Stammdaten!G$13,Bewertung_Stammdaten!E$13,IF(P18&lt;Bewertung_Stammdaten!G$14,Bewertung_Stammdaten!E$14,IF(P18&lt;Bewertung_Stammdaten!G$15,Bewertung_Stammdaten!E$15,IF(P18&lt;Bewertung_Stammdaten!G$16,Bewertung_Stammdaten!E$16,IF(P18&lt;Bewertung_Stammdaten!G$17,Bewertung_Stammdaten!E$17,IF(P18&lt;Bewertung_Stammdaten!G$18,Bewertung_Stammdaten!E$18,IF(P18&lt;Bewertung_Stammdaten!G$19,Bewertung_Stammdaten!E$19,IF(P18&lt;Bewertung_Stammdaten!G$20,Bewertung_Stammdaten!E$20,Bewertung_Stammdaten!E$21))))))))))</f>
        <v>15</v>
      </c>
      <c r="S18" s="43"/>
      <c r="T18" s="11">
        <f ca="1">VLOOKUP(A18,Buchwert_je_Aktie!A$3:AK$103,23,FALSE)</f>
        <v>6.3949999999999996</v>
      </c>
      <c r="U18" s="11">
        <f>VLOOKUP(A18,Buchwert_je_Aktie!A$3:AK$103,19,FALSE)</f>
        <v>4.6507692307692308</v>
      </c>
      <c r="V18" s="12">
        <f ca="1">VLOOKUP(A18,Buchwert_je_Aktie!A$3:AK$103,24,FALSE)</f>
        <v>0.37504134965266278</v>
      </c>
      <c r="W18" s="12">
        <f>VLOOKUP(A18,Buchwert_je_Aktie!A$3:AK$103,37,FALSE)</f>
        <v>-0.46360153256704983</v>
      </c>
      <c r="X18" s="16">
        <f t="shared" ca="1" si="5"/>
        <v>3.4302681992337161</v>
      </c>
      <c r="Y18" s="12">
        <f t="shared" ca="1" si="6"/>
        <v>-0.26242992738937632</v>
      </c>
      <c r="Z18" s="51">
        <f ca="1">IF(V18&lt;Bewertung_Stammdaten!B$25,Bewertung_Stammdaten!A$25,IF(V18&lt;Bewertung_Stammdaten!B$26,Bewertung_Stammdaten!A$26,IF(V18&lt;Bewertung_Stammdaten!B$27,Bewertung_Stammdaten!A$27,IF(V18&lt;Bewertung_Stammdaten!B$28,Bewertung_Stammdaten!A$28,IF(V18&lt;Bewertung_Stammdaten!B$29,Bewertung_Stammdaten!A$29,IF(V18&lt;Bewertung_Stammdaten!B$30,Bewertung_Stammdaten!A$30,IF(V18&lt;Bewertung_Stammdaten!B$31,Bewertung_Stammdaten!A$31,IF(V18&lt;Bewertung_Stammdaten!B$32,Bewertung_Stammdaten!A$32,IF(V18&lt;Bewertung_Stammdaten!B$33,Bewertung_Stammdaten!A$33,Bewertung_Stammdaten!A$34)))))))))</f>
        <v>9</v>
      </c>
      <c r="AA18" s="51">
        <f>IF(W18&lt;Bewertung_Stammdaten!F$25,Bewertung_Stammdaten!E$25,IF(W18&lt;Bewertung_Stammdaten!F$26,Bewertung_Stammdaten!E$26,IF(W18&lt;Bewertung_Stammdaten!F$27,Bewertung_Stammdaten!E$27,IF(W18&lt;Bewertung_Stammdaten!F$28,Bewertung_Stammdaten!E$28,IF(W18&lt;Bewertung_Stammdaten!F$29,Bewertung_Stammdaten!E$29,IF(W18&lt;Bewertung_Stammdaten!F$30,Bewertung_Stammdaten!E$30,IF(W18&lt;Bewertung_Stammdaten!F$31,Bewertung_Stammdaten!E$31,IF(W18&lt;Bewertung_Stammdaten!F$32,Bewertung_Stammdaten!E$32,IF(W18&lt;Bewertung_Stammdaten!F$33,Bewertung_Stammdaten!E$33,Bewertung_Stammdaten!E$34)))))))))</f>
        <v>1.5</v>
      </c>
      <c r="AB18" s="51">
        <f ca="1">IF(Y18&lt;Bewertung_Stammdaten!J$25,Bewertung_Stammdaten!I$25,IF(Y18&lt;Bewertung_Stammdaten!J$26,Bewertung_Stammdaten!I$26,IF(Y18&lt;Bewertung_Stammdaten!J$27,Bewertung_Stammdaten!I$27,IF(Y18&lt;Bewertung_Stammdaten!J$28,Bewertung_Stammdaten!I$28,IF(Y18&lt;Bewertung_Stammdaten!J$29,Bewertung_Stammdaten!I$29,IF(Y18&lt;Bewertung_Stammdaten!J$30,Bewertung_Stammdaten!I$30,IF(Y18&lt;Bewertung_Stammdaten!J$31,Bewertung_Stammdaten!I$31,IF(Y18&lt;Bewertung_Stammdaten!J$32,Bewertung_Stammdaten!I$32,IF(Y18&lt;Bewertung_Stammdaten!J$33,Bewertung_Stammdaten!I$33,Bewertung_Stammdaten!I$34)))))))))</f>
        <v>1</v>
      </c>
      <c r="AC18" s="43"/>
      <c r="AD18" s="14">
        <f ca="1">VLOOKUP(A18,Ergebnis_je_Aktie_verwässert!A$3:AK$103,23,FALSE)</f>
        <v>4.4260000000000002</v>
      </c>
      <c r="AE18" s="14">
        <f>VLOOKUP(A18,Ergebnis_je_Aktie_verwässert!A$3:AK$103,19,FALSE)</f>
        <v>3.2969230769230764</v>
      </c>
      <c r="AF18" s="12">
        <f ca="1">VLOOKUP(A18,Ergebnis_je_Aktie_verwässert!A$3:AK$103,24,FALSE)</f>
        <v>0.34246383574428396</v>
      </c>
      <c r="AG18" s="40">
        <f>VLOOKUP(A18,Ergebnis_je_Aktie_verwässert!A$3:AK$103,37,FALSE)</f>
        <v>-0.1223628691983123</v>
      </c>
      <c r="AH18" s="16">
        <f t="shared" ca="1" si="7"/>
        <v>3.8844219409282701</v>
      </c>
      <c r="AI18" s="12">
        <f t="shared" ca="1" si="8"/>
        <v>0.1781961090076416</v>
      </c>
      <c r="AJ18" s="32">
        <f ca="1">IF(AF18&lt;Bewertung_Stammdaten!B$38,Bewertung_Stammdaten!A$38,IF(AF18&lt;Bewertung_Stammdaten!B$39,Bewertung_Stammdaten!A$39,IF(AF18&lt;Bewertung_Stammdaten!B$40,Bewertung_Stammdaten!A$40,IF(AF18&lt;Bewertung_Stammdaten!B$41,Bewertung_Stammdaten!A$41,IF(AF18&lt;Bewertung_Stammdaten!B$42,Bewertung_Stammdaten!A$42,IF(AF18&lt;Bewertung_Stammdaten!B$43,Bewertung_Stammdaten!A$43,IF(AF18&lt;Bewertung_Stammdaten!B$44,Bewertung_Stammdaten!A$44,IF(AF18&lt;Bewertung_Stammdaten!B$45,Bewertung_Stammdaten!A$45,IF(AF18&lt;Bewertung_Stammdaten!B$46,Bewertung_Stammdaten!A$46,Bewertung_Stammdaten!A$47)))))))))</f>
        <v>14</v>
      </c>
      <c r="AK18" s="32">
        <f>IF(AG18&lt;Bewertung_Stammdaten!F$38,Bewertung_Stammdaten!E$38,IF(AG18&lt;Bewertung_Stammdaten!F$39,Bewertung_Stammdaten!E$39,IF(AG18&lt;Bewertung_Stammdaten!F$40,Bewertung_Stammdaten!E$40,IF(AG18&lt;Bewertung_Stammdaten!F$41,Bewertung_Stammdaten!E$41,IF(AG18&lt;Bewertung_Stammdaten!F$42,Bewertung_Stammdaten!E$42,IF(AG18&lt;Bewertung_Stammdaten!F$43,Bewertung_Stammdaten!E$43,IF(AG18&lt;Bewertung_Stammdaten!F$44,Bewertung_Stammdaten!E$44,IF(AG18&lt;Bewertung_Stammdaten!F$45,Bewertung_Stammdaten!E$45,IF(AG18&lt;Bewertung_Stammdaten!F$46,Bewertung_Stammdaten!E$46,Bewertung_Stammdaten!E$47)))))))))</f>
        <v>9</v>
      </c>
      <c r="AL18" s="32">
        <f ca="1">IF(AI18&lt;Bewertung_Stammdaten!J$38,Bewertung_Stammdaten!I$38,IF(AI18&lt;Bewertung_Stammdaten!J$39,Bewertung_Stammdaten!I$39,IF(AI18&lt;Bewertung_Stammdaten!J$40,Bewertung_Stammdaten!I$40,IF(AI18&lt;Bewertung_Stammdaten!J$41,Bewertung_Stammdaten!I$41,IF(AI18&lt;Bewertung_Stammdaten!J$42,Bewertung_Stammdaten!I$42,IF(AI18&lt;Bewertung_Stammdaten!J$43,Bewertung_Stammdaten!I$43,IF(AI18&lt;Bewertung_Stammdaten!J$44,Bewertung_Stammdaten!I$44,IF(AI18&lt;Bewertung_Stammdaten!J$45,Bewertung_Stammdaten!I$45,IF(AI18&lt;Bewertung_Stammdaten!J$46,Bewertung_Stammdaten!I$46,Bewertung_Stammdaten!I$47)))))))))</f>
        <v>6</v>
      </c>
      <c r="AM18" s="43"/>
      <c r="AN18" s="14">
        <f ca="1">VLOOKUP(A18,Dividende_je_Aktie!A$3:AM$103,24,FALSE)</f>
        <v>2.4569999999999999</v>
      </c>
      <c r="AO18" s="14">
        <f>VLOOKUP(A18,Dividende_je_Aktie!A$3:AM$103,20,FALSE)</f>
        <v>1.6871428571428575</v>
      </c>
      <c r="AP18" s="12">
        <f ca="1">VLOOKUP(A18,Dividende_je_Aktie!A$3:AM$103,25,FALSE)</f>
        <v>0.45630821337849237</v>
      </c>
      <c r="AQ18" s="40">
        <f>VLOOKUP(A18,Dividende_je_Aktie!A$3:AM$103,39,FALSE)</f>
        <v>0</v>
      </c>
      <c r="AR18" s="16">
        <f t="shared" ca="1" si="9"/>
        <v>2.4569999999999999</v>
      </c>
      <c r="AS18" s="12">
        <f t="shared" ca="1" si="10"/>
        <v>0.45630821337849237</v>
      </c>
      <c r="AT18" s="32">
        <f ca="1">IF(AP18&lt;Bewertung_Stammdaten!B$51,Bewertung_Stammdaten!A$51,IF(AP18&lt;Bewertung_Stammdaten!B$52,Bewertung_Stammdaten!A$52,IF(AP18&lt;Bewertung_Stammdaten!B$53,Bewertung_Stammdaten!A$53,IF(AP18&lt;Bewertung_Stammdaten!B$54,Bewertung_Stammdaten!A$54,IF(AP18&lt;Bewertung_Stammdaten!B$55,Bewertung_Stammdaten!A$55,IF(AP18&lt;Bewertung_Stammdaten!B$56,Bewertung_Stammdaten!A$56,IF(AP18&lt;Bewertung_Stammdaten!B$57,Bewertung_Stammdaten!A$57,IF(AP18&lt;Bewertung_Stammdaten!B$58,Bewertung_Stammdaten!A$58,IF(AP18&lt;Bewertung_Stammdaten!B$59,Bewertung_Stammdaten!A$59,Bewertung_Stammdaten!A$60)))))))))</f>
        <v>14</v>
      </c>
      <c r="AU18" s="32">
        <f>IF(AQ18&lt;Bewertung_Stammdaten!F$51,Bewertung_Stammdaten!E$51,IF(AQ18&lt;Bewertung_Stammdaten!F$52,Bewertung_Stammdaten!E$52,IF(AQ18&lt;Bewertung_Stammdaten!F$53,Bewertung_Stammdaten!E$53,IF(AQ18&lt;Bewertung_Stammdaten!F$54,Bewertung_Stammdaten!E$54,IF(AQ18&lt;Bewertung_Stammdaten!F$55,Bewertung_Stammdaten!E$55,IF(AQ18&lt;Bewertung_Stammdaten!F$56,Bewertung_Stammdaten!E$56,IF(AQ18&lt;Bewertung_Stammdaten!F$57,Bewertung_Stammdaten!E$57,IF(AQ18&lt;Bewertung_Stammdaten!F$58,Bewertung_Stammdaten!E$58,IF(AQ18&lt;Bewertung_Stammdaten!F$59,Bewertung_Stammdaten!E$59,Bewertung_Stammdaten!E$60)))))))))</f>
        <v>12</v>
      </c>
      <c r="AV18" s="32">
        <f ca="1">IF(AS18&lt;Bewertung_Stammdaten!J$51,Bewertung_Stammdaten!I$51,IF(AS18&lt;Bewertung_Stammdaten!J$52,Bewertung_Stammdaten!I$52,IF(AS18&lt;Bewertung_Stammdaten!J$53,Bewertung_Stammdaten!I$53,IF(AS18&lt;Bewertung_Stammdaten!J$54,Bewertung_Stammdaten!I$54,IF(AS18&lt;Bewertung_Stammdaten!J$55,Bewertung_Stammdaten!I$55,IF(AS18&lt;Bewertung_Stammdaten!J$56,Bewertung_Stammdaten!I$56,IF(AS18&lt;Bewertung_Stammdaten!J$57,Bewertung_Stammdaten!I$57,IF(AS18&lt;Bewertung_Stammdaten!J$58,Bewertung_Stammdaten!I$58,IF(AS18&lt;Bewertung_Stammdaten!J$59,Bewertung_Stammdaten!I$59,Bewertung_Stammdaten!I$60)))))))))</f>
        <v>9</v>
      </c>
      <c r="AW18" s="43"/>
      <c r="AX18" s="12">
        <f ca="1">VLOOKUP(A18,Dividendenrendite!A$3:R$103,17,FALSE)</f>
        <v>2.6761790654612785E-2</v>
      </c>
      <c r="AY18" s="12">
        <f>VLOOKUP(A18,Dividendenrendite!A$3:R$103,16,FALSE)</f>
        <v>2.4800690739516372E-2</v>
      </c>
      <c r="AZ18" s="12">
        <f ca="1">VLOOKUP(A18,Dividendenrendite!A$3:R$103,18,FALSE)</f>
        <v>7.9074407067690311E-2</v>
      </c>
      <c r="BA18" s="32">
        <f ca="1">IF(AX18&lt;Bewertung_Stammdaten!B$64,Bewertung_Stammdaten!A$64,IF(AX18&lt;Bewertung_Stammdaten!B$65,Bewertung_Stammdaten!A$65,IF(AX18&lt;Bewertung_Stammdaten!B$66,Bewertung_Stammdaten!A$66,IF(AX18&lt;Bewertung_Stammdaten!B$67,Bewertung_Stammdaten!A$67,IF(AX18&lt;Bewertung_Stammdaten!B$68,Bewertung_Stammdaten!A$68,IF(AX18&lt;Bewertung_Stammdaten!B$69,Bewertung_Stammdaten!A$69,IF(AX18&lt;Bewertung_Stammdaten!B$70,Bewertung_Stammdaten!A$70,IF(AX18&lt;Bewertung_Stammdaten!B$71,Bewertung_Stammdaten!A$71,IF(AX18&lt;Bewertung_Stammdaten!B$72,Bewertung_Stammdaten!A$72,Bewertung_Stammdaten!A$73)))))))))</f>
        <v>9</v>
      </c>
      <c r="BB18" s="32">
        <f>IF(AY18&lt;Bewertung_Stammdaten!F$64,Bewertung_Stammdaten!E$64,IF(AY18&lt;Bewertung_Stammdaten!F$65,Bewertung_Stammdaten!E$65,IF(AY18&lt;Bewertung_Stammdaten!F$66,Bewertung_Stammdaten!E$66,IF(AY18&lt;Bewertung_Stammdaten!F$67,Bewertung_Stammdaten!E$67,IF(AY18&lt;Bewertung_Stammdaten!F$68,Bewertung_Stammdaten!E$68,IF(AY18&lt;Bewertung_Stammdaten!F$69,Bewertung_Stammdaten!E$69,IF(AY18&lt;Bewertung_Stammdaten!F$70,Bewertung_Stammdaten!E$70,IF(AY18&lt;Bewertung_Stammdaten!F$71,Bewertung_Stammdaten!E$71,IF(AY18&lt;Bewertung_Stammdaten!F$72,Bewertung_Stammdaten!E$72,Bewertung_Stammdaten!E$73)))))))))</f>
        <v>5</v>
      </c>
      <c r="BC18" s="32">
        <f ca="1">IF(AZ18&lt;Bewertung_Stammdaten!J$64,Bewertung_Stammdaten!I$64,IF(AZ18&lt;Bewertung_Stammdaten!J$65,Bewertung_Stammdaten!I$65,IF(AZ18&lt;Bewertung_Stammdaten!J$66,Bewertung_Stammdaten!I$66,IF(AZ18&lt;Bewertung_Stammdaten!J$67,Bewertung_Stammdaten!I$67,IF(AZ18&lt;Bewertung_Stammdaten!J$68,Bewertung_Stammdaten!I$68,IF(AZ18&lt;Bewertung_Stammdaten!J$69,Bewertung_Stammdaten!I$69,IF(AZ18&lt;Bewertung_Stammdaten!J$70,Bewertung_Stammdaten!I$70,IF(AZ18&lt;Bewertung_Stammdaten!J$71,Bewertung_Stammdaten!I$71,IF(AZ18&lt;Bewertung_Stammdaten!J$72,Bewertung_Stammdaten!I$72,Bewertung_Stammdaten!I$73)))))))))</f>
        <v>3.5</v>
      </c>
      <c r="BD18" s="43"/>
      <c r="BE18" s="12">
        <f>VLOOKUP(A18,Aktien_im_Umlauf_splitbereinigt!A$3:AB$103,28,FALSE)</f>
        <v>-1.9316896629721803E-2</v>
      </c>
      <c r="BF18" s="12">
        <f>VLOOKUP(A18,Aktien_im_Umlauf_splitbereinigt!A$3:AA$103,26,FALSE)</f>
        <v>-1.0246640689697018E-2</v>
      </c>
      <c r="BG18" s="12">
        <f>VLOOKUP(A18,Aktien_im_Umlauf_splitbereinigt!A$3:AA$103,27,FALSE)</f>
        <v>0.88519312960245733</v>
      </c>
      <c r="BH18" s="41">
        <f>IF(BE18&lt;Bewertung_Stammdaten!B$77,Bewertung_Stammdaten!A$77,IF(BE18&lt;Bewertung_Stammdaten!B$78,Bewertung_Stammdaten!A$78,IF(BE18&lt;Bewertung_Stammdaten!B$79,Bewertung_Stammdaten!A$79,IF(BE18&lt;Bewertung_Stammdaten!B$80,Bewertung_Stammdaten!A$80,IF(BE18&lt;Bewertung_Stammdaten!B$81,Bewertung_Stammdaten!A$81,IF(BE18&lt;Bewertung_Stammdaten!B$82,Bewertung_Stammdaten!A$82,IF(BE18&lt;Bewertung_Stammdaten!B$83,Bewertung_Stammdaten!A$83,IF(BE18&lt;Bewertung_Stammdaten!B$84,Bewertung_Stammdaten!A$84,IF(BE18&lt;Bewertung_Stammdaten!B$85,Bewertung_Stammdaten!A$85,Bewertung_Stammdaten!A$86)))))))))</f>
        <v>6</v>
      </c>
      <c r="BI18" s="41">
        <f>IF(BF18&lt;Bewertung_Stammdaten!F$77,Bewertung_Stammdaten!E$77,IF(BF18&lt;Bewertung_Stammdaten!F$78,Bewertung_Stammdaten!E$78,IF(BF18&lt;Bewertung_Stammdaten!F$79,Bewertung_Stammdaten!E$79,IF(BF18&lt;Bewertung_Stammdaten!F$80,Bewertung_Stammdaten!E$80,IF(BF18&lt;Bewertung_Stammdaten!F$81,Bewertung_Stammdaten!E$81,IF(BF18&lt;Bewertung_Stammdaten!F$82,Bewertung_Stammdaten!E$82,IF(BF18&lt;Bewertung_Stammdaten!F$83,Bewertung_Stammdaten!E$83,IF(BF18&lt;Bewertung_Stammdaten!F$84,Bewertung_Stammdaten!E$84,IF(BF18&lt;Bewertung_Stammdaten!F$85,Bewertung_Stammdaten!E$85,Bewertung_Stammdaten!E$86)))))))))</f>
        <v>5</v>
      </c>
      <c r="BJ18" s="41">
        <f>IF(BG18&lt;Bewertung_Stammdaten!J$77,Bewertung_Stammdaten!I$77,IF(BG18&lt;Bewertung_Stammdaten!J$78,Bewertung_Stammdaten!I$78,IF(BG18&lt;Bewertung_Stammdaten!J$79,Bewertung_Stammdaten!I$79,IF(BG18&lt;Bewertung_Stammdaten!J$80,Bewertung_Stammdaten!I$80,IF(BG18&lt;Bewertung_Stammdaten!J$81,Bewertung_Stammdaten!I$81,IF(BG18&lt;Bewertung_Stammdaten!J$82,Bewertung_Stammdaten!I$82,IF(BG18&lt;Bewertung_Stammdaten!J$83,Bewertung_Stammdaten!I$83,IF(BG18&lt;Bewertung_Stammdaten!J$84,Bewertung_Stammdaten!I$84,IF(BG18&lt;Bewertung_Stammdaten!J$85,Bewertung_Stammdaten!I$85,Bewertung_Stammdaten!I$86)))))))))</f>
        <v>4.5</v>
      </c>
      <c r="BK18" s="43"/>
      <c r="BL18" s="12">
        <f ca="1">VLOOKUP(A18,Ausschüttungsquote!A$3:AL$103,37,FALSE)</f>
        <v>0.55508753631825969</v>
      </c>
      <c r="BM18" s="12">
        <f>VLOOKUP(A18,Ausschüttungsquote!A$3:AL$103,19,FALSE)</f>
        <v>0.71018560039977585</v>
      </c>
      <c r="BN18" s="12">
        <f ca="1">VLOOKUP(A18,Ausschüttungsquote!A$3:AL$103,38,FALSE)</f>
        <v>5.1288597738812891E-2</v>
      </c>
      <c r="BO18" s="32">
        <f ca="1">IF(BL18&lt;Bewertung_Stammdaten!B$90,Bewertung_Stammdaten!A$90,IF(BL18&lt;Bewertung_Stammdaten!B$91,Bewertung_Stammdaten!A$91,IF(BL18&lt;Bewertung_Stammdaten!B$92,Bewertung_Stammdaten!A$92,IF(BL18&lt;Bewertung_Stammdaten!B$93,Bewertung_Stammdaten!A$93,IF(BL18&lt;Bewertung_Stammdaten!B$94,Bewertung_Stammdaten!A$94,IF(BL18&lt;Bewertung_Stammdaten!B$95,Bewertung_Stammdaten!A$95,IF(BL18&lt;Bewertung_Stammdaten!B$96,Bewertung_Stammdaten!A$96,IF(BL18&lt;Bewertung_Stammdaten!B$97,Bewertung_Stammdaten!A$97,IF(BL18&lt;Bewertung_Stammdaten!B$98,Bewertung_Stammdaten!A$98,Bewertung_Stammdaten!A$99)))))))))</f>
        <v>6</v>
      </c>
      <c r="BP18" s="41">
        <f>IF(BM18&lt;Bewertung_Stammdaten!F$90,Bewertung_Stammdaten!E$90,IF(BM18&lt;Bewertung_Stammdaten!F$91,Bewertung_Stammdaten!E$91,IF(BM18&lt;Bewertung_Stammdaten!F$92,Bewertung_Stammdaten!E$92,IF(BM18&lt;Bewertung_Stammdaten!F$93,Bewertung_Stammdaten!E$93,IF(BM18&lt;Bewertung_Stammdaten!F$94,Bewertung_Stammdaten!E$94,IF(BM18&lt;Bewertung_Stammdaten!F$95,Bewertung_Stammdaten!E$95,IF(BM18&lt;Bewertung_Stammdaten!F$96,Bewertung_Stammdaten!E$96,IF(BM18&lt;Bewertung_Stammdaten!F$97,Bewertung_Stammdaten!E$97,IF(BM18&lt;Bewertung_Stammdaten!F$98,Bewertung_Stammdaten!E$98,Bewertung_Stammdaten!E$99)))))))))</f>
        <v>3</v>
      </c>
      <c r="BQ18" s="32">
        <f ca="1">IF(BN18&lt;Bewertung_Stammdaten!J$90,Bewertung_Stammdaten!I$90,IF(BN18&lt;Bewertung_Stammdaten!J$91,Bewertung_Stammdaten!I$91,IF(BN18&lt;Bewertung_Stammdaten!J$92,Bewertung_Stammdaten!I$92,IF(BN18&lt;Bewertung_Stammdaten!J$93,Bewertung_Stammdaten!I$93,IF(BN18&lt;Bewertung_Stammdaten!J$94,Bewertung_Stammdaten!I$94,IF(BN18&lt;Bewertung_Stammdaten!J$95,Bewertung_Stammdaten!I$95,IF(BN18&lt;Bewertung_Stammdaten!J$96,Bewertung_Stammdaten!I$96,IF(BN18&lt;Bewertung_Stammdaten!J$97,Bewertung_Stammdaten!I$97,IF(BN18&lt;Bewertung_Stammdaten!J$98,Bewertung_Stammdaten!I$98,Bewertung_Stammdaten!I$99)))))))))</f>
        <v>4</v>
      </c>
    </row>
    <row r="19" spans="1:69">
      <c r="A19" s="38" t="s">
        <v>24</v>
      </c>
      <c r="B19" s="38" t="s">
        <v>25</v>
      </c>
      <c r="C19" s="38" t="s">
        <v>283</v>
      </c>
      <c r="D19" s="32">
        <f t="shared" ca="1" si="0"/>
        <v>165.5</v>
      </c>
      <c r="E19" s="43"/>
      <c r="F19" s="60">
        <v>1</v>
      </c>
      <c r="G19" s="11">
        <f ca="1">VLOOKUP(A19,KGV!A$3:R$103,17,FALSE)</f>
        <v>17.491834278837889</v>
      </c>
      <c r="H19" s="11">
        <f>VLOOKUP(A19,KGV!A$3:R$103,16,FALSE)</f>
        <v>16.602771362586605</v>
      </c>
      <c r="I19" s="12">
        <f ca="1">VLOOKUP(A19,KGV!A$3:R$103,18,FALSE)</f>
        <v>5.3549067010266516E-2</v>
      </c>
      <c r="J19" s="16">
        <f t="shared" ca="1" si="1"/>
        <v>21.961113521888979</v>
      </c>
      <c r="K19" s="12">
        <f t="shared" ca="1" si="2"/>
        <v>0.32273781540936541</v>
      </c>
      <c r="L19" s="11">
        <f ca="1">VLOOKUP(A19,KBV!A$3:R$103,17,FALSE)</f>
        <v>3.1154317207593389</v>
      </c>
      <c r="M19" s="11">
        <f>VLOOKUP(A19,KBV!A$3:R$103,16,FALSE)</f>
        <v>2.8457875169943008</v>
      </c>
      <c r="N19" s="12">
        <f ca="1">VLOOKUP(A19,KBV!A$3:R$103,18,FALSE)</f>
        <v>9.475205093661887E-2</v>
      </c>
      <c r="O19" s="16">
        <f t="shared" ca="1" si="3"/>
        <v>3.2333879329039021</v>
      </c>
      <c r="P19" s="12">
        <f t="shared" ca="1" si="4"/>
        <v>0.1362014604375601</v>
      </c>
      <c r="Q19" s="32">
        <f ca="1">IF(F19=1,IF(I19&lt;Bewertung_Stammdaten!B$12,Bewertung_Stammdaten!A$12,IF(I19&lt;Bewertung_Stammdaten!B$13,Bewertung_Stammdaten!A$13,IF(I19&lt;Bewertung_Stammdaten!B$14,Bewertung_Stammdaten!A$14,IF(I19&lt;Bewertung_Stammdaten!B$15,Bewertung_Stammdaten!A$15,IF(I19&lt;Bewertung_Stammdaten!B$16,Bewertung_Stammdaten!A$16,IF(I19&lt;Bewertung_Stammdaten!B$17,Bewertung_Stammdaten!A$17,IF(I19&lt;Bewertung_Stammdaten!B$18,Bewertung_Stammdaten!A$18,IF(I19&lt;Bewertung_Stammdaten!B$19,Bewertung_Stammdaten!A$19,IF(I19&lt;Bewertung_Stammdaten!B$20,Bewertung_Stammdaten!A$20,Bewertung_Stammdaten!A$21))))))))),IF(N19&lt;Bewertung_Stammdaten!C$12,Bewertung_Stammdaten!A$12,IF(N19&lt;Bewertung_Stammdaten!C$13,Bewertung_Stammdaten!A$13,IF(N19&lt;Bewertung_Stammdaten!C$14,Bewertung_Stammdaten!A$14,IF(N19&lt;Bewertung_Stammdaten!C$15,Bewertung_Stammdaten!A$15,IF(N19&lt;Bewertung_Stammdaten!C$16,Bewertung_Stammdaten!A$16,IF(N19&lt;Bewertung_Stammdaten!C$17,Bewertung_Stammdaten!A$17,IF(N19&lt;Bewertung_Stammdaten!C$18,Bewertung_Stammdaten!A$18,IF(N19&lt;Bewertung_Stammdaten!C$19,Bewertung_Stammdaten!A$19,IF(N19&lt;Bewertung_Stammdaten!C$20,Bewertung_Stammdaten!A$20,Bewertung_Stammdaten!A$21))))))))))</f>
        <v>30</v>
      </c>
      <c r="R19" s="32">
        <f ca="1">IF(F19=1,IF(K19&lt;Bewertung_Stammdaten!F$12,Bewertung_Stammdaten!E$12,IF(K19&lt;Bewertung_Stammdaten!F$13,Bewertung_Stammdaten!E$13,IF(K19&lt;Bewertung_Stammdaten!F$14,Bewertung_Stammdaten!E$14,IF(K19&lt;Bewertung_Stammdaten!F$15,Bewertung_Stammdaten!E$15,IF(K19&lt;Bewertung_Stammdaten!F$16,Bewertung_Stammdaten!E$16,IF(K19&lt;Bewertung_Stammdaten!F$17,Bewertung_Stammdaten!E$17,IF(K19&lt;Bewertung_Stammdaten!F$18,Bewertung_Stammdaten!E$18,IF(K19&lt;Bewertung_Stammdaten!F$19,Bewertung_Stammdaten!E$19,IF(K19&lt;Bewertung_Stammdaten!F$20,Bewertung_Stammdaten!E$20,Bewertung_Stammdaten!E$21))))))))),IF(P19&lt;Bewertung_Stammdaten!G$12,Bewertung_Stammdaten!E$12,IF(P19&lt;Bewertung_Stammdaten!G$13,Bewertung_Stammdaten!E$13,IF(P19&lt;Bewertung_Stammdaten!G$14,Bewertung_Stammdaten!E$14,IF(P19&lt;Bewertung_Stammdaten!G$15,Bewertung_Stammdaten!E$15,IF(P19&lt;Bewertung_Stammdaten!G$16,Bewertung_Stammdaten!E$16,IF(P19&lt;Bewertung_Stammdaten!G$17,Bewertung_Stammdaten!E$17,IF(P19&lt;Bewertung_Stammdaten!G$18,Bewertung_Stammdaten!E$18,IF(P19&lt;Bewertung_Stammdaten!G$19,Bewertung_Stammdaten!E$19,IF(P19&lt;Bewertung_Stammdaten!G$20,Bewertung_Stammdaten!E$20,Bewertung_Stammdaten!E$21))))))))))</f>
        <v>7.5</v>
      </c>
      <c r="S19" s="43"/>
      <c r="T19" s="11">
        <f ca="1">VLOOKUP(A19,Buchwert_je_Aktie!A$3:AK$103,23,FALSE)</f>
        <v>32.659999999999997</v>
      </c>
      <c r="U19" s="11">
        <f>VLOOKUP(A19,Buchwert_je_Aktie!A$3:AK$103,19,FALSE)</f>
        <v>26.482499999999998</v>
      </c>
      <c r="V19" s="12">
        <f ca="1">VLOOKUP(A19,Buchwert_je_Aktie!A$3:AK$103,24,FALSE)</f>
        <v>0.23326725195884079</v>
      </c>
      <c r="W19" s="12">
        <f>VLOOKUP(A19,Buchwert_je_Aktie!A$3:AK$103,37,FALSE)</f>
        <v>-3.6480686695279041E-2</v>
      </c>
      <c r="X19" s="16">
        <f t="shared" ca="1" si="5"/>
        <v>31.468540772532183</v>
      </c>
      <c r="Y19" s="12">
        <f t="shared" ca="1" si="6"/>
        <v>0.18827681572858257</v>
      </c>
      <c r="Z19" s="51">
        <f ca="1">IF(V19&lt;Bewertung_Stammdaten!B$25,Bewertung_Stammdaten!A$25,IF(V19&lt;Bewertung_Stammdaten!B$26,Bewertung_Stammdaten!A$26,IF(V19&lt;Bewertung_Stammdaten!B$27,Bewertung_Stammdaten!A$27,IF(V19&lt;Bewertung_Stammdaten!B$28,Bewertung_Stammdaten!A$28,IF(V19&lt;Bewertung_Stammdaten!B$29,Bewertung_Stammdaten!A$29,IF(V19&lt;Bewertung_Stammdaten!B$30,Bewertung_Stammdaten!A$30,IF(V19&lt;Bewertung_Stammdaten!B$31,Bewertung_Stammdaten!A$31,IF(V19&lt;Bewertung_Stammdaten!B$32,Bewertung_Stammdaten!A$32,IF(V19&lt;Bewertung_Stammdaten!B$33,Bewertung_Stammdaten!A$33,Bewertung_Stammdaten!A$34)))))))))</f>
        <v>7.5</v>
      </c>
      <c r="AA19" s="51">
        <f>IF(W19&lt;Bewertung_Stammdaten!F$25,Bewertung_Stammdaten!E$25,IF(W19&lt;Bewertung_Stammdaten!F$26,Bewertung_Stammdaten!E$26,IF(W19&lt;Bewertung_Stammdaten!F$27,Bewertung_Stammdaten!E$27,IF(W19&lt;Bewertung_Stammdaten!F$28,Bewertung_Stammdaten!E$28,IF(W19&lt;Bewertung_Stammdaten!F$29,Bewertung_Stammdaten!E$29,IF(W19&lt;Bewertung_Stammdaten!F$30,Bewertung_Stammdaten!E$30,IF(W19&lt;Bewertung_Stammdaten!F$31,Bewertung_Stammdaten!E$31,IF(W19&lt;Bewertung_Stammdaten!F$32,Bewertung_Stammdaten!E$32,IF(W19&lt;Bewertung_Stammdaten!F$33,Bewertung_Stammdaten!E$33,Bewertung_Stammdaten!E$34)))))))))</f>
        <v>10.5</v>
      </c>
      <c r="AB19" s="51">
        <f ca="1">IF(Y19&lt;Bewertung_Stammdaten!J$25,Bewertung_Stammdaten!I$25,IF(Y19&lt;Bewertung_Stammdaten!J$26,Bewertung_Stammdaten!I$26,IF(Y19&lt;Bewertung_Stammdaten!J$27,Bewertung_Stammdaten!I$27,IF(Y19&lt;Bewertung_Stammdaten!J$28,Bewertung_Stammdaten!I$28,IF(Y19&lt;Bewertung_Stammdaten!J$29,Bewertung_Stammdaten!I$29,IF(Y19&lt;Bewertung_Stammdaten!J$30,Bewertung_Stammdaten!I$30,IF(Y19&lt;Bewertung_Stammdaten!J$31,Bewertung_Stammdaten!I$31,IF(Y19&lt;Bewertung_Stammdaten!J$32,Bewertung_Stammdaten!I$32,IF(Y19&lt;Bewertung_Stammdaten!J$33,Bewertung_Stammdaten!I$33,Bewertung_Stammdaten!I$34)))))))))</f>
        <v>4</v>
      </c>
      <c r="AC19" s="43"/>
      <c r="AD19" s="14">
        <f ca="1">VLOOKUP(A19,Ergebnis_je_Aktie_verwässert!A$3:AK$103,23,FALSE)</f>
        <v>5.8170000000000002</v>
      </c>
      <c r="AE19" s="14">
        <f>VLOOKUP(A19,Ergebnis_je_Aktie_verwässert!A$3:AK$103,19,FALSE)</f>
        <v>4.0530769230769241</v>
      </c>
      <c r="AF19" s="12">
        <f ca="1">VLOOKUP(A19,Ergebnis_je_Aktie_verwässert!A$3:AK$103,24,FALSE)</f>
        <v>0.43520592142721548</v>
      </c>
      <c r="AG19" s="40">
        <f>VLOOKUP(A19,Ergebnis_je_Aktie_verwässert!A$3:AK$103,37,FALSE)</f>
        <v>-0.20350877192982453</v>
      </c>
      <c r="AH19" s="16">
        <f t="shared" ca="1" si="7"/>
        <v>4.6331894736842107</v>
      </c>
      <c r="AI19" s="12">
        <f t="shared" ca="1" si="8"/>
        <v>0.14312892689115064</v>
      </c>
      <c r="AJ19" s="32">
        <f ca="1">IF(AF19&lt;Bewertung_Stammdaten!B$38,Bewertung_Stammdaten!A$38,IF(AF19&lt;Bewertung_Stammdaten!B$39,Bewertung_Stammdaten!A$39,IF(AF19&lt;Bewertung_Stammdaten!B$40,Bewertung_Stammdaten!A$40,IF(AF19&lt;Bewertung_Stammdaten!B$41,Bewertung_Stammdaten!A$41,IF(AF19&lt;Bewertung_Stammdaten!B$42,Bewertung_Stammdaten!A$42,IF(AF19&lt;Bewertung_Stammdaten!B$43,Bewertung_Stammdaten!A$43,IF(AF19&lt;Bewertung_Stammdaten!B$44,Bewertung_Stammdaten!A$44,IF(AF19&lt;Bewertung_Stammdaten!B$45,Bewertung_Stammdaten!A$45,IF(AF19&lt;Bewertung_Stammdaten!B$46,Bewertung_Stammdaten!A$46,Bewertung_Stammdaten!A$47)))))))))</f>
        <v>16</v>
      </c>
      <c r="AK19" s="32">
        <f>IF(AG19&lt;Bewertung_Stammdaten!F$38,Bewertung_Stammdaten!E$38,IF(AG19&lt;Bewertung_Stammdaten!F$39,Bewertung_Stammdaten!E$39,IF(AG19&lt;Bewertung_Stammdaten!F$40,Bewertung_Stammdaten!E$40,IF(AG19&lt;Bewertung_Stammdaten!F$41,Bewertung_Stammdaten!E$41,IF(AG19&lt;Bewertung_Stammdaten!F$42,Bewertung_Stammdaten!E$42,IF(AG19&lt;Bewertung_Stammdaten!F$43,Bewertung_Stammdaten!E$43,IF(AG19&lt;Bewertung_Stammdaten!F$44,Bewertung_Stammdaten!E$44,IF(AG19&lt;Bewertung_Stammdaten!F$45,Bewertung_Stammdaten!E$45,IF(AG19&lt;Bewertung_Stammdaten!F$46,Bewertung_Stammdaten!E$46,Bewertung_Stammdaten!E$47)))))))))</f>
        <v>7.5</v>
      </c>
      <c r="AL19" s="32">
        <f ca="1">IF(AI19&lt;Bewertung_Stammdaten!J$38,Bewertung_Stammdaten!I$38,IF(AI19&lt;Bewertung_Stammdaten!J$39,Bewertung_Stammdaten!I$39,IF(AI19&lt;Bewertung_Stammdaten!J$40,Bewertung_Stammdaten!I$40,IF(AI19&lt;Bewertung_Stammdaten!J$41,Bewertung_Stammdaten!I$41,IF(AI19&lt;Bewertung_Stammdaten!J$42,Bewertung_Stammdaten!I$42,IF(AI19&lt;Bewertung_Stammdaten!J$43,Bewertung_Stammdaten!I$43,IF(AI19&lt;Bewertung_Stammdaten!J$44,Bewertung_Stammdaten!I$44,IF(AI19&lt;Bewertung_Stammdaten!J$45,Bewertung_Stammdaten!I$45,IF(AI19&lt;Bewertung_Stammdaten!J$46,Bewertung_Stammdaten!I$46,Bewertung_Stammdaten!I$47)))))))))</f>
        <v>5</v>
      </c>
      <c r="AM19" s="43"/>
      <c r="AN19" s="14">
        <f ca="1">VLOOKUP(A19,Dividende_je_Aktie!A$3:AM$103,24,FALSE)</f>
        <v>2.7290000000000001</v>
      </c>
      <c r="AO19" s="14">
        <f>VLOOKUP(A19,Dividende_je_Aktie!A$3:AM$103,20,FALSE)</f>
        <v>1.9042857142857141</v>
      </c>
      <c r="AP19" s="12">
        <f ca="1">VLOOKUP(A19,Dividende_je_Aktie!A$3:AM$103,25,FALSE)</f>
        <v>0.43308327081770459</v>
      </c>
      <c r="AQ19" s="40">
        <f>VLOOKUP(A19,Dividende_je_Aktie!A$3:AM$103,39,FALSE)</f>
        <v>0</v>
      </c>
      <c r="AR19" s="16">
        <f t="shared" ca="1" si="9"/>
        <v>2.7290000000000001</v>
      </c>
      <c r="AS19" s="12">
        <f t="shared" ca="1" si="10"/>
        <v>0.43308327081770459</v>
      </c>
      <c r="AT19" s="32">
        <f ca="1">IF(AP19&lt;Bewertung_Stammdaten!B$51,Bewertung_Stammdaten!A$51,IF(AP19&lt;Bewertung_Stammdaten!B$52,Bewertung_Stammdaten!A$52,IF(AP19&lt;Bewertung_Stammdaten!B$53,Bewertung_Stammdaten!A$53,IF(AP19&lt;Bewertung_Stammdaten!B$54,Bewertung_Stammdaten!A$54,IF(AP19&lt;Bewertung_Stammdaten!B$55,Bewertung_Stammdaten!A$55,IF(AP19&lt;Bewertung_Stammdaten!B$56,Bewertung_Stammdaten!A$56,IF(AP19&lt;Bewertung_Stammdaten!B$57,Bewertung_Stammdaten!A$57,IF(AP19&lt;Bewertung_Stammdaten!B$58,Bewertung_Stammdaten!A$58,IF(AP19&lt;Bewertung_Stammdaten!B$59,Bewertung_Stammdaten!A$59,Bewertung_Stammdaten!A$60)))))))))</f>
        <v>14</v>
      </c>
      <c r="AU19" s="32">
        <f>IF(AQ19&lt;Bewertung_Stammdaten!F$51,Bewertung_Stammdaten!E$51,IF(AQ19&lt;Bewertung_Stammdaten!F$52,Bewertung_Stammdaten!E$52,IF(AQ19&lt;Bewertung_Stammdaten!F$53,Bewertung_Stammdaten!E$53,IF(AQ19&lt;Bewertung_Stammdaten!F$54,Bewertung_Stammdaten!E$54,IF(AQ19&lt;Bewertung_Stammdaten!F$55,Bewertung_Stammdaten!E$55,IF(AQ19&lt;Bewertung_Stammdaten!F$56,Bewertung_Stammdaten!E$56,IF(AQ19&lt;Bewertung_Stammdaten!F$57,Bewertung_Stammdaten!E$57,IF(AQ19&lt;Bewertung_Stammdaten!F$58,Bewertung_Stammdaten!E$58,IF(AQ19&lt;Bewertung_Stammdaten!F$59,Bewertung_Stammdaten!E$59,Bewertung_Stammdaten!E$60)))))))))</f>
        <v>12</v>
      </c>
      <c r="AV19" s="32">
        <f ca="1">IF(AS19&lt;Bewertung_Stammdaten!J$51,Bewertung_Stammdaten!I$51,IF(AS19&lt;Bewertung_Stammdaten!J$52,Bewertung_Stammdaten!I$52,IF(AS19&lt;Bewertung_Stammdaten!J$53,Bewertung_Stammdaten!I$53,IF(AS19&lt;Bewertung_Stammdaten!J$54,Bewertung_Stammdaten!I$54,IF(AS19&lt;Bewertung_Stammdaten!J$55,Bewertung_Stammdaten!I$55,IF(AS19&lt;Bewertung_Stammdaten!J$56,Bewertung_Stammdaten!I$56,IF(AS19&lt;Bewertung_Stammdaten!J$57,Bewertung_Stammdaten!I$57,IF(AS19&lt;Bewertung_Stammdaten!J$58,Bewertung_Stammdaten!I$58,IF(AS19&lt;Bewertung_Stammdaten!J$59,Bewertung_Stammdaten!I$59,Bewertung_Stammdaten!I$60)))))))))</f>
        <v>8</v>
      </c>
      <c r="AW19" s="43"/>
      <c r="AX19" s="12">
        <f ca="1">VLOOKUP(A19,Dividendenrendite!A$3:R$103,17,FALSE)</f>
        <v>2.6820638820638822E-2</v>
      </c>
      <c r="AY19" s="12">
        <f>VLOOKUP(A19,Dividendenrendite!A$3:R$103,16,FALSE)</f>
        <v>2.5801149437202759E-2</v>
      </c>
      <c r="AZ19" s="12">
        <f ca="1">VLOOKUP(A19,Dividendenrendite!A$3:R$103,18,FALSE)</f>
        <v>3.9513331990010503E-2</v>
      </c>
      <c r="BA19" s="32">
        <f ca="1">IF(AX19&lt;Bewertung_Stammdaten!B$64,Bewertung_Stammdaten!A$64,IF(AX19&lt;Bewertung_Stammdaten!B$65,Bewertung_Stammdaten!A$65,IF(AX19&lt;Bewertung_Stammdaten!B$66,Bewertung_Stammdaten!A$66,IF(AX19&lt;Bewertung_Stammdaten!B$67,Bewertung_Stammdaten!A$67,IF(AX19&lt;Bewertung_Stammdaten!B$68,Bewertung_Stammdaten!A$68,IF(AX19&lt;Bewertung_Stammdaten!B$69,Bewertung_Stammdaten!A$69,IF(AX19&lt;Bewertung_Stammdaten!B$70,Bewertung_Stammdaten!A$70,IF(AX19&lt;Bewertung_Stammdaten!B$71,Bewertung_Stammdaten!A$71,IF(AX19&lt;Bewertung_Stammdaten!B$72,Bewertung_Stammdaten!A$72,Bewertung_Stammdaten!A$73)))))))))</f>
        <v>9</v>
      </c>
      <c r="BB19" s="32">
        <f>IF(AY19&lt;Bewertung_Stammdaten!F$64,Bewertung_Stammdaten!E$64,IF(AY19&lt;Bewertung_Stammdaten!F$65,Bewertung_Stammdaten!E$65,IF(AY19&lt;Bewertung_Stammdaten!F$66,Bewertung_Stammdaten!E$66,IF(AY19&lt;Bewertung_Stammdaten!F$67,Bewertung_Stammdaten!E$67,IF(AY19&lt;Bewertung_Stammdaten!F$68,Bewertung_Stammdaten!E$68,IF(AY19&lt;Bewertung_Stammdaten!F$69,Bewertung_Stammdaten!E$69,IF(AY19&lt;Bewertung_Stammdaten!F$70,Bewertung_Stammdaten!E$70,IF(AY19&lt;Bewertung_Stammdaten!F$71,Bewertung_Stammdaten!E$71,IF(AY19&lt;Bewertung_Stammdaten!F$72,Bewertung_Stammdaten!E$72,Bewertung_Stammdaten!E$73)))))))))</f>
        <v>6</v>
      </c>
      <c r="BC19" s="32">
        <f ca="1">IF(AZ19&lt;Bewertung_Stammdaten!J$64,Bewertung_Stammdaten!I$64,IF(AZ19&lt;Bewertung_Stammdaten!J$65,Bewertung_Stammdaten!I$65,IF(AZ19&lt;Bewertung_Stammdaten!J$66,Bewertung_Stammdaten!I$66,IF(AZ19&lt;Bewertung_Stammdaten!J$67,Bewertung_Stammdaten!I$67,IF(AZ19&lt;Bewertung_Stammdaten!J$68,Bewertung_Stammdaten!I$68,IF(AZ19&lt;Bewertung_Stammdaten!J$69,Bewertung_Stammdaten!I$69,IF(AZ19&lt;Bewertung_Stammdaten!J$70,Bewertung_Stammdaten!I$70,IF(AZ19&lt;Bewertung_Stammdaten!J$71,Bewertung_Stammdaten!I$71,IF(AZ19&lt;Bewertung_Stammdaten!J$72,Bewertung_Stammdaten!I$72,Bewertung_Stammdaten!I$73)))))))))</f>
        <v>3</v>
      </c>
      <c r="BD19" s="43"/>
      <c r="BE19" s="12">
        <f>VLOOKUP(A19,Aktien_im_Umlauf_splitbereinigt!A$3:AB$103,28,FALSE)</f>
        <v>0</v>
      </c>
      <c r="BF19" s="12">
        <f>VLOOKUP(A19,Aktien_im_Umlauf_splitbereinigt!A$3:AA$103,26,FALSE)</f>
        <v>1.2852168770181627E-2</v>
      </c>
      <c r="BG19" s="12">
        <f>VLOOKUP(A19,Aktien_im_Umlauf_splitbereinigt!A$3:AA$103,27,FALSE)</f>
        <v>-99.999989999999997</v>
      </c>
      <c r="BH19" s="41">
        <f>IF(BE19&lt;Bewertung_Stammdaten!B$77,Bewertung_Stammdaten!A$77,IF(BE19&lt;Bewertung_Stammdaten!B$78,Bewertung_Stammdaten!A$78,IF(BE19&lt;Bewertung_Stammdaten!B$79,Bewertung_Stammdaten!A$79,IF(BE19&lt;Bewertung_Stammdaten!B$80,Bewertung_Stammdaten!A$80,IF(BE19&lt;Bewertung_Stammdaten!B$81,Bewertung_Stammdaten!A$81,IF(BE19&lt;Bewertung_Stammdaten!B$82,Bewertung_Stammdaten!A$82,IF(BE19&lt;Bewertung_Stammdaten!B$83,Bewertung_Stammdaten!A$83,IF(BE19&lt;Bewertung_Stammdaten!B$84,Bewertung_Stammdaten!A$84,IF(BE19&lt;Bewertung_Stammdaten!B$85,Bewertung_Stammdaten!A$85,Bewertung_Stammdaten!A$86)))))))))</f>
        <v>2</v>
      </c>
      <c r="BI19" s="41">
        <f>IF(BF19&lt;Bewertung_Stammdaten!F$77,Bewertung_Stammdaten!E$77,IF(BF19&lt;Bewertung_Stammdaten!F$78,Bewertung_Stammdaten!E$78,IF(BF19&lt;Bewertung_Stammdaten!F$79,Bewertung_Stammdaten!E$79,IF(BF19&lt;Bewertung_Stammdaten!F$80,Bewertung_Stammdaten!E$80,IF(BF19&lt;Bewertung_Stammdaten!F$81,Bewertung_Stammdaten!E$81,IF(BF19&lt;Bewertung_Stammdaten!F$82,Bewertung_Stammdaten!E$82,IF(BF19&lt;Bewertung_Stammdaten!F$83,Bewertung_Stammdaten!E$83,IF(BF19&lt;Bewertung_Stammdaten!F$84,Bewertung_Stammdaten!E$84,IF(BF19&lt;Bewertung_Stammdaten!F$85,Bewertung_Stammdaten!E$85,Bewertung_Stammdaten!E$86)))))))))</f>
        <v>1</v>
      </c>
      <c r="BJ19" s="41">
        <f>IF(BG19&lt;Bewertung_Stammdaten!J$77,Bewertung_Stammdaten!I$77,IF(BG19&lt;Bewertung_Stammdaten!J$78,Bewertung_Stammdaten!I$78,IF(BG19&lt;Bewertung_Stammdaten!J$79,Bewertung_Stammdaten!I$79,IF(BG19&lt;Bewertung_Stammdaten!J$80,Bewertung_Stammdaten!I$80,IF(BG19&lt;Bewertung_Stammdaten!J$81,Bewertung_Stammdaten!I$81,IF(BG19&lt;Bewertung_Stammdaten!J$82,Bewertung_Stammdaten!I$82,IF(BG19&lt;Bewertung_Stammdaten!J$83,Bewertung_Stammdaten!I$83,IF(BG19&lt;Bewertung_Stammdaten!J$84,Bewertung_Stammdaten!I$84,IF(BG19&lt;Bewertung_Stammdaten!J$85,Bewertung_Stammdaten!I$85,Bewertung_Stammdaten!I$86)))))))))</f>
        <v>0.5</v>
      </c>
      <c r="BK19" s="43"/>
      <c r="BL19" s="12">
        <f ca="1">VLOOKUP(A19,Ausschüttungsquote!A$3:AL$103,37,FALSE)</f>
        <v>0.47012282468804212</v>
      </c>
      <c r="BM19" s="12">
        <f>VLOOKUP(A19,Ausschüttungsquote!A$3:AL$103,19,FALSE)</f>
        <v>0.50167965612547116</v>
      </c>
      <c r="BN19" s="12">
        <f ca="1">VLOOKUP(A19,Ausschüttungsquote!A$3:AL$103,38,FALSE)</f>
        <v>-6.2902354225694568E-2</v>
      </c>
      <c r="BO19" s="32">
        <f ca="1">IF(BL19&lt;Bewertung_Stammdaten!B$90,Bewertung_Stammdaten!A$90,IF(BL19&lt;Bewertung_Stammdaten!B$91,Bewertung_Stammdaten!A$91,IF(BL19&lt;Bewertung_Stammdaten!B$92,Bewertung_Stammdaten!A$92,IF(BL19&lt;Bewertung_Stammdaten!B$93,Bewertung_Stammdaten!A$93,IF(BL19&lt;Bewertung_Stammdaten!B$94,Bewertung_Stammdaten!A$94,IF(BL19&lt;Bewertung_Stammdaten!B$95,Bewertung_Stammdaten!A$95,IF(BL19&lt;Bewertung_Stammdaten!B$96,Bewertung_Stammdaten!A$96,IF(BL19&lt;Bewertung_Stammdaten!B$97,Bewertung_Stammdaten!A$97,IF(BL19&lt;Bewertung_Stammdaten!B$98,Bewertung_Stammdaten!A$98,Bewertung_Stammdaten!A$99)))))))))</f>
        <v>8</v>
      </c>
      <c r="BP19" s="41">
        <f>IF(BM19&lt;Bewertung_Stammdaten!F$90,Bewertung_Stammdaten!E$90,IF(BM19&lt;Bewertung_Stammdaten!F$91,Bewertung_Stammdaten!E$91,IF(BM19&lt;Bewertung_Stammdaten!F$92,Bewertung_Stammdaten!E$92,IF(BM19&lt;Bewertung_Stammdaten!F$93,Bewertung_Stammdaten!E$93,IF(BM19&lt;Bewertung_Stammdaten!F$94,Bewertung_Stammdaten!E$94,IF(BM19&lt;Bewertung_Stammdaten!F$95,Bewertung_Stammdaten!E$95,IF(BM19&lt;Bewertung_Stammdaten!F$96,Bewertung_Stammdaten!E$96,IF(BM19&lt;Bewertung_Stammdaten!F$97,Bewertung_Stammdaten!E$97,IF(BM19&lt;Bewertung_Stammdaten!F$98,Bewertung_Stammdaten!E$98,Bewertung_Stammdaten!E$99)))))))))</f>
        <v>7</v>
      </c>
      <c r="BQ19" s="32">
        <f ca="1">IF(BN19&lt;Bewertung_Stammdaten!J$90,Bewertung_Stammdaten!I$90,IF(BN19&lt;Bewertung_Stammdaten!J$91,Bewertung_Stammdaten!I$91,IF(BN19&lt;Bewertung_Stammdaten!J$92,Bewertung_Stammdaten!I$92,IF(BN19&lt;Bewertung_Stammdaten!J$93,Bewertung_Stammdaten!I$93,IF(BN19&lt;Bewertung_Stammdaten!J$94,Bewertung_Stammdaten!I$94,IF(BN19&lt;Bewertung_Stammdaten!J$95,Bewertung_Stammdaten!I$95,IF(BN19&lt;Bewertung_Stammdaten!J$96,Bewertung_Stammdaten!I$96,IF(BN19&lt;Bewertung_Stammdaten!J$97,Bewertung_Stammdaten!I$97,IF(BN19&lt;Bewertung_Stammdaten!J$98,Bewertung_Stammdaten!I$98,Bewertung_Stammdaten!I$99)))))))))</f>
        <v>7</v>
      </c>
    </row>
    <row r="20" spans="1:69">
      <c r="A20" s="38" t="s">
        <v>81</v>
      </c>
      <c r="B20" s="38" t="s">
        <v>189</v>
      </c>
      <c r="C20" s="38" t="s">
        <v>283</v>
      </c>
      <c r="D20" s="32">
        <f t="shared" ca="1" si="0"/>
        <v>165.5</v>
      </c>
      <c r="E20" s="43"/>
      <c r="F20" s="60">
        <v>1</v>
      </c>
      <c r="G20" s="11">
        <f ca="1">VLOOKUP(A20,KGV!A$3:R$103,17,FALSE)</f>
        <v>23.632752826153375</v>
      </c>
      <c r="H20" s="11">
        <f>VLOOKUP(A20,KGV!A$3:R$103,16,FALSE)</f>
        <v>21.105047748976805</v>
      </c>
      <c r="I20" s="12">
        <f ca="1">VLOOKUP(A20,KGV!A$3:R$103,18,FALSE)</f>
        <v>0.11976779712801711</v>
      </c>
      <c r="J20" s="16">
        <f t="shared" ca="1" si="1"/>
        <v>24.116464141308562</v>
      </c>
      <c r="K20" s="12">
        <f t="shared" ca="1" si="2"/>
        <v>0.14268702104584219</v>
      </c>
      <c r="L20" s="11">
        <f ca="1">VLOOKUP(A20,KBV!A$3:R$103,17,FALSE)</f>
        <v>3.4569832402234635</v>
      </c>
      <c r="M20" s="11">
        <f>VLOOKUP(A20,KBV!A$3:R$103,16,FALSE)</f>
        <v>3.1540638900121309</v>
      </c>
      <c r="N20" s="12">
        <f ca="1">VLOOKUP(A20,KBV!A$3:R$103,18,FALSE)</f>
        <v>9.6040968342644195E-2</v>
      </c>
      <c r="O20" s="16">
        <f t="shared" ca="1" si="3"/>
        <v>3.8814014576935882</v>
      </c>
      <c r="P20" s="12">
        <f t="shared" ca="1" si="4"/>
        <v>0.23060330831746723</v>
      </c>
      <c r="Q20" s="32">
        <f ca="1">IF(F20=1,IF(I20&lt;Bewertung_Stammdaten!B$12,Bewertung_Stammdaten!A$12,IF(I20&lt;Bewertung_Stammdaten!B$13,Bewertung_Stammdaten!A$13,IF(I20&lt;Bewertung_Stammdaten!B$14,Bewertung_Stammdaten!A$14,IF(I20&lt;Bewertung_Stammdaten!B$15,Bewertung_Stammdaten!A$15,IF(I20&lt;Bewertung_Stammdaten!B$16,Bewertung_Stammdaten!A$16,IF(I20&lt;Bewertung_Stammdaten!B$17,Bewertung_Stammdaten!A$17,IF(I20&lt;Bewertung_Stammdaten!B$18,Bewertung_Stammdaten!A$18,IF(I20&lt;Bewertung_Stammdaten!B$19,Bewertung_Stammdaten!A$19,IF(I20&lt;Bewertung_Stammdaten!B$20,Bewertung_Stammdaten!A$20,Bewertung_Stammdaten!A$21))))))))),IF(N20&lt;Bewertung_Stammdaten!C$12,Bewertung_Stammdaten!A$12,IF(N20&lt;Bewertung_Stammdaten!C$13,Bewertung_Stammdaten!A$13,IF(N20&lt;Bewertung_Stammdaten!C$14,Bewertung_Stammdaten!A$14,IF(N20&lt;Bewertung_Stammdaten!C$15,Bewertung_Stammdaten!A$15,IF(N20&lt;Bewertung_Stammdaten!C$16,Bewertung_Stammdaten!A$16,IF(N20&lt;Bewertung_Stammdaten!C$17,Bewertung_Stammdaten!A$17,IF(N20&lt;Bewertung_Stammdaten!C$18,Bewertung_Stammdaten!A$18,IF(N20&lt;Bewertung_Stammdaten!C$19,Bewertung_Stammdaten!A$19,IF(N20&lt;Bewertung_Stammdaten!C$20,Bewertung_Stammdaten!A$20,Bewertung_Stammdaten!A$21))))))))))</f>
        <v>24</v>
      </c>
      <c r="R20" s="32">
        <f ca="1">IF(F20=1,IF(K20&lt;Bewertung_Stammdaten!F$12,Bewertung_Stammdaten!E$12,IF(K20&lt;Bewertung_Stammdaten!F$13,Bewertung_Stammdaten!E$13,IF(K20&lt;Bewertung_Stammdaten!F$14,Bewertung_Stammdaten!E$14,IF(K20&lt;Bewertung_Stammdaten!F$15,Bewertung_Stammdaten!E$15,IF(K20&lt;Bewertung_Stammdaten!F$16,Bewertung_Stammdaten!E$16,IF(K20&lt;Bewertung_Stammdaten!F$17,Bewertung_Stammdaten!E$17,IF(K20&lt;Bewertung_Stammdaten!F$18,Bewertung_Stammdaten!E$18,IF(K20&lt;Bewertung_Stammdaten!F$19,Bewertung_Stammdaten!E$19,IF(K20&lt;Bewertung_Stammdaten!F$20,Bewertung_Stammdaten!E$20,Bewertung_Stammdaten!E$21))))))))),IF(P20&lt;Bewertung_Stammdaten!G$12,Bewertung_Stammdaten!E$12,IF(P20&lt;Bewertung_Stammdaten!G$13,Bewertung_Stammdaten!E$13,IF(P20&lt;Bewertung_Stammdaten!G$14,Bewertung_Stammdaten!E$14,IF(P20&lt;Bewertung_Stammdaten!G$15,Bewertung_Stammdaten!E$15,IF(P20&lt;Bewertung_Stammdaten!G$16,Bewertung_Stammdaten!E$16,IF(P20&lt;Bewertung_Stammdaten!G$17,Bewertung_Stammdaten!E$17,IF(P20&lt;Bewertung_Stammdaten!G$18,Bewertung_Stammdaten!E$18,IF(P20&lt;Bewertung_Stammdaten!G$19,Bewertung_Stammdaten!E$19,IF(P20&lt;Bewertung_Stammdaten!G$20,Bewertung_Stammdaten!E$20,Bewertung_Stammdaten!E$21))))))))))</f>
        <v>17.5</v>
      </c>
      <c r="S20" s="43"/>
      <c r="T20" s="11">
        <f ca="1">VLOOKUP(A20,Buchwert_je_Aktie!A$3:AK$103,23,FALSE)</f>
        <v>44.75</v>
      </c>
      <c r="U20" s="11">
        <f>VLOOKUP(A20,Buchwert_je_Aktie!A$3:AK$103,19,FALSE)</f>
        <v>33.227692307692308</v>
      </c>
      <c r="V20" s="12">
        <f ca="1">VLOOKUP(A20,Buchwert_je_Aktie!A$3:AK$103,24,FALSE)</f>
        <v>0.34676821927956292</v>
      </c>
      <c r="W20" s="12">
        <f>VLOOKUP(A20,Buchwert_je_Aktie!A$3:AK$103,37,FALSE)</f>
        <v>-0.10934664246823955</v>
      </c>
      <c r="X20" s="16">
        <f t="shared" ca="1" si="5"/>
        <v>39.856737749546284</v>
      </c>
      <c r="Y20" s="12">
        <f t="shared" ca="1" si="6"/>
        <v>0.19950363631841306</v>
      </c>
      <c r="Z20" s="51">
        <f ca="1">IF(V20&lt;Bewertung_Stammdaten!B$25,Bewertung_Stammdaten!A$25,IF(V20&lt;Bewertung_Stammdaten!B$26,Bewertung_Stammdaten!A$26,IF(V20&lt;Bewertung_Stammdaten!B$27,Bewertung_Stammdaten!A$27,IF(V20&lt;Bewertung_Stammdaten!B$28,Bewertung_Stammdaten!A$28,IF(V20&lt;Bewertung_Stammdaten!B$29,Bewertung_Stammdaten!A$29,IF(V20&lt;Bewertung_Stammdaten!B$30,Bewertung_Stammdaten!A$30,IF(V20&lt;Bewertung_Stammdaten!B$31,Bewertung_Stammdaten!A$31,IF(V20&lt;Bewertung_Stammdaten!B$32,Bewertung_Stammdaten!A$32,IF(V20&lt;Bewertung_Stammdaten!B$33,Bewertung_Stammdaten!A$33,Bewertung_Stammdaten!A$34)))))))))</f>
        <v>9</v>
      </c>
      <c r="AA20" s="51">
        <f>IF(W20&lt;Bewertung_Stammdaten!F$25,Bewertung_Stammdaten!E$25,IF(W20&lt;Bewertung_Stammdaten!F$26,Bewertung_Stammdaten!E$26,IF(W20&lt;Bewertung_Stammdaten!F$27,Bewertung_Stammdaten!E$27,IF(W20&lt;Bewertung_Stammdaten!F$28,Bewertung_Stammdaten!E$28,IF(W20&lt;Bewertung_Stammdaten!F$29,Bewertung_Stammdaten!E$29,IF(W20&lt;Bewertung_Stammdaten!F$30,Bewertung_Stammdaten!E$30,IF(W20&lt;Bewertung_Stammdaten!F$31,Bewertung_Stammdaten!E$31,IF(W20&lt;Bewertung_Stammdaten!F$32,Bewertung_Stammdaten!E$32,IF(W20&lt;Bewertung_Stammdaten!F$33,Bewertung_Stammdaten!E$33,Bewertung_Stammdaten!E$34)))))))))</f>
        <v>7.5</v>
      </c>
      <c r="AB20" s="51">
        <f ca="1">IF(Y20&lt;Bewertung_Stammdaten!J$25,Bewertung_Stammdaten!I$25,IF(Y20&lt;Bewertung_Stammdaten!J$26,Bewertung_Stammdaten!I$26,IF(Y20&lt;Bewertung_Stammdaten!J$27,Bewertung_Stammdaten!I$27,IF(Y20&lt;Bewertung_Stammdaten!J$28,Bewertung_Stammdaten!I$28,IF(Y20&lt;Bewertung_Stammdaten!J$29,Bewertung_Stammdaten!I$29,IF(Y20&lt;Bewertung_Stammdaten!J$30,Bewertung_Stammdaten!I$30,IF(Y20&lt;Bewertung_Stammdaten!J$31,Bewertung_Stammdaten!I$31,IF(Y20&lt;Bewertung_Stammdaten!J$32,Bewertung_Stammdaten!I$32,IF(Y20&lt;Bewertung_Stammdaten!J$33,Bewertung_Stammdaten!I$33,Bewertung_Stammdaten!I$34)))))))))</f>
        <v>4</v>
      </c>
      <c r="AC20" s="43"/>
      <c r="AD20" s="14">
        <f ca="1">VLOOKUP(A20,Ergebnis_je_Aktie_verwässert!A$3:AK$103,23,FALSE)</f>
        <v>6.5459999999999994</v>
      </c>
      <c r="AE20" s="14">
        <f>VLOOKUP(A20,Ergebnis_je_Aktie_verwässert!A$3:AK$103,19,FALSE)</f>
        <v>4.9023076923076925</v>
      </c>
      <c r="AF20" s="12">
        <f ca="1">VLOOKUP(A20,Ergebnis_je_Aktie_verwässert!A$3:AK$103,24,FALSE)</f>
        <v>0.33528950258904744</v>
      </c>
      <c r="AG20" s="40">
        <f>VLOOKUP(A20,Ergebnis_je_Aktie_verwässert!A$3:AK$103,37,FALSE)</f>
        <v>-2.0057306590257951E-2</v>
      </c>
      <c r="AH20" s="16">
        <f t="shared" ca="1" si="7"/>
        <v>6.4147048710601711</v>
      </c>
      <c r="AI20" s="12">
        <f t="shared" ca="1" si="8"/>
        <v>0.30850719164886575</v>
      </c>
      <c r="AJ20" s="32">
        <f ca="1">IF(AF20&lt;Bewertung_Stammdaten!B$38,Bewertung_Stammdaten!A$38,IF(AF20&lt;Bewertung_Stammdaten!B$39,Bewertung_Stammdaten!A$39,IF(AF20&lt;Bewertung_Stammdaten!B$40,Bewertung_Stammdaten!A$40,IF(AF20&lt;Bewertung_Stammdaten!B$41,Bewertung_Stammdaten!A$41,IF(AF20&lt;Bewertung_Stammdaten!B$42,Bewertung_Stammdaten!A$42,IF(AF20&lt;Bewertung_Stammdaten!B$43,Bewertung_Stammdaten!A$43,IF(AF20&lt;Bewertung_Stammdaten!B$44,Bewertung_Stammdaten!A$44,IF(AF20&lt;Bewertung_Stammdaten!B$45,Bewertung_Stammdaten!A$45,IF(AF20&lt;Bewertung_Stammdaten!B$46,Bewertung_Stammdaten!A$46,Bewertung_Stammdaten!A$47)))))))))</f>
        <v>14</v>
      </c>
      <c r="AK20" s="32">
        <f>IF(AG20&lt;Bewertung_Stammdaten!F$38,Bewertung_Stammdaten!E$38,IF(AG20&lt;Bewertung_Stammdaten!F$39,Bewertung_Stammdaten!E$39,IF(AG20&lt;Bewertung_Stammdaten!F$40,Bewertung_Stammdaten!E$40,IF(AG20&lt;Bewertung_Stammdaten!F$41,Bewertung_Stammdaten!E$41,IF(AG20&lt;Bewertung_Stammdaten!F$42,Bewertung_Stammdaten!E$42,IF(AG20&lt;Bewertung_Stammdaten!F$43,Bewertung_Stammdaten!E$43,IF(AG20&lt;Bewertung_Stammdaten!F$44,Bewertung_Stammdaten!E$44,IF(AG20&lt;Bewertung_Stammdaten!F$45,Bewertung_Stammdaten!E$45,IF(AG20&lt;Bewertung_Stammdaten!F$46,Bewertung_Stammdaten!E$46,Bewertung_Stammdaten!E$47)))))))))</f>
        <v>10.5</v>
      </c>
      <c r="AL20" s="32">
        <f ca="1">IF(AI20&lt;Bewertung_Stammdaten!J$38,Bewertung_Stammdaten!I$38,IF(AI20&lt;Bewertung_Stammdaten!J$39,Bewertung_Stammdaten!I$39,IF(AI20&lt;Bewertung_Stammdaten!J$40,Bewertung_Stammdaten!I$40,IF(AI20&lt;Bewertung_Stammdaten!J$41,Bewertung_Stammdaten!I$41,IF(AI20&lt;Bewertung_Stammdaten!J$42,Bewertung_Stammdaten!I$42,IF(AI20&lt;Bewertung_Stammdaten!J$43,Bewertung_Stammdaten!I$43,IF(AI20&lt;Bewertung_Stammdaten!J$44,Bewertung_Stammdaten!I$44,IF(AI20&lt;Bewertung_Stammdaten!J$45,Bewertung_Stammdaten!I$45,IF(AI20&lt;Bewertung_Stammdaten!J$46,Bewertung_Stammdaten!I$46,Bewertung_Stammdaten!I$47)))))))))</f>
        <v>7</v>
      </c>
      <c r="AM20" s="43"/>
      <c r="AN20" s="14">
        <f ca="1">VLOOKUP(A20,Dividende_je_Aktie!A$3:AM$103,24,FALSE)</f>
        <v>3.3649999999999998</v>
      </c>
      <c r="AO20" s="14">
        <f>VLOOKUP(A20,Dividende_je_Aktie!A$3:AM$103,20,FALSE)</f>
        <v>2.2571428571428571</v>
      </c>
      <c r="AP20" s="12">
        <f ca="1">VLOOKUP(A20,Dividende_je_Aktie!A$3:AM$103,25,FALSE)</f>
        <v>0.49082278481012653</v>
      </c>
      <c r="AQ20" s="40">
        <f>VLOOKUP(A20,Dividende_je_Aktie!A$3:AM$103,39,FALSE)</f>
        <v>4.1666666666666741E-2</v>
      </c>
      <c r="AR20" s="16">
        <f t="shared" ca="1" si="9"/>
        <v>3.3649999999999998</v>
      </c>
      <c r="AS20" s="12">
        <f t="shared" ca="1" si="10"/>
        <v>0.49082278481012653</v>
      </c>
      <c r="AT20" s="32">
        <f ca="1">IF(AP20&lt;Bewertung_Stammdaten!B$51,Bewertung_Stammdaten!A$51,IF(AP20&lt;Bewertung_Stammdaten!B$52,Bewertung_Stammdaten!A$52,IF(AP20&lt;Bewertung_Stammdaten!B$53,Bewertung_Stammdaten!A$53,IF(AP20&lt;Bewertung_Stammdaten!B$54,Bewertung_Stammdaten!A$54,IF(AP20&lt;Bewertung_Stammdaten!B$55,Bewertung_Stammdaten!A$55,IF(AP20&lt;Bewertung_Stammdaten!B$56,Bewertung_Stammdaten!A$56,IF(AP20&lt;Bewertung_Stammdaten!B$57,Bewertung_Stammdaten!A$57,IF(AP20&lt;Bewertung_Stammdaten!B$58,Bewertung_Stammdaten!A$58,IF(AP20&lt;Bewertung_Stammdaten!B$59,Bewertung_Stammdaten!A$59,Bewertung_Stammdaten!A$60)))))))))</f>
        <v>14</v>
      </c>
      <c r="AU20" s="32">
        <f>IF(AQ20&lt;Bewertung_Stammdaten!F$51,Bewertung_Stammdaten!E$51,IF(AQ20&lt;Bewertung_Stammdaten!F$52,Bewertung_Stammdaten!E$52,IF(AQ20&lt;Bewertung_Stammdaten!F$53,Bewertung_Stammdaten!E$53,IF(AQ20&lt;Bewertung_Stammdaten!F$54,Bewertung_Stammdaten!E$54,IF(AQ20&lt;Bewertung_Stammdaten!F$55,Bewertung_Stammdaten!E$55,IF(AQ20&lt;Bewertung_Stammdaten!F$56,Bewertung_Stammdaten!E$56,IF(AQ20&lt;Bewertung_Stammdaten!F$57,Bewertung_Stammdaten!E$57,IF(AQ20&lt;Bewertung_Stammdaten!F$58,Bewertung_Stammdaten!E$58,IF(AQ20&lt;Bewertung_Stammdaten!F$59,Bewertung_Stammdaten!E$59,Bewertung_Stammdaten!E$60)))))))))</f>
        <v>12</v>
      </c>
      <c r="AV20" s="32">
        <f ca="1">IF(AS20&lt;Bewertung_Stammdaten!J$51,Bewertung_Stammdaten!I$51,IF(AS20&lt;Bewertung_Stammdaten!J$52,Bewertung_Stammdaten!I$52,IF(AS20&lt;Bewertung_Stammdaten!J$53,Bewertung_Stammdaten!I$53,IF(AS20&lt;Bewertung_Stammdaten!J$54,Bewertung_Stammdaten!I$54,IF(AS20&lt;Bewertung_Stammdaten!J$55,Bewertung_Stammdaten!I$55,IF(AS20&lt;Bewertung_Stammdaten!J$56,Bewertung_Stammdaten!I$56,IF(AS20&lt;Bewertung_Stammdaten!J$57,Bewertung_Stammdaten!I$57,IF(AS20&lt;Bewertung_Stammdaten!J$58,Bewertung_Stammdaten!I$58,IF(AS20&lt;Bewertung_Stammdaten!J$59,Bewertung_Stammdaten!I$59,Bewertung_Stammdaten!I$60)))))))))</f>
        <v>9</v>
      </c>
      <c r="AW20" s="43"/>
      <c r="AX20" s="12">
        <f ca="1">VLOOKUP(A20,Dividendenrendite!A$3:R$103,17,FALSE)</f>
        <v>2.1751777634130574E-2</v>
      </c>
      <c r="AY20" s="12">
        <f>VLOOKUP(A20,Dividendenrendite!A$3:R$103,16,FALSE)</f>
        <v>1.994964070569796E-2</v>
      </c>
      <c r="AZ20" s="12">
        <f ca="1">VLOOKUP(A20,Dividendenrendite!A$3:R$103,18,FALSE)</f>
        <v>9.0334305014219796E-2</v>
      </c>
      <c r="BA20" s="32">
        <f ca="1">IF(AX20&lt;Bewertung_Stammdaten!B$64,Bewertung_Stammdaten!A$64,IF(AX20&lt;Bewertung_Stammdaten!B$65,Bewertung_Stammdaten!A$65,IF(AX20&lt;Bewertung_Stammdaten!B$66,Bewertung_Stammdaten!A$66,IF(AX20&lt;Bewertung_Stammdaten!B$67,Bewertung_Stammdaten!A$67,IF(AX20&lt;Bewertung_Stammdaten!B$68,Bewertung_Stammdaten!A$68,IF(AX20&lt;Bewertung_Stammdaten!B$69,Bewertung_Stammdaten!A$69,IF(AX20&lt;Bewertung_Stammdaten!B$70,Bewertung_Stammdaten!A$70,IF(AX20&lt;Bewertung_Stammdaten!B$71,Bewertung_Stammdaten!A$71,IF(AX20&lt;Bewertung_Stammdaten!B$72,Bewertung_Stammdaten!A$72,Bewertung_Stammdaten!A$73)))))))))</f>
        <v>7.5</v>
      </c>
      <c r="BB20" s="32">
        <f>IF(AY20&lt;Bewertung_Stammdaten!F$64,Bewertung_Stammdaten!E$64,IF(AY20&lt;Bewertung_Stammdaten!F$65,Bewertung_Stammdaten!E$65,IF(AY20&lt;Bewertung_Stammdaten!F$66,Bewertung_Stammdaten!E$66,IF(AY20&lt;Bewertung_Stammdaten!F$67,Bewertung_Stammdaten!E$67,IF(AY20&lt;Bewertung_Stammdaten!F$68,Bewertung_Stammdaten!E$68,IF(AY20&lt;Bewertung_Stammdaten!F$69,Bewertung_Stammdaten!E$69,IF(AY20&lt;Bewertung_Stammdaten!F$70,Bewertung_Stammdaten!E$70,IF(AY20&lt;Bewertung_Stammdaten!F$71,Bewertung_Stammdaten!E$71,IF(AY20&lt;Bewertung_Stammdaten!F$72,Bewertung_Stammdaten!E$72,Bewertung_Stammdaten!E$73)))))))))</f>
        <v>4</v>
      </c>
      <c r="BC20" s="32">
        <f ca="1">IF(AZ20&lt;Bewertung_Stammdaten!J$64,Bewertung_Stammdaten!I$64,IF(AZ20&lt;Bewertung_Stammdaten!J$65,Bewertung_Stammdaten!I$65,IF(AZ20&lt;Bewertung_Stammdaten!J$66,Bewertung_Stammdaten!I$66,IF(AZ20&lt;Bewertung_Stammdaten!J$67,Bewertung_Stammdaten!I$67,IF(AZ20&lt;Bewertung_Stammdaten!J$68,Bewertung_Stammdaten!I$68,IF(AZ20&lt;Bewertung_Stammdaten!J$69,Bewertung_Stammdaten!I$69,IF(AZ20&lt;Bewertung_Stammdaten!J$70,Bewertung_Stammdaten!I$70,IF(AZ20&lt;Bewertung_Stammdaten!J$71,Bewertung_Stammdaten!I$71,IF(AZ20&lt;Bewertung_Stammdaten!J$72,Bewertung_Stammdaten!I$72,Bewertung_Stammdaten!I$73)))))))))</f>
        <v>3.5</v>
      </c>
      <c r="BD20" s="43"/>
      <c r="BE20" s="12">
        <f>VLOOKUP(A20,Aktien_im_Umlauf_splitbereinigt!A$3:AB$103,28,FALSE)</f>
        <v>3.1181512036062564E-3</v>
      </c>
      <c r="BF20" s="12">
        <f>VLOOKUP(A20,Aktien_im_Umlauf_splitbereinigt!A$3:AA$103,26,FALSE)</f>
        <v>-1.5288646294329921E-2</v>
      </c>
      <c r="BG20" s="12">
        <f>VLOOKUP(A20,Aktien_im_Umlauf_splitbereinigt!A$3:AA$103,27,FALSE)</f>
        <v>-1.2039520794435987</v>
      </c>
      <c r="BH20" s="41">
        <f>IF(BE20&lt;Bewertung_Stammdaten!B$77,Bewertung_Stammdaten!A$77,IF(BE20&lt;Bewertung_Stammdaten!B$78,Bewertung_Stammdaten!A$78,IF(BE20&lt;Bewertung_Stammdaten!B$79,Bewertung_Stammdaten!A$79,IF(BE20&lt;Bewertung_Stammdaten!B$80,Bewertung_Stammdaten!A$80,IF(BE20&lt;Bewertung_Stammdaten!B$81,Bewertung_Stammdaten!A$81,IF(BE20&lt;Bewertung_Stammdaten!B$82,Bewertung_Stammdaten!A$82,IF(BE20&lt;Bewertung_Stammdaten!B$83,Bewertung_Stammdaten!A$83,IF(BE20&lt;Bewertung_Stammdaten!B$84,Bewertung_Stammdaten!A$84,IF(BE20&lt;Bewertung_Stammdaten!B$85,Bewertung_Stammdaten!A$85,Bewertung_Stammdaten!A$86)))))))))</f>
        <v>2</v>
      </c>
      <c r="BI20" s="41">
        <f>IF(BF20&lt;Bewertung_Stammdaten!F$77,Bewertung_Stammdaten!E$77,IF(BF20&lt;Bewertung_Stammdaten!F$78,Bewertung_Stammdaten!E$78,IF(BF20&lt;Bewertung_Stammdaten!F$79,Bewertung_Stammdaten!E$79,IF(BF20&lt;Bewertung_Stammdaten!F$80,Bewertung_Stammdaten!E$80,IF(BF20&lt;Bewertung_Stammdaten!F$81,Bewertung_Stammdaten!E$81,IF(BF20&lt;Bewertung_Stammdaten!F$82,Bewertung_Stammdaten!E$82,IF(BF20&lt;Bewertung_Stammdaten!F$83,Bewertung_Stammdaten!E$83,IF(BF20&lt;Bewertung_Stammdaten!F$84,Bewertung_Stammdaten!E$84,IF(BF20&lt;Bewertung_Stammdaten!F$85,Bewertung_Stammdaten!E$85,Bewertung_Stammdaten!E$86)))))))))</f>
        <v>6</v>
      </c>
      <c r="BJ20" s="41">
        <f>IF(BG20&lt;Bewertung_Stammdaten!J$77,Bewertung_Stammdaten!I$77,IF(BG20&lt;Bewertung_Stammdaten!J$78,Bewertung_Stammdaten!I$78,IF(BG20&lt;Bewertung_Stammdaten!J$79,Bewertung_Stammdaten!I$79,IF(BG20&lt;Bewertung_Stammdaten!J$80,Bewertung_Stammdaten!I$80,IF(BG20&lt;Bewertung_Stammdaten!J$81,Bewertung_Stammdaten!I$81,IF(BG20&lt;Bewertung_Stammdaten!J$82,Bewertung_Stammdaten!I$82,IF(BG20&lt;Bewertung_Stammdaten!J$83,Bewertung_Stammdaten!I$83,IF(BG20&lt;Bewertung_Stammdaten!J$84,Bewertung_Stammdaten!I$84,IF(BG20&lt;Bewertung_Stammdaten!J$85,Bewertung_Stammdaten!I$85,Bewertung_Stammdaten!I$86)))))))))</f>
        <v>1</v>
      </c>
      <c r="BK20" s="43"/>
      <c r="BL20" s="12">
        <f ca="1">VLOOKUP(A20,Ausschüttungsquote!A$3:AL$103,37,FALSE)</f>
        <v>0.51398589932775862</v>
      </c>
      <c r="BM20" s="12">
        <f>VLOOKUP(A20,Ausschüttungsquote!A$3:AL$103,19,FALSE)</f>
        <v>0.77539629211258188</v>
      </c>
      <c r="BN20" s="12">
        <f ca="1">VLOOKUP(A20,Ausschüttungsquote!A$3:AL$103,38,FALSE)</f>
        <v>9.7052046455264884E-2</v>
      </c>
      <c r="BO20" s="32">
        <f ca="1">IF(BL20&lt;Bewertung_Stammdaten!B$90,Bewertung_Stammdaten!A$90,IF(BL20&lt;Bewertung_Stammdaten!B$91,Bewertung_Stammdaten!A$91,IF(BL20&lt;Bewertung_Stammdaten!B$92,Bewertung_Stammdaten!A$92,IF(BL20&lt;Bewertung_Stammdaten!B$93,Bewertung_Stammdaten!A$93,IF(BL20&lt;Bewertung_Stammdaten!B$94,Bewertung_Stammdaten!A$94,IF(BL20&lt;Bewertung_Stammdaten!B$95,Bewertung_Stammdaten!A$95,IF(BL20&lt;Bewertung_Stammdaten!B$96,Bewertung_Stammdaten!A$96,IF(BL20&lt;Bewertung_Stammdaten!B$97,Bewertung_Stammdaten!A$97,IF(BL20&lt;Bewertung_Stammdaten!B$98,Bewertung_Stammdaten!A$98,Bewertung_Stammdaten!A$99)))))))))</f>
        <v>7</v>
      </c>
      <c r="BP20" s="41">
        <f>IF(BM20&lt;Bewertung_Stammdaten!F$90,Bewertung_Stammdaten!E$90,IF(BM20&lt;Bewertung_Stammdaten!F$91,Bewertung_Stammdaten!E$91,IF(BM20&lt;Bewertung_Stammdaten!F$92,Bewertung_Stammdaten!E$92,IF(BM20&lt;Bewertung_Stammdaten!F$93,Bewertung_Stammdaten!E$93,IF(BM20&lt;Bewertung_Stammdaten!F$94,Bewertung_Stammdaten!E$94,IF(BM20&lt;Bewertung_Stammdaten!F$95,Bewertung_Stammdaten!E$95,IF(BM20&lt;Bewertung_Stammdaten!F$96,Bewertung_Stammdaten!E$96,IF(BM20&lt;Bewertung_Stammdaten!F$97,Bewertung_Stammdaten!E$97,IF(BM20&lt;Bewertung_Stammdaten!F$98,Bewertung_Stammdaten!E$98,Bewertung_Stammdaten!E$99)))))))))</f>
        <v>2</v>
      </c>
      <c r="BQ20" s="32">
        <f ca="1">IF(BN20&lt;Bewertung_Stammdaten!J$90,Bewertung_Stammdaten!I$90,IF(BN20&lt;Bewertung_Stammdaten!J$91,Bewertung_Stammdaten!I$91,IF(BN20&lt;Bewertung_Stammdaten!J$92,Bewertung_Stammdaten!I$92,IF(BN20&lt;Bewertung_Stammdaten!J$93,Bewertung_Stammdaten!I$93,IF(BN20&lt;Bewertung_Stammdaten!J$94,Bewertung_Stammdaten!I$94,IF(BN20&lt;Bewertung_Stammdaten!J$95,Bewertung_Stammdaten!I$95,IF(BN20&lt;Bewertung_Stammdaten!J$96,Bewertung_Stammdaten!I$96,IF(BN20&lt;Bewertung_Stammdaten!J$97,Bewertung_Stammdaten!I$97,IF(BN20&lt;Bewertung_Stammdaten!J$98,Bewertung_Stammdaten!I$98,Bewertung_Stammdaten!I$99)))))))))</f>
        <v>4</v>
      </c>
    </row>
    <row r="21" spans="1:69">
      <c r="A21" s="38" t="s">
        <v>79</v>
      </c>
      <c r="B21" s="38" t="s">
        <v>80</v>
      </c>
      <c r="C21" s="38" t="s">
        <v>282</v>
      </c>
      <c r="D21" s="32">
        <f t="shared" ca="1" si="0"/>
        <v>167.5</v>
      </c>
      <c r="E21" s="43"/>
      <c r="F21" s="60">
        <v>1</v>
      </c>
      <c r="G21" s="11">
        <f ca="1">VLOOKUP(A21,KGV!A$3:R$103,17,FALSE)</f>
        <v>19.848637739656912</v>
      </c>
      <c r="H21" s="11">
        <f>VLOOKUP(A21,KGV!A$3:R$103,16,FALSE)</f>
        <v>16.968036529680365</v>
      </c>
      <c r="I21" s="12">
        <f ca="1">VLOOKUP(A21,KGV!A$3:R$103,18,FALSE)</f>
        <v>0.1697663253457653</v>
      </c>
      <c r="J21" s="16">
        <f t="shared" ca="1" si="1"/>
        <v>22.758385680549026</v>
      </c>
      <c r="K21" s="12">
        <f t="shared" ca="1" si="2"/>
        <v>0.34125039398284085</v>
      </c>
      <c r="L21" s="11">
        <f ca="1">VLOOKUP(A21,KBV!A$3:R$103,17,FALSE)</f>
        <v>2.6374363100026814</v>
      </c>
      <c r="M21" s="11">
        <f>VLOOKUP(A21,KBV!A$3:R$103,16,FALSE)</f>
        <v>2.4835858585858586</v>
      </c>
      <c r="N21" s="12">
        <f ca="1">VLOOKUP(A21,KBV!A$3:R$103,18,FALSE)</f>
        <v>6.1946902654867131E-2</v>
      </c>
      <c r="O21" s="16">
        <f t="shared" ca="1" si="3"/>
        <v>2.6374363100026814</v>
      </c>
      <c r="P21" s="12">
        <f t="shared" ca="1" si="4"/>
        <v>6.1946902654867131E-2</v>
      </c>
      <c r="Q21" s="32">
        <f ca="1">IF(F21=1,IF(I21&lt;Bewertung_Stammdaten!B$12,Bewertung_Stammdaten!A$12,IF(I21&lt;Bewertung_Stammdaten!B$13,Bewertung_Stammdaten!A$13,IF(I21&lt;Bewertung_Stammdaten!B$14,Bewertung_Stammdaten!A$14,IF(I21&lt;Bewertung_Stammdaten!B$15,Bewertung_Stammdaten!A$15,IF(I21&lt;Bewertung_Stammdaten!B$16,Bewertung_Stammdaten!A$16,IF(I21&lt;Bewertung_Stammdaten!B$17,Bewertung_Stammdaten!A$17,IF(I21&lt;Bewertung_Stammdaten!B$18,Bewertung_Stammdaten!A$18,IF(I21&lt;Bewertung_Stammdaten!B$19,Bewertung_Stammdaten!A$19,IF(I21&lt;Bewertung_Stammdaten!B$20,Bewertung_Stammdaten!A$20,Bewertung_Stammdaten!A$21))))))))),IF(N21&lt;Bewertung_Stammdaten!C$12,Bewertung_Stammdaten!A$12,IF(N21&lt;Bewertung_Stammdaten!C$13,Bewertung_Stammdaten!A$13,IF(N21&lt;Bewertung_Stammdaten!C$14,Bewertung_Stammdaten!A$14,IF(N21&lt;Bewertung_Stammdaten!C$15,Bewertung_Stammdaten!A$15,IF(N21&lt;Bewertung_Stammdaten!C$16,Bewertung_Stammdaten!A$16,IF(N21&lt;Bewertung_Stammdaten!C$17,Bewertung_Stammdaten!A$17,IF(N21&lt;Bewertung_Stammdaten!C$18,Bewertung_Stammdaten!A$18,IF(N21&lt;Bewertung_Stammdaten!C$19,Bewertung_Stammdaten!A$19,IF(N21&lt;Bewertung_Stammdaten!C$20,Bewertung_Stammdaten!A$20,Bewertung_Stammdaten!A$21))))))))))</f>
        <v>18</v>
      </c>
      <c r="R21" s="32">
        <f ca="1">IF(F21=1,IF(K21&lt;Bewertung_Stammdaten!F$12,Bewertung_Stammdaten!E$12,IF(K21&lt;Bewertung_Stammdaten!F$13,Bewertung_Stammdaten!E$13,IF(K21&lt;Bewertung_Stammdaten!F$14,Bewertung_Stammdaten!E$14,IF(K21&lt;Bewertung_Stammdaten!F$15,Bewertung_Stammdaten!E$15,IF(K21&lt;Bewertung_Stammdaten!F$16,Bewertung_Stammdaten!E$16,IF(K21&lt;Bewertung_Stammdaten!F$17,Bewertung_Stammdaten!E$17,IF(K21&lt;Bewertung_Stammdaten!F$18,Bewertung_Stammdaten!E$18,IF(K21&lt;Bewertung_Stammdaten!F$19,Bewertung_Stammdaten!E$19,IF(K21&lt;Bewertung_Stammdaten!F$20,Bewertung_Stammdaten!E$20,Bewertung_Stammdaten!E$21))))))))),IF(P21&lt;Bewertung_Stammdaten!G$12,Bewertung_Stammdaten!E$12,IF(P21&lt;Bewertung_Stammdaten!G$13,Bewertung_Stammdaten!E$13,IF(P21&lt;Bewertung_Stammdaten!G$14,Bewertung_Stammdaten!E$14,IF(P21&lt;Bewertung_Stammdaten!G$15,Bewertung_Stammdaten!E$15,IF(P21&lt;Bewertung_Stammdaten!G$16,Bewertung_Stammdaten!E$16,IF(P21&lt;Bewertung_Stammdaten!G$17,Bewertung_Stammdaten!E$17,IF(P21&lt;Bewertung_Stammdaten!G$18,Bewertung_Stammdaten!E$18,IF(P21&lt;Bewertung_Stammdaten!G$19,Bewertung_Stammdaten!E$19,IF(P21&lt;Bewertung_Stammdaten!G$20,Bewertung_Stammdaten!E$20,Bewertung_Stammdaten!E$21))))))))))</f>
        <v>7.5</v>
      </c>
      <c r="S21" s="43"/>
      <c r="T21" s="11">
        <f ca="1">VLOOKUP(A21,Buchwert_je_Aktie!A$3:AK$103,23,FALSE)</f>
        <v>37.29</v>
      </c>
      <c r="U21" s="11">
        <f>VLOOKUP(A21,Buchwert_je_Aktie!A$3:AK$103,19,FALSE)</f>
        <v>24.11</v>
      </c>
      <c r="V21" s="12">
        <f ca="1">VLOOKUP(A21,Buchwert_je_Aktie!A$3:AK$103,24,FALSE)</f>
        <v>0.54666113645790126</v>
      </c>
      <c r="W21" s="12">
        <f>VLOOKUP(A21,Buchwert_je_Aktie!A$3:AK$103,37,FALSE)</f>
        <v>1.3404825737264314E-3</v>
      </c>
      <c r="X21" s="16">
        <f t="shared" ca="1" si="5"/>
        <v>37.29</v>
      </c>
      <c r="Y21" s="12">
        <f t="shared" ca="1" si="6"/>
        <v>0.54666113645790126</v>
      </c>
      <c r="Z21" s="51">
        <f ca="1">IF(V21&lt;Bewertung_Stammdaten!B$25,Bewertung_Stammdaten!A$25,IF(V21&lt;Bewertung_Stammdaten!B$26,Bewertung_Stammdaten!A$26,IF(V21&lt;Bewertung_Stammdaten!B$27,Bewertung_Stammdaten!A$27,IF(V21&lt;Bewertung_Stammdaten!B$28,Bewertung_Stammdaten!A$28,IF(V21&lt;Bewertung_Stammdaten!B$29,Bewertung_Stammdaten!A$29,IF(V21&lt;Bewertung_Stammdaten!B$30,Bewertung_Stammdaten!A$30,IF(V21&lt;Bewertung_Stammdaten!B$31,Bewertung_Stammdaten!A$31,IF(V21&lt;Bewertung_Stammdaten!B$32,Bewertung_Stammdaten!A$32,IF(V21&lt;Bewertung_Stammdaten!B$33,Bewertung_Stammdaten!A$33,Bewertung_Stammdaten!A$34)))))))))</f>
        <v>12</v>
      </c>
      <c r="AA21" s="51">
        <f>IF(W21&lt;Bewertung_Stammdaten!F$25,Bewertung_Stammdaten!E$25,IF(W21&lt;Bewertung_Stammdaten!F$26,Bewertung_Stammdaten!E$26,IF(W21&lt;Bewertung_Stammdaten!F$27,Bewertung_Stammdaten!E$27,IF(W21&lt;Bewertung_Stammdaten!F$28,Bewertung_Stammdaten!E$28,IF(W21&lt;Bewertung_Stammdaten!F$29,Bewertung_Stammdaten!E$29,IF(W21&lt;Bewertung_Stammdaten!F$30,Bewertung_Stammdaten!E$30,IF(W21&lt;Bewertung_Stammdaten!F$31,Bewertung_Stammdaten!E$31,IF(W21&lt;Bewertung_Stammdaten!F$32,Bewertung_Stammdaten!E$32,IF(W21&lt;Bewertung_Stammdaten!F$33,Bewertung_Stammdaten!E$33,Bewertung_Stammdaten!E$34)))))))))</f>
        <v>12</v>
      </c>
      <c r="AB21" s="51">
        <f ca="1">IF(Y21&lt;Bewertung_Stammdaten!J$25,Bewertung_Stammdaten!I$25,IF(Y21&lt;Bewertung_Stammdaten!J$26,Bewertung_Stammdaten!I$26,IF(Y21&lt;Bewertung_Stammdaten!J$27,Bewertung_Stammdaten!I$27,IF(Y21&lt;Bewertung_Stammdaten!J$28,Bewertung_Stammdaten!I$28,IF(Y21&lt;Bewertung_Stammdaten!J$29,Bewertung_Stammdaten!I$29,IF(Y21&lt;Bewertung_Stammdaten!J$30,Bewertung_Stammdaten!I$30,IF(Y21&lt;Bewertung_Stammdaten!J$31,Bewertung_Stammdaten!I$31,IF(Y21&lt;Bewertung_Stammdaten!J$32,Bewertung_Stammdaten!I$32,IF(Y21&lt;Bewertung_Stammdaten!J$33,Bewertung_Stammdaten!I$33,Bewertung_Stammdaten!I$34)))))))))</f>
        <v>8</v>
      </c>
      <c r="AC21" s="43"/>
      <c r="AD21" s="14">
        <f ca="1">VLOOKUP(A21,Ergebnis_je_Aktie_verwässert!A$3:AK$103,23,FALSE)</f>
        <v>4.9550000000000001</v>
      </c>
      <c r="AE21" s="14">
        <f>VLOOKUP(A21,Ergebnis_je_Aktie_verwässert!A$3:AK$103,19,FALSE)</f>
        <v>3.6007692307692305</v>
      </c>
      <c r="AF21" s="12">
        <f ca="1">VLOOKUP(A21,Ergebnis_je_Aktie_verwässert!A$3:AK$103,24,FALSE)</f>
        <v>0.37609485152745159</v>
      </c>
      <c r="AG21" s="40">
        <f>VLOOKUP(A21,Ergebnis_je_Aktie_verwässert!A$3:AK$103,37,FALSE)</f>
        <v>-0.12785388127853881</v>
      </c>
      <c r="AH21" s="16">
        <f t="shared" ca="1" si="7"/>
        <v>4.3214840182648402</v>
      </c>
      <c r="AI21" s="12">
        <f t="shared" ca="1" si="8"/>
        <v>0.20015578375225229</v>
      </c>
      <c r="AJ21" s="32">
        <f ca="1">IF(AF21&lt;Bewertung_Stammdaten!B$38,Bewertung_Stammdaten!A$38,IF(AF21&lt;Bewertung_Stammdaten!B$39,Bewertung_Stammdaten!A$39,IF(AF21&lt;Bewertung_Stammdaten!B$40,Bewertung_Stammdaten!A$40,IF(AF21&lt;Bewertung_Stammdaten!B$41,Bewertung_Stammdaten!A$41,IF(AF21&lt;Bewertung_Stammdaten!B$42,Bewertung_Stammdaten!A$42,IF(AF21&lt;Bewertung_Stammdaten!B$43,Bewertung_Stammdaten!A$43,IF(AF21&lt;Bewertung_Stammdaten!B$44,Bewertung_Stammdaten!A$44,IF(AF21&lt;Bewertung_Stammdaten!B$45,Bewertung_Stammdaten!A$45,IF(AF21&lt;Bewertung_Stammdaten!B$46,Bewertung_Stammdaten!A$46,Bewertung_Stammdaten!A$47)))))))))</f>
        <v>14</v>
      </c>
      <c r="AK21" s="32">
        <f>IF(AG21&lt;Bewertung_Stammdaten!F$38,Bewertung_Stammdaten!E$38,IF(AG21&lt;Bewertung_Stammdaten!F$39,Bewertung_Stammdaten!E$39,IF(AG21&lt;Bewertung_Stammdaten!F$40,Bewertung_Stammdaten!E$40,IF(AG21&lt;Bewertung_Stammdaten!F$41,Bewertung_Stammdaten!E$41,IF(AG21&lt;Bewertung_Stammdaten!F$42,Bewertung_Stammdaten!E$42,IF(AG21&lt;Bewertung_Stammdaten!F$43,Bewertung_Stammdaten!E$43,IF(AG21&lt;Bewertung_Stammdaten!F$44,Bewertung_Stammdaten!E$44,IF(AG21&lt;Bewertung_Stammdaten!F$45,Bewertung_Stammdaten!E$45,IF(AG21&lt;Bewertung_Stammdaten!F$46,Bewertung_Stammdaten!E$46,Bewertung_Stammdaten!E$47)))))))))</f>
        <v>9</v>
      </c>
      <c r="AL21" s="32">
        <f ca="1">IF(AI21&lt;Bewertung_Stammdaten!J$38,Bewertung_Stammdaten!I$38,IF(AI21&lt;Bewertung_Stammdaten!J$39,Bewertung_Stammdaten!I$39,IF(AI21&lt;Bewertung_Stammdaten!J$40,Bewertung_Stammdaten!I$40,IF(AI21&lt;Bewertung_Stammdaten!J$41,Bewertung_Stammdaten!I$41,IF(AI21&lt;Bewertung_Stammdaten!J$42,Bewertung_Stammdaten!I$42,IF(AI21&lt;Bewertung_Stammdaten!J$43,Bewertung_Stammdaten!I$43,IF(AI21&lt;Bewertung_Stammdaten!J$44,Bewertung_Stammdaten!I$44,IF(AI21&lt;Bewertung_Stammdaten!J$45,Bewertung_Stammdaten!I$45,IF(AI21&lt;Bewertung_Stammdaten!J$46,Bewertung_Stammdaten!I$46,Bewertung_Stammdaten!I$47)))))))))</f>
        <v>6</v>
      </c>
      <c r="AM21" s="43"/>
      <c r="AN21" s="14">
        <f ca="1">VLOOKUP(A21,Dividende_je_Aktie!A$3:AM$103,24,FALSE)</f>
        <v>1.6120000000000001</v>
      </c>
      <c r="AO21" s="14">
        <f>VLOOKUP(A21,Dividende_je_Aktie!A$3:AM$103,20,FALSE)</f>
        <v>1.0071428571428569</v>
      </c>
      <c r="AP21" s="12">
        <f ca="1">VLOOKUP(A21,Dividende_je_Aktie!A$3:AM$103,25,FALSE)</f>
        <v>0.60056737588652531</v>
      </c>
      <c r="AQ21" s="40">
        <f>VLOOKUP(A21,Dividende_je_Aktie!A$3:AM$103,39,FALSE)</f>
        <v>0</v>
      </c>
      <c r="AR21" s="16">
        <f t="shared" ca="1" si="9"/>
        <v>1.6120000000000001</v>
      </c>
      <c r="AS21" s="12">
        <f t="shared" ca="1" si="10"/>
        <v>0.60056737588652531</v>
      </c>
      <c r="AT21" s="32">
        <f ca="1">IF(AP21&lt;Bewertung_Stammdaten!B$51,Bewertung_Stammdaten!A$51,IF(AP21&lt;Bewertung_Stammdaten!B$52,Bewertung_Stammdaten!A$52,IF(AP21&lt;Bewertung_Stammdaten!B$53,Bewertung_Stammdaten!A$53,IF(AP21&lt;Bewertung_Stammdaten!B$54,Bewertung_Stammdaten!A$54,IF(AP21&lt;Bewertung_Stammdaten!B$55,Bewertung_Stammdaten!A$55,IF(AP21&lt;Bewertung_Stammdaten!B$56,Bewertung_Stammdaten!A$56,IF(AP21&lt;Bewertung_Stammdaten!B$57,Bewertung_Stammdaten!A$57,IF(AP21&lt;Bewertung_Stammdaten!B$58,Bewertung_Stammdaten!A$58,IF(AP21&lt;Bewertung_Stammdaten!B$59,Bewertung_Stammdaten!A$59,Bewertung_Stammdaten!A$60)))))))))</f>
        <v>18</v>
      </c>
      <c r="AU21" s="32">
        <f>IF(AQ21&lt;Bewertung_Stammdaten!F$51,Bewertung_Stammdaten!E$51,IF(AQ21&lt;Bewertung_Stammdaten!F$52,Bewertung_Stammdaten!E$52,IF(AQ21&lt;Bewertung_Stammdaten!F$53,Bewertung_Stammdaten!E$53,IF(AQ21&lt;Bewertung_Stammdaten!F$54,Bewertung_Stammdaten!E$54,IF(AQ21&lt;Bewertung_Stammdaten!F$55,Bewertung_Stammdaten!E$55,IF(AQ21&lt;Bewertung_Stammdaten!F$56,Bewertung_Stammdaten!E$56,IF(AQ21&lt;Bewertung_Stammdaten!F$57,Bewertung_Stammdaten!E$57,IF(AQ21&lt;Bewertung_Stammdaten!F$58,Bewertung_Stammdaten!E$58,IF(AQ21&lt;Bewertung_Stammdaten!F$59,Bewertung_Stammdaten!E$59,Bewertung_Stammdaten!E$60)))))))))</f>
        <v>12</v>
      </c>
      <c r="AV21" s="32">
        <f ca="1">IF(AS21&lt;Bewertung_Stammdaten!J$51,Bewertung_Stammdaten!I$51,IF(AS21&lt;Bewertung_Stammdaten!J$52,Bewertung_Stammdaten!I$52,IF(AS21&lt;Bewertung_Stammdaten!J$53,Bewertung_Stammdaten!I$53,IF(AS21&lt;Bewertung_Stammdaten!J$54,Bewertung_Stammdaten!I$54,IF(AS21&lt;Bewertung_Stammdaten!J$55,Bewertung_Stammdaten!I$55,IF(AS21&lt;Bewertung_Stammdaten!J$56,Bewertung_Stammdaten!I$56,IF(AS21&lt;Bewertung_Stammdaten!J$57,Bewertung_Stammdaten!I$57,IF(AS21&lt;Bewertung_Stammdaten!J$58,Bewertung_Stammdaten!I$58,IF(AS21&lt;Bewertung_Stammdaten!J$59,Bewertung_Stammdaten!I$59,Bewertung_Stammdaten!I$60)))))))))</f>
        <v>10</v>
      </c>
      <c r="AW21" s="43"/>
      <c r="AX21" s="12">
        <f ca="1">VLOOKUP(A21,Dividendenrendite!A$3:R$103,17,FALSE)</f>
        <v>1.639044229791561E-2</v>
      </c>
      <c r="AY21" s="12">
        <f>VLOOKUP(A21,Dividendenrendite!A$3:R$103,16,FALSE)</f>
        <v>1.5887752699093094E-2</v>
      </c>
      <c r="AZ21" s="12">
        <f ca="1">VLOOKUP(A21,Dividendenrendite!A$3:R$103,18,FALSE)</f>
        <v>3.1640069451182473E-2</v>
      </c>
      <c r="BA21" s="32">
        <f ca="1">IF(AX21&lt;Bewertung_Stammdaten!B$64,Bewertung_Stammdaten!A$64,IF(AX21&lt;Bewertung_Stammdaten!B$65,Bewertung_Stammdaten!A$65,IF(AX21&lt;Bewertung_Stammdaten!B$66,Bewertung_Stammdaten!A$66,IF(AX21&lt;Bewertung_Stammdaten!B$67,Bewertung_Stammdaten!A$67,IF(AX21&lt;Bewertung_Stammdaten!B$68,Bewertung_Stammdaten!A$68,IF(AX21&lt;Bewertung_Stammdaten!B$69,Bewertung_Stammdaten!A$69,IF(AX21&lt;Bewertung_Stammdaten!B$70,Bewertung_Stammdaten!A$70,IF(AX21&lt;Bewertung_Stammdaten!B$71,Bewertung_Stammdaten!A$71,IF(AX21&lt;Bewertung_Stammdaten!B$72,Bewertung_Stammdaten!A$72,Bewertung_Stammdaten!A$73)))))))))</f>
        <v>6</v>
      </c>
      <c r="BB21" s="32">
        <f>IF(AY21&lt;Bewertung_Stammdaten!F$64,Bewertung_Stammdaten!E$64,IF(AY21&lt;Bewertung_Stammdaten!F$65,Bewertung_Stammdaten!E$65,IF(AY21&lt;Bewertung_Stammdaten!F$66,Bewertung_Stammdaten!E$66,IF(AY21&lt;Bewertung_Stammdaten!F$67,Bewertung_Stammdaten!E$67,IF(AY21&lt;Bewertung_Stammdaten!F$68,Bewertung_Stammdaten!E$68,IF(AY21&lt;Bewertung_Stammdaten!F$69,Bewertung_Stammdaten!E$69,IF(AY21&lt;Bewertung_Stammdaten!F$70,Bewertung_Stammdaten!E$70,IF(AY21&lt;Bewertung_Stammdaten!F$71,Bewertung_Stammdaten!E$71,IF(AY21&lt;Bewertung_Stammdaten!F$72,Bewertung_Stammdaten!E$72,Bewertung_Stammdaten!E$73)))))))))</f>
        <v>4</v>
      </c>
      <c r="BC21" s="32">
        <f ca="1">IF(AZ21&lt;Bewertung_Stammdaten!J$64,Bewertung_Stammdaten!I$64,IF(AZ21&lt;Bewertung_Stammdaten!J$65,Bewertung_Stammdaten!I$65,IF(AZ21&lt;Bewertung_Stammdaten!J$66,Bewertung_Stammdaten!I$66,IF(AZ21&lt;Bewertung_Stammdaten!J$67,Bewertung_Stammdaten!I$67,IF(AZ21&lt;Bewertung_Stammdaten!J$68,Bewertung_Stammdaten!I$68,IF(AZ21&lt;Bewertung_Stammdaten!J$69,Bewertung_Stammdaten!I$69,IF(AZ21&lt;Bewertung_Stammdaten!J$70,Bewertung_Stammdaten!I$70,IF(AZ21&lt;Bewertung_Stammdaten!J$71,Bewertung_Stammdaten!I$71,IF(AZ21&lt;Bewertung_Stammdaten!J$72,Bewertung_Stammdaten!I$72,Bewertung_Stammdaten!I$73)))))))))</f>
        <v>3</v>
      </c>
      <c r="BD21" s="43"/>
      <c r="BE21" s="12">
        <f>VLOOKUP(A21,Aktien_im_Umlauf_splitbereinigt!A$3:AB$103,28,FALSE)</f>
        <v>0</v>
      </c>
      <c r="BF21" s="12">
        <f>VLOOKUP(A21,Aktien_im_Umlauf_splitbereinigt!A$3:AA$103,26,FALSE)</f>
        <v>-9.132420091328975E-6</v>
      </c>
      <c r="BG21" s="12">
        <f>VLOOKUP(A21,Aktien_im_Umlauf_splitbereinigt!A$3:AA$103,27,FALSE)</f>
        <v>-1</v>
      </c>
      <c r="BH21" s="41">
        <f>IF(BE21&lt;Bewertung_Stammdaten!B$77,Bewertung_Stammdaten!A$77,IF(BE21&lt;Bewertung_Stammdaten!B$78,Bewertung_Stammdaten!A$78,IF(BE21&lt;Bewertung_Stammdaten!B$79,Bewertung_Stammdaten!A$79,IF(BE21&lt;Bewertung_Stammdaten!B$80,Bewertung_Stammdaten!A$80,IF(BE21&lt;Bewertung_Stammdaten!B$81,Bewertung_Stammdaten!A$81,IF(BE21&lt;Bewertung_Stammdaten!B$82,Bewertung_Stammdaten!A$82,IF(BE21&lt;Bewertung_Stammdaten!B$83,Bewertung_Stammdaten!A$83,IF(BE21&lt;Bewertung_Stammdaten!B$84,Bewertung_Stammdaten!A$84,IF(BE21&lt;Bewertung_Stammdaten!B$85,Bewertung_Stammdaten!A$85,Bewertung_Stammdaten!A$86)))))))))</f>
        <v>2</v>
      </c>
      <c r="BI21" s="41">
        <f>IF(BF21&lt;Bewertung_Stammdaten!F$77,Bewertung_Stammdaten!E$77,IF(BF21&lt;Bewertung_Stammdaten!F$78,Bewertung_Stammdaten!E$78,IF(BF21&lt;Bewertung_Stammdaten!F$79,Bewertung_Stammdaten!E$79,IF(BF21&lt;Bewertung_Stammdaten!F$80,Bewertung_Stammdaten!E$80,IF(BF21&lt;Bewertung_Stammdaten!F$81,Bewertung_Stammdaten!E$81,IF(BF21&lt;Bewertung_Stammdaten!F$82,Bewertung_Stammdaten!E$82,IF(BF21&lt;Bewertung_Stammdaten!F$83,Bewertung_Stammdaten!E$83,IF(BF21&lt;Bewertung_Stammdaten!F$84,Bewertung_Stammdaten!E$84,IF(BF21&lt;Bewertung_Stammdaten!F$85,Bewertung_Stammdaten!E$85,Bewertung_Stammdaten!E$86)))))))))</f>
        <v>3</v>
      </c>
      <c r="BJ21" s="41">
        <f>IF(BG21&lt;Bewertung_Stammdaten!J$77,Bewertung_Stammdaten!I$77,IF(BG21&lt;Bewertung_Stammdaten!J$78,Bewertung_Stammdaten!I$78,IF(BG21&lt;Bewertung_Stammdaten!J$79,Bewertung_Stammdaten!I$79,IF(BG21&lt;Bewertung_Stammdaten!J$80,Bewertung_Stammdaten!I$80,IF(BG21&lt;Bewertung_Stammdaten!J$81,Bewertung_Stammdaten!I$81,IF(BG21&lt;Bewertung_Stammdaten!J$82,Bewertung_Stammdaten!I$82,IF(BG21&lt;Bewertung_Stammdaten!J$83,Bewertung_Stammdaten!I$83,IF(BG21&lt;Bewertung_Stammdaten!J$84,Bewertung_Stammdaten!I$84,IF(BG21&lt;Bewertung_Stammdaten!J$85,Bewertung_Stammdaten!I$85,Bewertung_Stammdaten!I$86)))))))))</f>
        <v>1</v>
      </c>
      <c r="BK21" s="43"/>
      <c r="BL21" s="12">
        <f ca="1">VLOOKUP(A21,Ausschüttungsquote!A$3:AL$103,37,FALSE)</f>
        <v>0.32525178429817603</v>
      </c>
      <c r="BM21" s="12">
        <f>VLOOKUP(A21,Ausschüttungsquote!A$3:AL$103,19,FALSE)</f>
        <v>0.28186909810827471</v>
      </c>
      <c r="BN21" s="12">
        <f ca="1">VLOOKUP(A21,Ausschüttungsquote!A$3:AL$103,38,FALSE)</f>
        <v>0.15440379000791782</v>
      </c>
      <c r="BO21" s="32">
        <f ca="1">IF(BL21&lt;Bewertung_Stammdaten!B$90,Bewertung_Stammdaten!A$90,IF(BL21&lt;Bewertung_Stammdaten!B$91,Bewertung_Stammdaten!A$91,IF(BL21&lt;Bewertung_Stammdaten!B$92,Bewertung_Stammdaten!A$92,IF(BL21&lt;Bewertung_Stammdaten!B$93,Bewertung_Stammdaten!A$93,IF(BL21&lt;Bewertung_Stammdaten!B$94,Bewertung_Stammdaten!A$94,IF(BL21&lt;Bewertung_Stammdaten!B$95,Bewertung_Stammdaten!A$95,IF(BL21&lt;Bewertung_Stammdaten!B$96,Bewertung_Stammdaten!A$96,IF(BL21&lt;Bewertung_Stammdaten!B$97,Bewertung_Stammdaten!A$97,IF(BL21&lt;Bewertung_Stammdaten!B$98,Bewertung_Stammdaten!A$98,Bewertung_Stammdaten!A$99)))))))))</f>
        <v>10</v>
      </c>
      <c r="BP21" s="41">
        <f>IF(BM21&lt;Bewertung_Stammdaten!F$90,Bewertung_Stammdaten!E$90,IF(BM21&lt;Bewertung_Stammdaten!F$91,Bewertung_Stammdaten!E$91,IF(BM21&lt;Bewertung_Stammdaten!F$92,Bewertung_Stammdaten!E$92,IF(BM21&lt;Bewertung_Stammdaten!F$93,Bewertung_Stammdaten!E$93,IF(BM21&lt;Bewertung_Stammdaten!F$94,Bewertung_Stammdaten!E$94,IF(BM21&lt;Bewertung_Stammdaten!F$95,Bewertung_Stammdaten!E$95,IF(BM21&lt;Bewertung_Stammdaten!F$96,Bewertung_Stammdaten!E$96,IF(BM21&lt;Bewertung_Stammdaten!F$97,Bewertung_Stammdaten!E$97,IF(BM21&lt;Bewertung_Stammdaten!F$98,Bewertung_Stammdaten!E$98,Bewertung_Stammdaten!E$99)))))))))</f>
        <v>10</v>
      </c>
      <c r="BQ21" s="32">
        <f ca="1">IF(BN21&lt;Bewertung_Stammdaten!J$90,Bewertung_Stammdaten!I$90,IF(BN21&lt;Bewertung_Stammdaten!J$91,Bewertung_Stammdaten!I$91,IF(BN21&lt;Bewertung_Stammdaten!J$92,Bewertung_Stammdaten!I$92,IF(BN21&lt;Bewertung_Stammdaten!J$93,Bewertung_Stammdaten!I$93,IF(BN21&lt;Bewertung_Stammdaten!J$94,Bewertung_Stammdaten!I$94,IF(BN21&lt;Bewertung_Stammdaten!J$95,Bewertung_Stammdaten!I$95,IF(BN21&lt;Bewertung_Stammdaten!J$96,Bewertung_Stammdaten!I$96,IF(BN21&lt;Bewertung_Stammdaten!J$97,Bewertung_Stammdaten!I$97,IF(BN21&lt;Bewertung_Stammdaten!J$98,Bewertung_Stammdaten!I$98,Bewertung_Stammdaten!I$99)))))))))</f>
        <v>2</v>
      </c>
    </row>
    <row r="22" spans="1:69">
      <c r="A22" s="38" t="s">
        <v>82</v>
      </c>
      <c r="B22" s="38" t="s">
        <v>190</v>
      </c>
      <c r="C22" s="38" t="s">
        <v>283</v>
      </c>
      <c r="D22" s="32">
        <f t="shared" ca="1" si="0"/>
        <v>164</v>
      </c>
      <c r="E22" s="43"/>
      <c r="F22" s="60">
        <v>1</v>
      </c>
      <c r="G22" s="11">
        <f ca="1">VLOOKUP(A22,KGV!A$3:R$103,17,FALSE)</f>
        <v>16.374615722441806</v>
      </c>
      <c r="H22" s="11">
        <f>VLOOKUP(A22,KGV!A$3:R$103,16,FALSE)</f>
        <v>16.443864229765012</v>
      </c>
      <c r="I22" s="12">
        <f ca="1">VLOOKUP(A22,KGV!A$3:R$103,18,FALSE)</f>
        <v>-4.2112064631292245E-3</v>
      </c>
      <c r="J22" s="16">
        <f t="shared" ca="1" si="1"/>
        <v>20.790242434111505</v>
      </c>
      <c r="K22" s="12">
        <f t="shared" ca="1" si="2"/>
        <v>0.26431610864793686</v>
      </c>
      <c r="L22" s="11">
        <f ca="1">VLOOKUP(A22,KBV!A$3:R$103,17,FALSE)</f>
        <v>1.6417877586966092</v>
      </c>
      <c r="M22" s="11">
        <f>VLOOKUP(A22,KBV!A$3:R$103,16,FALSE)</f>
        <v>1.6621653084982537</v>
      </c>
      <c r="N22" s="12">
        <f ca="1">VLOOKUP(A22,KBV!A$3:R$103,18,FALSE)</f>
        <v>-1.225964090181586E-2</v>
      </c>
      <c r="O22" s="16">
        <f t="shared" ca="1" si="3"/>
        <v>1.6886096726980764</v>
      </c>
      <c r="P22" s="12">
        <f t="shared" ca="1" si="4"/>
        <v>1.5909587370533496E-2</v>
      </c>
      <c r="Q22" s="32">
        <f ca="1">IF(F22=1,IF(I22&lt;Bewertung_Stammdaten!B$12,Bewertung_Stammdaten!A$12,IF(I22&lt;Bewertung_Stammdaten!B$13,Bewertung_Stammdaten!A$13,IF(I22&lt;Bewertung_Stammdaten!B$14,Bewertung_Stammdaten!A$14,IF(I22&lt;Bewertung_Stammdaten!B$15,Bewertung_Stammdaten!A$15,IF(I22&lt;Bewertung_Stammdaten!B$16,Bewertung_Stammdaten!A$16,IF(I22&lt;Bewertung_Stammdaten!B$17,Bewertung_Stammdaten!A$17,IF(I22&lt;Bewertung_Stammdaten!B$18,Bewertung_Stammdaten!A$18,IF(I22&lt;Bewertung_Stammdaten!B$19,Bewertung_Stammdaten!A$19,IF(I22&lt;Bewertung_Stammdaten!B$20,Bewertung_Stammdaten!A$20,Bewertung_Stammdaten!A$21))))))))),IF(N22&lt;Bewertung_Stammdaten!C$12,Bewertung_Stammdaten!A$12,IF(N22&lt;Bewertung_Stammdaten!C$13,Bewertung_Stammdaten!A$13,IF(N22&lt;Bewertung_Stammdaten!C$14,Bewertung_Stammdaten!A$14,IF(N22&lt;Bewertung_Stammdaten!C$15,Bewertung_Stammdaten!A$15,IF(N22&lt;Bewertung_Stammdaten!C$16,Bewertung_Stammdaten!A$16,IF(N22&lt;Bewertung_Stammdaten!C$17,Bewertung_Stammdaten!A$17,IF(N22&lt;Bewertung_Stammdaten!C$18,Bewertung_Stammdaten!A$18,IF(N22&lt;Bewertung_Stammdaten!C$19,Bewertung_Stammdaten!A$19,IF(N22&lt;Bewertung_Stammdaten!C$20,Bewertung_Stammdaten!A$20,Bewertung_Stammdaten!A$21))))))))))</f>
        <v>42</v>
      </c>
      <c r="R22" s="32">
        <f ca="1">IF(F22=1,IF(K22&lt;Bewertung_Stammdaten!F$12,Bewertung_Stammdaten!E$12,IF(K22&lt;Bewertung_Stammdaten!F$13,Bewertung_Stammdaten!E$13,IF(K22&lt;Bewertung_Stammdaten!F$14,Bewertung_Stammdaten!E$14,IF(K22&lt;Bewertung_Stammdaten!F$15,Bewertung_Stammdaten!E$15,IF(K22&lt;Bewertung_Stammdaten!F$16,Bewertung_Stammdaten!E$16,IF(K22&lt;Bewertung_Stammdaten!F$17,Bewertung_Stammdaten!E$17,IF(K22&lt;Bewertung_Stammdaten!F$18,Bewertung_Stammdaten!E$18,IF(K22&lt;Bewertung_Stammdaten!F$19,Bewertung_Stammdaten!E$19,IF(K22&lt;Bewertung_Stammdaten!F$20,Bewertung_Stammdaten!E$20,Bewertung_Stammdaten!E$21))))))))),IF(P22&lt;Bewertung_Stammdaten!G$12,Bewertung_Stammdaten!E$12,IF(P22&lt;Bewertung_Stammdaten!G$13,Bewertung_Stammdaten!E$13,IF(P22&lt;Bewertung_Stammdaten!G$14,Bewertung_Stammdaten!E$14,IF(P22&lt;Bewertung_Stammdaten!G$15,Bewertung_Stammdaten!E$15,IF(P22&lt;Bewertung_Stammdaten!G$16,Bewertung_Stammdaten!E$16,IF(P22&lt;Bewertung_Stammdaten!G$17,Bewertung_Stammdaten!E$17,IF(P22&lt;Bewertung_Stammdaten!G$18,Bewertung_Stammdaten!E$18,IF(P22&lt;Bewertung_Stammdaten!G$19,Bewertung_Stammdaten!E$19,IF(P22&lt;Bewertung_Stammdaten!G$20,Bewertung_Stammdaten!E$20,Bewertung_Stammdaten!E$21))))))))))</f>
        <v>10</v>
      </c>
      <c r="S22" s="43"/>
      <c r="T22" s="11">
        <f ca="1">VLOOKUP(A22,Buchwert_je_Aktie!A$3:AK$103,23,FALSE)</f>
        <v>45.42</v>
      </c>
      <c r="U22" s="11">
        <f>VLOOKUP(A22,Buchwert_je_Aktie!A$3:AK$103,19,FALSE)</f>
        <v>40.963076923076919</v>
      </c>
      <c r="V22" s="12">
        <f ca="1">VLOOKUP(A22,Buchwert_je_Aktie!A$3:AK$103,24,FALSE)</f>
        <v>0.10880342522346598</v>
      </c>
      <c r="W22" s="12">
        <f>VLOOKUP(A22,Buchwert_je_Aktie!A$3:AK$103,37,FALSE)</f>
        <v>-2.7728085867620766E-2</v>
      </c>
      <c r="X22" s="16">
        <f t="shared" ca="1" si="5"/>
        <v>44.160590339892664</v>
      </c>
      <c r="Y22" s="12">
        <f t="shared" ca="1" si="6"/>
        <v>7.8058428638557498E-2</v>
      </c>
      <c r="Z22" s="51">
        <f ca="1">IF(V22&lt;Bewertung_Stammdaten!B$25,Bewertung_Stammdaten!A$25,IF(V22&lt;Bewertung_Stammdaten!B$26,Bewertung_Stammdaten!A$26,IF(V22&lt;Bewertung_Stammdaten!B$27,Bewertung_Stammdaten!A$27,IF(V22&lt;Bewertung_Stammdaten!B$28,Bewertung_Stammdaten!A$28,IF(V22&lt;Bewertung_Stammdaten!B$29,Bewertung_Stammdaten!A$29,IF(V22&lt;Bewertung_Stammdaten!B$30,Bewertung_Stammdaten!A$30,IF(V22&lt;Bewertung_Stammdaten!B$31,Bewertung_Stammdaten!A$31,IF(V22&lt;Bewertung_Stammdaten!B$32,Bewertung_Stammdaten!A$32,IF(V22&lt;Bewertung_Stammdaten!B$33,Bewertung_Stammdaten!A$33,Bewertung_Stammdaten!A$34)))))))))</f>
        <v>6</v>
      </c>
      <c r="AA22" s="51">
        <f>IF(W22&lt;Bewertung_Stammdaten!F$25,Bewertung_Stammdaten!E$25,IF(W22&lt;Bewertung_Stammdaten!F$26,Bewertung_Stammdaten!E$26,IF(W22&lt;Bewertung_Stammdaten!F$27,Bewertung_Stammdaten!E$27,IF(W22&lt;Bewertung_Stammdaten!F$28,Bewertung_Stammdaten!E$28,IF(W22&lt;Bewertung_Stammdaten!F$29,Bewertung_Stammdaten!E$29,IF(W22&lt;Bewertung_Stammdaten!F$30,Bewertung_Stammdaten!E$30,IF(W22&lt;Bewertung_Stammdaten!F$31,Bewertung_Stammdaten!E$31,IF(W22&lt;Bewertung_Stammdaten!F$32,Bewertung_Stammdaten!E$32,IF(W22&lt;Bewertung_Stammdaten!F$33,Bewertung_Stammdaten!E$33,Bewertung_Stammdaten!E$34)))))))))</f>
        <v>10.5</v>
      </c>
      <c r="AB22" s="51">
        <f ca="1">IF(Y22&lt;Bewertung_Stammdaten!J$25,Bewertung_Stammdaten!I$25,IF(Y22&lt;Bewertung_Stammdaten!J$26,Bewertung_Stammdaten!I$26,IF(Y22&lt;Bewertung_Stammdaten!J$27,Bewertung_Stammdaten!I$27,IF(Y22&lt;Bewertung_Stammdaten!J$28,Bewertung_Stammdaten!I$28,IF(Y22&lt;Bewertung_Stammdaten!J$29,Bewertung_Stammdaten!I$29,IF(Y22&lt;Bewertung_Stammdaten!J$30,Bewertung_Stammdaten!I$30,IF(Y22&lt;Bewertung_Stammdaten!J$31,Bewertung_Stammdaten!I$31,IF(Y22&lt;Bewertung_Stammdaten!J$32,Bewertung_Stammdaten!I$32,IF(Y22&lt;Bewertung_Stammdaten!J$33,Bewertung_Stammdaten!I$33,Bewertung_Stammdaten!I$34)))))))))</f>
        <v>3</v>
      </c>
      <c r="AC22" s="43"/>
      <c r="AD22" s="14">
        <f ca="1">VLOOKUP(A22,Ergebnis_je_Aktie_verwässert!A$3:AK$103,23,FALSE)</f>
        <v>4.5540000000000003</v>
      </c>
      <c r="AE22" s="14">
        <f>VLOOKUP(A22,Ergebnis_je_Aktie_verwässert!A$3:AK$103,19,FALSE)</f>
        <v>4.3461538461538458</v>
      </c>
      <c r="AF22" s="12">
        <f ca="1">VLOOKUP(A22,Ergebnis_je_Aktie_verwässert!A$3:AK$103,24,FALSE)</f>
        <v>4.7823008849557702E-2</v>
      </c>
      <c r="AG22" s="40">
        <f>VLOOKUP(A22,Ergebnis_je_Aktie_verwässert!A$3:AK$103,37,FALSE)</f>
        <v>-0.21238938053097334</v>
      </c>
      <c r="AH22" s="16">
        <f t="shared" ca="1" si="7"/>
        <v>3.5867787610619475</v>
      </c>
      <c r="AI22" s="12">
        <f t="shared" ca="1" si="8"/>
        <v>-0.17472347090610052</v>
      </c>
      <c r="AJ22" s="32">
        <f ca="1">IF(AF22&lt;Bewertung_Stammdaten!B$38,Bewertung_Stammdaten!A$38,IF(AF22&lt;Bewertung_Stammdaten!B$39,Bewertung_Stammdaten!A$39,IF(AF22&lt;Bewertung_Stammdaten!B$40,Bewertung_Stammdaten!A$40,IF(AF22&lt;Bewertung_Stammdaten!B$41,Bewertung_Stammdaten!A$41,IF(AF22&lt;Bewertung_Stammdaten!B$42,Bewertung_Stammdaten!A$42,IF(AF22&lt;Bewertung_Stammdaten!B$43,Bewertung_Stammdaten!A$43,IF(AF22&lt;Bewertung_Stammdaten!B$44,Bewertung_Stammdaten!A$44,IF(AF22&lt;Bewertung_Stammdaten!B$45,Bewertung_Stammdaten!A$45,IF(AF22&lt;Bewertung_Stammdaten!B$46,Bewertung_Stammdaten!A$46,Bewertung_Stammdaten!A$47)))))))))</f>
        <v>8</v>
      </c>
      <c r="AK22" s="32">
        <f>IF(AG22&lt;Bewertung_Stammdaten!F$38,Bewertung_Stammdaten!E$38,IF(AG22&lt;Bewertung_Stammdaten!F$39,Bewertung_Stammdaten!E$39,IF(AG22&lt;Bewertung_Stammdaten!F$40,Bewertung_Stammdaten!E$40,IF(AG22&lt;Bewertung_Stammdaten!F$41,Bewertung_Stammdaten!E$41,IF(AG22&lt;Bewertung_Stammdaten!F$42,Bewertung_Stammdaten!E$42,IF(AG22&lt;Bewertung_Stammdaten!F$43,Bewertung_Stammdaten!E$43,IF(AG22&lt;Bewertung_Stammdaten!F$44,Bewertung_Stammdaten!E$44,IF(AG22&lt;Bewertung_Stammdaten!F$45,Bewertung_Stammdaten!E$45,IF(AG22&lt;Bewertung_Stammdaten!F$46,Bewertung_Stammdaten!E$46,Bewertung_Stammdaten!E$47)))))))))</f>
        <v>7.5</v>
      </c>
      <c r="AL22" s="32">
        <f ca="1">IF(AI22&lt;Bewertung_Stammdaten!J$38,Bewertung_Stammdaten!I$38,IF(AI22&lt;Bewertung_Stammdaten!J$39,Bewertung_Stammdaten!I$39,IF(AI22&lt;Bewertung_Stammdaten!J$40,Bewertung_Stammdaten!I$40,IF(AI22&lt;Bewertung_Stammdaten!J$41,Bewertung_Stammdaten!I$41,IF(AI22&lt;Bewertung_Stammdaten!J$42,Bewertung_Stammdaten!I$42,IF(AI22&lt;Bewertung_Stammdaten!J$43,Bewertung_Stammdaten!I$43,IF(AI22&lt;Bewertung_Stammdaten!J$44,Bewertung_Stammdaten!I$44,IF(AI22&lt;Bewertung_Stammdaten!J$45,Bewertung_Stammdaten!I$45,IF(AI22&lt;Bewertung_Stammdaten!J$46,Bewertung_Stammdaten!I$46,Bewertung_Stammdaten!I$47)))))))))</f>
        <v>2</v>
      </c>
      <c r="AM22" s="43"/>
      <c r="AN22" s="14">
        <f ca="1">VLOOKUP(A22,Dividende_je_Aktie!A$3:AM$103,24,FALSE)</f>
        <v>2.9940000000000002</v>
      </c>
      <c r="AO22" s="14">
        <f>VLOOKUP(A22,Dividende_je_Aktie!A$3:AM$103,20,FALSE)</f>
        <v>2.46</v>
      </c>
      <c r="AP22" s="12">
        <f ca="1">VLOOKUP(A22,Dividende_je_Aktie!A$3:AM$103,25,FALSE)</f>
        <v>0.21707317073170751</v>
      </c>
      <c r="AQ22" s="40">
        <f>VLOOKUP(A22,Dividende_je_Aktie!A$3:AM$103,39,FALSE)</f>
        <v>1.0830324909747224E-2</v>
      </c>
      <c r="AR22" s="16">
        <f t="shared" ca="1" si="9"/>
        <v>2.9940000000000002</v>
      </c>
      <c r="AS22" s="12">
        <f t="shared" ca="1" si="10"/>
        <v>0.21707317073170751</v>
      </c>
      <c r="AT22" s="32">
        <f ca="1">IF(AP22&lt;Bewertung_Stammdaten!B$51,Bewertung_Stammdaten!A$51,IF(AP22&lt;Bewertung_Stammdaten!B$52,Bewertung_Stammdaten!A$52,IF(AP22&lt;Bewertung_Stammdaten!B$53,Bewertung_Stammdaten!A$53,IF(AP22&lt;Bewertung_Stammdaten!B$54,Bewertung_Stammdaten!A$54,IF(AP22&lt;Bewertung_Stammdaten!B$55,Bewertung_Stammdaten!A$55,IF(AP22&lt;Bewertung_Stammdaten!B$56,Bewertung_Stammdaten!A$56,IF(AP22&lt;Bewertung_Stammdaten!B$57,Bewertung_Stammdaten!A$57,IF(AP22&lt;Bewertung_Stammdaten!B$58,Bewertung_Stammdaten!A$58,IF(AP22&lt;Bewertung_Stammdaten!B$59,Bewertung_Stammdaten!A$59,Bewertung_Stammdaten!A$60)))))))))</f>
        <v>10</v>
      </c>
      <c r="AU22" s="32">
        <f>IF(AQ22&lt;Bewertung_Stammdaten!F$51,Bewertung_Stammdaten!E$51,IF(AQ22&lt;Bewertung_Stammdaten!F$52,Bewertung_Stammdaten!E$52,IF(AQ22&lt;Bewertung_Stammdaten!F$53,Bewertung_Stammdaten!E$53,IF(AQ22&lt;Bewertung_Stammdaten!F$54,Bewertung_Stammdaten!E$54,IF(AQ22&lt;Bewertung_Stammdaten!F$55,Bewertung_Stammdaten!E$55,IF(AQ22&lt;Bewertung_Stammdaten!F$56,Bewertung_Stammdaten!E$56,IF(AQ22&lt;Bewertung_Stammdaten!F$57,Bewertung_Stammdaten!E$57,IF(AQ22&lt;Bewertung_Stammdaten!F$58,Bewertung_Stammdaten!E$58,IF(AQ22&lt;Bewertung_Stammdaten!F$59,Bewertung_Stammdaten!E$59,Bewertung_Stammdaten!E$60)))))))))</f>
        <v>12</v>
      </c>
      <c r="AV22" s="32">
        <f ca="1">IF(AS22&lt;Bewertung_Stammdaten!J$51,Bewertung_Stammdaten!I$51,IF(AS22&lt;Bewertung_Stammdaten!J$52,Bewertung_Stammdaten!I$52,IF(AS22&lt;Bewertung_Stammdaten!J$53,Bewertung_Stammdaten!I$53,IF(AS22&lt;Bewertung_Stammdaten!J$54,Bewertung_Stammdaten!I$54,IF(AS22&lt;Bewertung_Stammdaten!J$55,Bewertung_Stammdaten!I$55,IF(AS22&lt;Bewertung_Stammdaten!J$56,Bewertung_Stammdaten!I$56,IF(AS22&lt;Bewertung_Stammdaten!J$57,Bewertung_Stammdaten!I$57,IF(AS22&lt;Bewertung_Stammdaten!J$58,Bewertung_Stammdaten!I$58,IF(AS22&lt;Bewertung_Stammdaten!J$59,Bewertung_Stammdaten!I$59,Bewertung_Stammdaten!I$60)))))))))</f>
        <v>6</v>
      </c>
      <c r="AW22" s="43"/>
      <c r="AX22" s="12">
        <f ca="1">VLOOKUP(A22,Dividendenrendite!A$3:R$103,17,FALSE)</f>
        <v>4.0150194448169509E-2</v>
      </c>
      <c r="AY22" s="12">
        <f>VLOOKUP(A22,Dividendenrendite!A$3:R$103,16,FALSE)</f>
        <v>3.6839993471292388E-2</v>
      </c>
      <c r="AZ22" s="12">
        <f ca="1">VLOOKUP(A22,Dividendenrendite!A$3:R$103,18,FALSE)</f>
        <v>8.9853462635833381E-2</v>
      </c>
      <c r="BA22" s="32">
        <f ca="1">IF(AX22&lt;Bewertung_Stammdaten!B$64,Bewertung_Stammdaten!A$64,IF(AX22&lt;Bewertung_Stammdaten!B$65,Bewertung_Stammdaten!A$65,IF(AX22&lt;Bewertung_Stammdaten!B$66,Bewertung_Stammdaten!A$66,IF(AX22&lt;Bewertung_Stammdaten!B$67,Bewertung_Stammdaten!A$67,IF(AX22&lt;Bewertung_Stammdaten!B$68,Bewertung_Stammdaten!A$68,IF(AX22&lt;Bewertung_Stammdaten!B$69,Bewertung_Stammdaten!A$69,IF(AX22&lt;Bewertung_Stammdaten!B$70,Bewertung_Stammdaten!A$70,IF(AX22&lt;Bewertung_Stammdaten!B$71,Bewertung_Stammdaten!A$71,IF(AX22&lt;Bewertung_Stammdaten!B$72,Bewertung_Stammdaten!A$72,Bewertung_Stammdaten!A$73)))))))))</f>
        <v>13.5</v>
      </c>
      <c r="BB22" s="32">
        <f>IF(AY22&lt;Bewertung_Stammdaten!F$64,Bewertung_Stammdaten!E$64,IF(AY22&lt;Bewertung_Stammdaten!F$65,Bewertung_Stammdaten!E$65,IF(AY22&lt;Bewertung_Stammdaten!F$66,Bewertung_Stammdaten!E$66,IF(AY22&lt;Bewertung_Stammdaten!F$67,Bewertung_Stammdaten!E$67,IF(AY22&lt;Bewertung_Stammdaten!F$68,Bewertung_Stammdaten!E$68,IF(AY22&lt;Bewertung_Stammdaten!F$69,Bewertung_Stammdaten!E$69,IF(AY22&lt;Bewertung_Stammdaten!F$70,Bewertung_Stammdaten!E$70,IF(AY22&lt;Bewertung_Stammdaten!F$71,Bewertung_Stammdaten!E$71,IF(AY22&lt;Bewertung_Stammdaten!F$72,Bewertung_Stammdaten!E$72,Bewertung_Stammdaten!E$73)))))))))</f>
        <v>8</v>
      </c>
      <c r="BC22" s="32">
        <f ca="1">IF(AZ22&lt;Bewertung_Stammdaten!J$64,Bewertung_Stammdaten!I$64,IF(AZ22&lt;Bewertung_Stammdaten!J$65,Bewertung_Stammdaten!I$65,IF(AZ22&lt;Bewertung_Stammdaten!J$66,Bewertung_Stammdaten!I$66,IF(AZ22&lt;Bewertung_Stammdaten!J$67,Bewertung_Stammdaten!I$67,IF(AZ22&lt;Bewertung_Stammdaten!J$68,Bewertung_Stammdaten!I$68,IF(AZ22&lt;Bewertung_Stammdaten!J$69,Bewertung_Stammdaten!I$69,IF(AZ22&lt;Bewertung_Stammdaten!J$70,Bewertung_Stammdaten!I$70,IF(AZ22&lt;Bewertung_Stammdaten!J$71,Bewertung_Stammdaten!I$71,IF(AZ22&lt;Bewertung_Stammdaten!J$72,Bewertung_Stammdaten!I$72,Bewertung_Stammdaten!I$73)))))))))</f>
        <v>3.5</v>
      </c>
      <c r="BD22" s="43"/>
      <c r="BE22" s="12">
        <f>VLOOKUP(A22,Aktien_im_Umlauf_splitbereinigt!A$3:AB$103,28,FALSE)</f>
        <v>-9.8559514783926883E-3</v>
      </c>
      <c r="BF22" s="12">
        <f>VLOOKUP(A22,Aktien_im_Umlauf_splitbereinigt!A$3:AA$103,26,FALSE)</f>
        <v>-6.5185307800463832E-3</v>
      </c>
      <c r="BG22" s="12">
        <f>VLOOKUP(A22,Aktien_im_Umlauf_splitbereinigt!A$3:AA$103,27,FALSE)</f>
        <v>0.51198971224656198</v>
      </c>
      <c r="BH22" s="41">
        <f>IF(BE22&lt;Bewertung_Stammdaten!B$77,Bewertung_Stammdaten!A$77,IF(BE22&lt;Bewertung_Stammdaten!B$78,Bewertung_Stammdaten!A$78,IF(BE22&lt;Bewertung_Stammdaten!B$79,Bewertung_Stammdaten!A$79,IF(BE22&lt;Bewertung_Stammdaten!B$80,Bewertung_Stammdaten!A$80,IF(BE22&lt;Bewertung_Stammdaten!B$81,Bewertung_Stammdaten!A$81,IF(BE22&lt;Bewertung_Stammdaten!B$82,Bewertung_Stammdaten!A$82,IF(BE22&lt;Bewertung_Stammdaten!B$83,Bewertung_Stammdaten!A$83,IF(BE22&lt;Bewertung_Stammdaten!B$84,Bewertung_Stammdaten!A$84,IF(BE22&lt;Bewertung_Stammdaten!B$85,Bewertung_Stammdaten!A$85,Bewertung_Stammdaten!A$86)))))))))</f>
        <v>4</v>
      </c>
      <c r="BI22" s="41">
        <f>IF(BF22&lt;Bewertung_Stammdaten!F$77,Bewertung_Stammdaten!E$77,IF(BF22&lt;Bewertung_Stammdaten!F$78,Bewertung_Stammdaten!E$78,IF(BF22&lt;Bewertung_Stammdaten!F$79,Bewertung_Stammdaten!E$79,IF(BF22&lt;Bewertung_Stammdaten!F$80,Bewertung_Stammdaten!E$80,IF(BF22&lt;Bewertung_Stammdaten!F$81,Bewertung_Stammdaten!E$81,IF(BF22&lt;Bewertung_Stammdaten!F$82,Bewertung_Stammdaten!E$82,IF(BF22&lt;Bewertung_Stammdaten!F$83,Bewertung_Stammdaten!E$83,IF(BF22&lt;Bewertung_Stammdaten!F$84,Bewertung_Stammdaten!E$84,IF(BF22&lt;Bewertung_Stammdaten!F$85,Bewertung_Stammdaten!E$85,Bewertung_Stammdaten!E$86)))))))))</f>
        <v>4</v>
      </c>
      <c r="BJ22" s="41">
        <f>IF(BG22&lt;Bewertung_Stammdaten!J$77,Bewertung_Stammdaten!I$77,IF(BG22&lt;Bewertung_Stammdaten!J$78,Bewertung_Stammdaten!I$78,IF(BG22&lt;Bewertung_Stammdaten!J$79,Bewertung_Stammdaten!I$79,IF(BG22&lt;Bewertung_Stammdaten!J$80,Bewertung_Stammdaten!I$80,IF(BG22&lt;Bewertung_Stammdaten!J$81,Bewertung_Stammdaten!I$81,IF(BG22&lt;Bewertung_Stammdaten!J$82,Bewertung_Stammdaten!I$82,IF(BG22&lt;Bewertung_Stammdaten!J$83,Bewertung_Stammdaten!I$83,IF(BG22&lt;Bewertung_Stammdaten!J$84,Bewertung_Stammdaten!I$84,IF(BG22&lt;Bewertung_Stammdaten!J$85,Bewertung_Stammdaten!I$85,Bewertung_Stammdaten!I$86)))))))))</f>
        <v>4</v>
      </c>
      <c r="BK22" s="43"/>
      <c r="BL22" s="12">
        <f ca="1">VLOOKUP(A22,Ausschüttungsquote!A$3:AL$103,37,FALSE)</f>
        <v>0.65807726813950884</v>
      </c>
      <c r="BM22" s="12">
        <f>VLOOKUP(A22,Ausschüttungsquote!A$3:AL$103,19,FALSE)</f>
        <v>0.71398127173365689</v>
      </c>
      <c r="BN22" s="12">
        <f ca="1">VLOOKUP(A22,Ausschüttungsquote!A$3:AL$103,38,FALSE)</f>
        <v>0.11427631088693202</v>
      </c>
      <c r="BO22" s="32">
        <f ca="1">IF(BL22&lt;Bewertung_Stammdaten!B$90,Bewertung_Stammdaten!A$90,IF(BL22&lt;Bewertung_Stammdaten!B$91,Bewertung_Stammdaten!A$91,IF(BL22&lt;Bewertung_Stammdaten!B$92,Bewertung_Stammdaten!A$92,IF(BL22&lt;Bewertung_Stammdaten!B$93,Bewertung_Stammdaten!A$93,IF(BL22&lt;Bewertung_Stammdaten!B$94,Bewertung_Stammdaten!A$94,IF(BL22&lt;Bewertung_Stammdaten!B$95,Bewertung_Stammdaten!A$95,IF(BL22&lt;Bewertung_Stammdaten!B$96,Bewertung_Stammdaten!A$96,IF(BL22&lt;Bewertung_Stammdaten!B$97,Bewertung_Stammdaten!A$97,IF(BL22&lt;Bewertung_Stammdaten!B$98,Bewertung_Stammdaten!A$98,Bewertung_Stammdaten!A$99)))))))))</f>
        <v>4</v>
      </c>
      <c r="BP22" s="41">
        <f>IF(BM22&lt;Bewertung_Stammdaten!F$90,Bewertung_Stammdaten!E$90,IF(BM22&lt;Bewertung_Stammdaten!F$91,Bewertung_Stammdaten!E$91,IF(BM22&lt;Bewertung_Stammdaten!F$92,Bewertung_Stammdaten!E$92,IF(BM22&lt;Bewertung_Stammdaten!F$93,Bewertung_Stammdaten!E$93,IF(BM22&lt;Bewertung_Stammdaten!F$94,Bewertung_Stammdaten!E$94,IF(BM22&lt;Bewertung_Stammdaten!F$95,Bewertung_Stammdaten!E$95,IF(BM22&lt;Bewertung_Stammdaten!F$96,Bewertung_Stammdaten!E$96,IF(BM22&lt;Bewertung_Stammdaten!F$97,Bewertung_Stammdaten!E$97,IF(BM22&lt;Bewertung_Stammdaten!F$98,Bewertung_Stammdaten!E$98,Bewertung_Stammdaten!E$99)))))))))</f>
        <v>3</v>
      </c>
      <c r="BQ22" s="32">
        <f ca="1">IF(BN22&lt;Bewertung_Stammdaten!J$90,Bewertung_Stammdaten!I$90,IF(BN22&lt;Bewertung_Stammdaten!J$91,Bewertung_Stammdaten!I$91,IF(BN22&lt;Bewertung_Stammdaten!J$92,Bewertung_Stammdaten!I$92,IF(BN22&lt;Bewertung_Stammdaten!J$93,Bewertung_Stammdaten!I$93,IF(BN22&lt;Bewertung_Stammdaten!J$94,Bewertung_Stammdaten!I$94,IF(BN22&lt;Bewertung_Stammdaten!J$95,Bewertung_Stammdaten!I$95,IF(BN22&lt;Bewertung_Stammdaten!J$96,Bewertung_Stammdaten!I$96,IF(BN22&lt;Bewertung_Stammdaten!J$97,Bewertung_Stammdaten!I$97,IF(BN22&lt;Bewertung_Stammdaten!J$98,Bewertung_Stammdaten!I$98,Bewertung_Stammdaten!I$99)))))))))</f>
        <v>3</v>
      </c>
    </row>
    <row r="23" spans="1:69">
      <c r="A23" s="38" t="s">
        <v>46</v>
      </c>
      <c r="B23" s="38" t="s">
        <v>47</v>
      </c>
      <c r="C23" s="38" t="s">
        <v>283</v>
      </c>
      <c r="D23" s="32">
        <f t="shared" ca="1" si="0"/>
        <v>163</v>
      </c>
      <c r="E23" s="43"/>
      <c r="F23" s="60">
        <v>1</v>
      </c>
      <c r="G23" s="11">
        <f ca="1">VLOOKUP(A23,KGV!A$3:R$103,17,FALSE)</f>
        <v>11.967147435897434</v>
      </c>
      <c r="H23" s="11">
        <f>VLOOKUP(A23,KGV!A$3:R$103,16,FALSE)</f>
        <v>11.57751937984496</v>
      </c>
      <c r="I23" s="12">
        <f ca="1">VLOOKUP(A23,KGV!A$3:R$103,18,FALSE)</f>
        <v>3.3653846153846256E-2</v>
      </c>
      <c r="J23" s="16">
        <f t="shared" ca="1" si="1"/>
        <v>13.961672008547005</v>
      </c>
      <c r="K23" s="12">
        <f t="shared" ca="1" si="2"/>
        <v>0.205929487179487</v>
      </c>
      <c r="L23" s="11">
        <f ca="1">VLOOKUP(A23,KBV!A$3:R$103,17,FALSE)</f>
        <v>8.8112094395280245</v>
      </c>
      <c r="M23" s="11">
        <f>VLOOKUP(A23,KBV!A$3:R$103,16,FALSE)</f>
        <v>8.434482758620689</v>
      </c>
      <c r="N23" s="12">
        <f ca="1">VLOOKUP(A23,KBV!A$3:R$103,18,FALSE)</f>
        <v>4.466506028746009E-2</v>
      </c>
      <c r="O23" s="16">
        <f t="shared" ca="1" si="3"/>
        <v>17.99904115132216</v>
      </c>
      <c r="P23" s="12">
        <f t="shared" ca="1" si="4"/>
        <v>1.1339828020782612</v>
      </c>
      <c r="Q23" s="32">
        <f ca="1">IF(F23=1,IF(I23&lt;Bewertung_Stammdaten!B$12,Bewertung_Stammdaten!A$12,IF(I23&lt;Bewertung_Stammdaten!B$13,Bewertung_Stammdaten!A$13,IF(I23&lt;Bewertung_Stammdaten!B$14,Bewertung_Stammdaten!A$14,IF(I23&lt;Bewertung_Stammdaten!B$15,Bewertung_Stammdaten!A$15,IF(I23&lt;Bewertung_Stammdaten!B$16,Bewertung_Stammdaten!A$16,IF(I23&lt;Bewertung_Stammdaten!B$17,Bewertung_Stammdaten!A$17,IF(I23&lt;Bewertung_Stammdaten!B$18,Bewertung_Stammdaten!A$18,IF(I23&lt;Bewertung_Stammdaten!B$19,Bewertung_Stammdaten!A$19,IF(I23&lt;Bewertung_Stammdaten!B$20,Bewertung_Stammdaten!A$20,Bewertung_Stammdaten!A$21))))))))),IF(N23&lt;Bewertung_Stammdaten!C$12,Bewertung_Stammdaten!A$12,IF(N23&lt;Bewertung_Stammdaten!C$13,Bewertung_Stammdaten!A$13,IF(N23&lt;Bewertung_Stammdaten!C$14,Bewertung_Stammdaten!A$14,IF(N23&lt;Bewertung_Stammdaten!C$15,Bewertung_Stammdaten!A$15,IF(N23&lt;Bewertung_Stammdaten!C$16,Bewertung_Stammdaten!A$16,IF(N23&lt;Bewertung_Stammdaten!C$17,Bewertung_Stammdaten!A$17,IF(N23&lt;Bewertung_Stammdaten!C$18,Bewertung_Stammdaten!A$18,IF(N23&lt;Bewertung_Stammdaten!C$19,Bewertung_Stammdaten!A$19,IF(N23&lt;Bewertung_Stammdaten!C$20,Bewertung_Stammdaten!A$20,Bewertung_Stammdaten!A$21))))))))))</f>
        <v>36</v>
      </c>
      <c r="R23" s="32">
        <f ca="1">IF(F23=1,IF(K23&lt;Bewertung_Stammdaten!F$12,Bewertung_Stammdaten!E$12,IF(K23&lt;Bewertung_Stammdaten!F$13,Bewertung_Stammdaten!E$13,IF(K23&lt;Bewertung_Stammdaten!F$14,Bewertung_Stammdaten!E$14,IF(K23&lt;Bewertung_Stammdaten!F$15,Bewertung_Stammdaten!E$15,IF(K23&lt;Bewertung_Stammdaten!F$16,Bewertung_Stammdaten!E$16,IF(K23&lt;Bewertung_Stammdaten!F$17,Bewertung_Stammdaten!E$17,IF(K23&lt;Bewertung_Stammdaten!F$18,Bewertung_Stammdaten!E$18,IF(K23&lt;Bewertung_Stammdaten!F$19,Bewertung_Stammdaten!E$19,IF(K23&lt;Bewertung_Stammdaten!F$20,Bewertung_Stammdaten!E$20,Bewertung_Stammdaten!E$21))))))))),IF(P23&lt;Bewertung_Stammdaten!G$12,Bewertung_Stammdaten!E$12,IF(P23&lt;Bewertung_Stammdaten!G$13,Bewertung_Stammdaten!E$13,IF(P23&lt;Bewertung_Stammdaten!G$14,Bewertung_Stammdaten!E$14,IF(P23&lt;Bewertung_Stammdaten!G$15,Bewertung_Stammdaten!E$15,IF(P23&lt;Bewertung_Stammdaten!G$16,Bewertung_Stammdaten!E$16,IF(P23&lt;Bewertung_Stammdaten!G$17,Bewertung_Stammdaten!E$17,IF(P23&lt;Bewertung_Stammdaten!G$18,Bewertung_Stammdaten!E$18,IF(P23&lt;Bewertung_Stammdaten!G$19,Bewertung_Stammdaten!E$19,IF(P23&lt;Bewertung_Stammdaten!G$20,Bewertung_Stammdaten!E$20,Bewertung_Stammdaten!E$21))))))))))</f>
        <v>12.5</v>
      </c>
      <c r="S23" s="43"/>
      <c r="T23" s="11">
        <f ca="1">VLOOKUP(A23,Buchwert_je_Aktie!A$3:AK$103,23,FALSE)</f>
        <v>16.95</v>
      </c>
      <c r="U23" s="11">
        <f>VLOOKUP(A23,Buchwert_je_Aktie!A$3:AK$103,19,FALSE)</f>
        <v>17.069230769230771</v>
      </c>
      <c r="V23" s="12">
        <f ca="1">VLOOKUP(A23,Buchwert_je_Aktie!A$3:AK$103,24,FALSE)</f>
        <v>-6.9851284362326682E-3</v>
      </c>
      <c r="W23" s="12">
        <f>VLOOKUP(A23,Buchwert_je_Aktie!A$3:AK$103,37,FALSE)</f>
        <v>-0.51046228710462294</v>
      </c>
      <c r="X23" s="16">
        <f t="shared" ca="1" si="5"/>
        <v>8.2976642335766417</v>
      </c>
      <c r="Y23" s="12">
        <f t="shared" ca="1" si="6"/>
        <v>-0.51388177090357667</v>
      </c>
      <c r="Z23" s="51">
        <f ca="1">IF(V23&lt;Bewertung_Stammdaten!B$25,Bewertung_Stammdaten!A$25,IF(V23&lt;Bewertung_Stammdaten!B$26,Bewertung_Stammdaten!A$26,IF(V23&lt;Bewertung_Stammdaten!B$27,Bewertung_Stammdaten!A$27,IF(V23&lt;Bewertung_Stammdaten!B$28,Bewertung_Stammdaten!A$28,IF(V23&lt;Bewertung_Stammdaten!B$29,Bewertung_Stammdaten!A$29,IF(V23&lt;Bewertung_Stammdaten!B$30,Bewertung_Stammdaten!A$30,IF(V23&lt;Bewertung_Stammdaten!B$31,Bewertung_Stammdaten!A$31,IF(V23&lt;Bewertung_Stammdaten!B$32,Bewertung_Stammdaten!A$32,IF(V23&lt;Bewertung_Stammdaten!B$33,Bewertung_Stammdaten!A$33,Bewertung_Stammdaten!A$34)))))))))</f>
        <v>3</v>
      </c>
      <c r="AA23" s="51">
        <f>IF(W23&lt;Bewertung_Stammdaten!F$25,Bewertung_Stammdaten!E$25,IF(W23&lt;Bewertung_Stammdaten!F$26,Bewertung_Stammdaten!E$26,IF(W23&lt;Bewertung_Stammdaten!F$27,Bewertung_Stammdaten!E$27,IF(W23&lt;Bewertung_Stammdaten!F$28,Bewertung_Stammdaten!E$28,IF(W23&lt;Bewertung_Stammdaten!F$29,Bewertung_Stammdaten!E$29,IF(W23&lt;Bewertung_Stammdaten!F$30,Bewertung_Stammdaten!E$30,IF(W23&lt;Bewertung_Stammdaten!F$31,Bewertung_Stammdaten!E$31,IF(W23&lt;Bewertung_Stammdaten!F$32,Bewertung_Stammdaten!E$32,IF(W23&lt;Bewertung_Stammdaten!F$33,Bewertung_Stammdaten!E$33,Bewertung_Stammdaten!E$34)))))))))</f>
        <v>1.5</v>
      </c>
      <c r="AB23" s="51">
        <f ca="1">IF(Y23&lt;Bewertung_Stammdaten!J$25,Bewertung_Stammdaten!I$25,IF(Y23&lt;Bewertung_Stammdaten!J$26,Bewertung_Stammdaten!I$26,IF(Y23&lt;Bewertung_Stammdaten!J$27,Bewertung_Stammdaten!I$27,IF(Y23&lt;Bewertung_Stammdaten!J$28,Bewertung_Stammdaten!I$28,IF(Y23&lt;Bewertung_Stammdaten!J$29,Bewertung_Stammdaten!I$29,IF(Y23&lt;Bewertung_Stammdaten!J$30,Bewertung_Stammdaten!I$30,IF(Y23&lt;Bewertung_Stammdaten!J$31,Bewertung_Stammdaten!I$31,IF(Y23&lt;Bewertung_Stammdaten!J$32,Bewertung_Stammdaten!I$32,IF(Y23&lt;Bewertung_Stammdaten!J$33,Bewertung_Stammdaten!I$33,Bewertung_Stammdaten!I$34)))))))))</f>
        <v>1</v>
      </c>
      <c r="AC23" s="43"/>
      <c r="AD23" s="14">
        <f ca="1">VLOOKUP(A23,Ergebnis_je_Aktie_verwässert!A$3:AK$103,23,FALSE)</f>
        <v>12.48</v>
      </c>
      <c r="AE23" s="14">
        <f>VLOOKUP(A23,Ergebnis_je_Aktie_verwässert!A$3:AK$103,19,FALSE)</f>
        <v>12.123076923076924</v>
      </c>
      <c r="AF23" s="12">
        <f ca="1">VLOOKUP(A23,Ergebnis_je_Aktie_verwässert!A$3:AK$103,24,FALSE)</f>
        <v>2.9441624365482255E-2</v>
      </c>
      <c r="AG23" s="40">
        <f>VLOOKUP(A23,Ergebnis_je_Aktie_verwässert!A$3:AK$103,37,FALSE)</f>
        <v>-0.14285714285714279</v>
      </c>
      <c r="AH23" s="16">
        <f t="shared" ca="1" si="7"/>
        <v>10.697142857142858</v>
      </c>
      <c r="AI23" s="12">
        <f t="shared" ca="1" si="8"/>
        <v>-0.11762146482958669</v>
      </c>
      <c r="AJ23" s="32">
        <f ca="1">IF(AF23&lt;Bewertung_Stammdaten!B$38,Bewertung_Stammdaten!A$38,IF(AF23&lt;Bewertung_Stammdaten!B$39,Bewertung_Stammdaten!A$39,IF(AF23&lt;Bewertung_Stammdaten!B$40,Bewertung_Stammdaten!A$40,IF(AF23&lt;Bewertung_Stammdaten!B$41,Bewertung_Stammdaten!A$41,IF(AF23&lt;Bewertung_Stammdaten!B$42,Bewertung_Stammdaten!A$42,IF(AF23&lt;Bewertung_Stammdaten!B$43,Bewertung_Stammdaten!A$43,IF(AF23&lt;Bewertung_Stammdaten!B$44,Bewertung_Stammdaten!A$44,IF(AF23&lt;Bewertung_Stammdaten!B$45,Bewertung_Stammdaten!A$45,IF(AF23&lt;Bewertung_Stammdaten!B$46,Bewertung_Stammdaten!A$46,Bewertung_Stammdaten!A$47)))))))))</f>
        <v>8</v>
      </c>
      <c r="AK23" s="32">
        <f>IF(AG23&lt;Bewertung_Stammdaten!F$38,Bewertung_Stammdaten!E$38,IF(AG23&lt;Bewertung_Stammdaten!F$39,Bewertung_Stammdaten!E$39,IF(AG23&lt;Bewertung_Stammdaten!F$40,Bewertung_Stammdaten!E$40,IF(AG23&lt;Bewertung_Stammdaten!F$41,Bewertung_Stammdaten!E$41,IF(AG23&lt;Bewertung_Stammdaten!F$42,Bewertung_Stammdaten!E$42,IF(AG23&lt;Bewertung_Stammdaten!F$43,Bewertung_Stammdaten!E$43,IF(AG23&lt;Bewertung_Stammdaten!F$44,Bewertung_Stammdaten!E$44,IF(AG23&lt;Bewertung_Stammdaten!F$45,Bewertung_Stammdaten!E$45,IF(AG23&lt;Bewertung_Stammdaten!F$46,Bewertung_Stammdaten!E$46,Bewertung_Stammdaten!E$47)))))))))</f>
        <v>9</v>
      </c>
      <c r="AL23" s="32">
        <f ca="1">IF(AI23&lt;Bewertung_Stammdaten!J$38,Bewertung_Stammdaten!I$38,IF(AI23&lt;Bewertung_Stammdaten!J$39,Bewertung_Stammdaten!I$39,IF(AI23&lt;Bewertung_Stammdaten!J$40,Bewertung_Stammdaten!I$40,IF(AI23&lt;Bewertung_Stammdaten!J$41,Bewertung_Stammdaten!I$41,IF(AI23&lt;Bewertung_Stammdaten!J$42,Bewertung_Stammdaten!I$42,IF(AI23&lt;Bewertung_Stammdaten!J$43,Bewertung_Stammdaten!I$43,IF(AI23&lt;Bewertung_Stammdaten!J$44,Bewertung_Stammdaten!I$44,IF(AI23&lt;Bewertung_Stammdaten!J$45,Bewertung_Stammdaten!I$45,IF(AI23&lt;Bewertung_Stammdaten!J$46,Bewertung_Stammdaten!I$46,Bewertung_Stammdaten!I$47)))))))))</f>
        <v>3</v>
      </c>
      <c r="AM23" s="43"/>
      <c r="AN23" s="14">
        <f ca="1">VLOOKUP(A23,Dividende_je_Aktie!A$3:AM$103,24,FALSE)</f>
        <v>5.2010000000000005</v>
      </c>
      <c r="AO23" s="14">
        <f>VLOOKUP(A23,Dividende_je_Aktie!A$3:AM$103,20,FALSE)</f>
        <v>3.2514285714285713</v>
      </c>
      <c r="AP23" s="12">
        <f ca="1">VLOOKUP(A23,Dividende_je_Aktie!A$3:AM$103,25,FALSE)</f>
        <v>0.59960456942003537</v>
      </c>
      <c r="AQ23" s="40">
        <f>VLOOKUP(A23,Dividende_je_Aktie!A$3:AM$103,39,FALSE)</f>
        <v>2.4000000000000021E-2</v>
      </c>
      <c r="AR23" s="16">
        <f t="shared" ca="1" si="9"/>
        <v>5.2010000000000005</v>
      </c>
      <c r="AS23" s="12">
        <f t="shared" ca="1" si="10"/>
        <v>0.59960456942003537</v>
      </c>
      <c r="AT23" s="32">
        <f ca="1">IF(AP23&lt;Bewertung_Stammdaten!B$51,Bewertung_Stammdaten!A$51,IF(AP23&lt;Bewertung_Stammdaten!B$52,Bewertung_Stammdaten!A$52,IF(AP23&lt;Bewertung_Stammdaten!B$53,Bewertung_Stammdaten!A$53,IF(AP23&lt;Bewertung_Stammdaten!B$54,Bewertung_Stammdaten!A$54,IF(AP23&lt;Bewertung_Stammdaten!B$55,Bewertung_Stammdaten!A$55,IF(AP23&lt;Bewertung_Stammdaten!B$56,Bewertung_Stammdaten!A$56,IF(AP23&lt;Bewertung_Stammdaten!B$57,Bewertung_Stammdaten!A$57,IF(AP23&lt;Bewertung_Stammdaten!B$58,Bewertung_Stammdaten!A$58,IF(AP23&lt;Bewertung_Stammdaten!B$59,Bewertung_Stammdaten!A$59,Bewertung_Stammdaten!A$60)))))))))</f>
        <v>16</v>
      </c>
      <c r="AU23" s="32">
        <f>IF(AQ23&lt;Bewertung_Stammdaten!F$51,Bewertung_Stammdaten!E$51,IF(AQ23&lt;Bewertung_Stammdaten!F$52,Bewertung_Stammdaten!E$52,IF(AQ23&lt;Bewertung_Stammdaten!F$53,Bewertung_Stammdaten!E$53,IF(AQ23&lt;Bewertung_Stammdaten!F$54,Bewertung_Stammdaten!E$54,IF(AQ23&lt;Bewertung_Stammdaten!F$55,Bewertung_Stammdaten!E$55,IF(AQ23&lt;Bewertung_Stammdaten!F$56,Bewertung_Stammdaten!E$56,IF(AQ23&lt;Bewertung_Stammdaten!F$57,Bewertung_Stammdaten!E$57,IF(AQ23&lt;Bewertung_Stammdaten!F$58,Bewertung_Stammdaten!E$58,IF(AQ23&lt;Bewertung_Stammdaten!F$59,Bewertung_Stammdaten!E$59,Bewertung_Stammdaten!E$60)))))))))</f>
        <v>12</v>
      </c>
      <c r="AV23" s="32">
        <f ca="1">IF(AS23&lt;Bewertung_Stammdaten!J$51,Bewertung_Stammdaten!I$51,IF(AS23&lt;Bewertung_Stammdaten!J$52,Bewertung_Stammdaten!I$52,IF(AS23&lt;Bewertung_Stammdaten!J$53,Bewertung_Stammdaten!I$53,IF(AS23&lt;Bewertung_Stammdaten!J$54,Bewertung_Stammdaten!I$54,IF(AS23&lt;Bewertung_Stammdaten!J$55,Bewertung_Stammdaten!I$55,IF(AS23&lt;Bewertung_Stammdaten!J$56,Bewertung_Stammdaten!I$56,IF(AS23&lt;Bewertung_Stammdaten!J$57,Bewertung_Stammdaten!I$57,IF(AS23&lt;Bewertung_Stammdaten!J$58,Bewertung_Stammdaten!I$58,IF(AS23&lt;Bewertung_Stammdaten!J$59,Bewertung_Stammdaten!I$59,Bewertung_Stammdaten!I$60)))))))))</f>
        <v>10</v>
      </c>
      <c r="AW23" s="43"/>
      <c r="AX23" s="12">
        <f ca="1">VLOOKUP(A23,Dividendenrendite!A$3:R$103,17,FALSE)</f>
        <v>3.4824238366253771E-2</v>
      </c>
      <c r="AY23" s="12">
        <f>VLOOKUP(A23,Dividendenrendite!A$3:R$103,16,FALSE)</f>
        <v>2.1278496504964852E-2</v>
      </c>
      <c r="AZ23" s="12">
        <f ca="1">VLOOKUP(A23,Dividendenrendite!A$3:R$103,18,FALSE)</f>
        <v>0.63659299697834992</v>
      </c>
      <c r="BA23" s="32">
        <f ca="1">IF(AX23&lt;Bewertung_Stammdaten!B$64,Bewertung_Stammdaten!A$64,IF(AX23&lt;Bewertung_Stammdaten!B$65,Bewertung_Stammdaten!A$65,IF(AX23&lt;Bewertung_Stammdaten!B$66,Bewertung_Stammdaten!A$66,IF(AX23&lt;Bewertung_Stammdaten!B$67,Bewertung_Stammdaten!A$67,IF(AX23&lt;Bewertung_Stammdaten!B$68,Bewertung_Stammdaten!A$68,IF(AX23&lt;Bewertung_Stammdaten!B$69,Bewertung_Stammdaten!A$69,IF(AX23&lt;Bewertung_Stammdaten!B$70,Bewertung_Stammdaten!A$70,IF(AX23&lt;Bewertung_Stammdaten!B$71,Bewertung_Stammdaten!A$71,IF(AX23&lt;Bewertung_Stammdaten!B$72,Bewertung_Stammdaten!A$72,Bewertung_Stammdaten!A$73)))))))))</f>
        <v>10.5</v>
      </c>
      <c r="BB23" s="32">
        <f>IF(AY23&lt;Bewertung_Stammdaten!F$64,Bewertung_Stammdaten!E$64,IF(AY23&lt;Bewertung_Stammdaten!F$65,Bewertung_Stammdaten!E$65,IF(AY23&lt;Bewertung_Stammdaten!F$66,Bewertung_Stammdaten!E$66,IF(AY23&lt;Bewertung_Stammdaten!F$67,Bewertung_Stammdaten!E$67,IF(AY23&lt;Bewertung_Stammdaten!F$68,Bewertung_Stammdaten!E$68,IF(AY23&lt;Bewertung_Stammdaten!F$69,Bewertung_Stammdaten!E$69,IF(AY23&lt;Bewertung_Stammdaten!F$70,Bewertung_Stammdaten!E$70,IF(AY23&lt;Bewertung_Stammdaten!F$71,Bewertung_Stammdaten!E$71,IF(AY23&lt;Bewertung_Stammdaten!F$72,Bewertung_Stammdaten!E$72,Bewertung_Stammdaten!E$73)))))))))</f>
        <v>5</v>
      </c>
      <c r="BC23" s="32">
        <f ca="1">IF(AZ23&lt;Bewertung_Stammdaten!J$64,Bewertung_Stammdaten!I$64,IF(AZ23&lt;Bewertung_Stammdaten!J$65,Bewertung_Stammdaten!I$65,IF(AZ23&lt;Bewertung_Stammdaten!J$66,Bewertung_Stammdaten!I$66,IF(AZ23&lt;Bewertung_Stammdaten!J$67,Bewertung_Stammdaten!I$67,IF(AZ23&lt;Bewertung_Stammdaten!J$68,Bewertung_Stammdaten!I$68,IF(AZ23&lt;Bewertung_Stammdaten!J$69,Bewertung_Stammdaten!I$69,IF(AZ23&lt;Bewertung_Stammdaten!J$70,Bewertung_Stammdaten!I$70,IF(AZ23&lt;Bewertung_Stammdaten!J$71,Bewertung_Stammdaten!I$71,IF(AZ23&lt;Bewertung_Stammdaten!J$72,Bewertung_Stammdaten!I$72,Bewertung_Stammdaten!I$73)))))))))</f>
        <v>5</v>
      </c>
      <c r="BD23" s="43"/>
      <c r="BE23" s="12">
        <f>VLOOKUP(A23,Aktien_im_Umlauf_splitbereinigt!A$3:AB$103,28,FALSE)</f>
        <v>-2.0605338610023005E-2</v>
      </c>
      <c r="BF23" s="12">
        <f>VLOOKUP(A23,Aktien_im_Umlauf_splitbereinigt!A$3:AA$103,26,FALSE)</f>
        <v>-4.7076973834036029E-2</v>
      </c>
      <c r="BG23" s="12">
        <f>VLOOKUP(A23,Aktien_im_Umlauf_splitbereinigt!A$3:AA$103,27,FALSE)</f>
        <v>-0.56230537071765607</v>
      </c>
      <c r="BH23" s="41">
        <f>IF(BE23&lt;Bewertung_Stammdaten!B$77,Bewertung_Stammdaten!A$77,IF(BE23&lt;Bewertung_Stammdaten!B$78,Bewertung_Stammdaten!A$78,IF(BE23&lt;Bewertung_Stammdaten!B$79,Bewertung_Stammdaten!A$79,IF(BE23&lt;Bewertung_Stammdaten!B$80,Bewertung_Stammdaten!A$80,IF(BE23&lt;Bewertung_Stammdaten!B$81,Bewertung_Stammdaten!A$81,IF(BE23&lt;Bewertung_Stammdaten!B$82,Bewertung_Stammdaten!A$82,IF(BE23&lt;Bewertung_Stammdaten!B$83,Bewertung_Stammdaten!A$83,IF(BE23&lt;Bewertung_Stammdaten!B$84,Bewertung_Stammdaten!A$84,IF(BE23&lt;Bewertung_Stammdaten!B$85,Bewertung_Stammdaten!A$85,Bewertung_Stammdaten!A$86)))))))))</f>
        <v>7</v>
      </c>
      <c r="BI23" s="41">
        <f>IF(BF23&lt;Bewertung_Stammdaten!F$77,Bewertung_Stammdaten!E$77,IF(BF23&lt;Bewertung_Stammdaten!F$78,Bewertung_Stammdaten!E$78,IF(BF23&lt;Bewertung_Stammdaten!F$79,Bewertung_Stammdaten!E$79,IF(BF23&lt;Bewertung_Stammdaten!F$80,Bewertung_Stammdaten!E$80,IF(BF23&lt;Bewertung_Stammdaten!F$81,Bewertung_Stammdaten!E$81,IF(BF23&lt;Bewertung_Stammdaten!F$82,Bewertung_Stammdaten!E$82,IF(BF23&lt;Bewertung_Stammdaten!F$83,Bewertung_Stammdaten!E$83,IF(BF23&lt;Bewertung_Stammdaten!F$84,Bewertung_Stammdaten!E$84,IF(BF23&lt;Bewertung_Stammdaten!F$85,Bewertung_Stammdaten!E$85,Bewertung_Stammdaten!E$86)))))))))</f>
        <v>10</v>
      </c>
      <c r="BJ23" s="41">
        <f>IF(BG23&lt;Bewertung_Stammdaten!J$77,Bewertung_Stammdaten!I$77,IF(BG23&lt;Bewertung_Stammdaten!J$78,Bewertung_Stammdaten!I$78,IF(BG23&lt;Bewertung_Stammdaten!J$79,Bewertung_Stammdaten!I$79,IF(BG23&lt;Bewertung_Stammdaten!J$80,Bewertung_Stammdaten!I$80,IF(BG23&lt;Bewertung_Stammdaten!J$81,Bewertung_Stammdaten!I$81,IF(BG23&lt;Bewertung_Stammdaten!J$82,Bewertung_Stammdaten!I$82,IF(BG23&lt;Bewertung_Stammdaten!J$83,Bewertung_Stammdaten!I$83,IF(BG23&lt;Bewertung_Stammdaten!J$84,Bewertung_Stammdaten!I$84,IF(BG23&lt;Bewertung_Stammdaten!J$85,Bewertung_Stammdaten!I$85,Bewertung_Stammdaten!I$86)))))))))</f>
        <v>1.5</v>
      </c>
      <c r="BK23" s="43"/>
      <c r="BL23" s="12">
        <f ca="1">VLOOKUP(A23,Ausschüttungsquote!A$3:AL$103,37,FALSE)</f>
        <v>0.41673095103044056</v>
      </c>
      <c r="BM23" s="12">
        <f>VLOOKUP(A23,Ausschüttungsquote!A$3:AL$103,19,FALSE)</f>
        <v>0.76602134653888987</v>
      </c>
      <c r="BN23" s="12">
        <f ca="1">VLOOKUP(A23,Ausschüttungsquote!A$3:AL$103,38,FALSE)</f>
        <v>0.5219915855660171</v>
      </c>
      <c r="BO23" s="32">
        <f ca="1">IF(BL23&lt;Bewertung_Stammdaten!B$90,Bewertung_Stammdaten!A$90,IF(BL23&lt;Bewertung_Stammdaten!B$91,Bewertung_Stammdaten!A$91,IF(BL23&lt;Bewertung_Stammdaten!B$92,Bewertung_Stammdaten!A$92,IF(BL23&lt;Bewertung_Stammdaten!B$93,Bewertung_Stammdaten!A$93,IF(BL23&lt;Bewertung_Stammdaten!B$94,Bewertung_Stammdaten!A$94,IF(BL23&lt;Bewertung_Stammdaten!B$95,Bewertung_Stammdaten!A$95,IF(BL23&lt;Bewertung_Stammdaten!B$96,Bewertung_Stammdaten!A$96,IF(BL23&lt;Bewertung_Stammdaten!B$97,Bewertung_Stammdaten!A$97,IF(BL23&lt;Bewertung_Stammdaten!B$98,Bewertung_Stammdaten!A$98,Bewertung_Stammdaten!A$99)))))))))</f>
        <v>9</v>
      </c>
      <c r="BP23" s="41">
        <f>IF(BM23&lt;Bewertung_Stammdaten!F$90,Bewertung_Stammdaten!E$90,IF(BM23&lt;Bewertung_Stammdaten!F$91,Bewertung_Stammdaten!E$91,IF(BM23&lt;Bewertung_Stammdaten!F$92,Bewertung_Stammdaten!E$92,IF(BM23&lt;Bewertung_Stammdaten!F$93,Bewertung_Stammdaten!E$93,IF(BM23&lt;Bewertung_Stammdaten!F$94,Bewertung_Stammdaten!E$94,IF(BM23&lt;Bewertung_Stammdaten!F$95,Bewertung_Stammdaten!E$95,IF(BM23&lt;Bewertung_Stammdaten!F$96,Bewertung_Stammdaten!E$96,IF(BM23&lt;Bewertung_Stammdaten!F$97,Bewertung_Stammdaten!E$97,IF(BM23&lt;Bewertung_Stammdaten!F$98,Bewertung_Stammdaten!E$98,Bewertung_Stammdaten!E$99)))))))))</f>
        <v>2</v>
      </c>
      <c r="BQ23" s="32">
        <f ca="1">IF(BN23&lt;Bewertung_Stammdaten!J$90,Bewertung_Stammdaten!I$90,IF(BN23&lt;Bewertung_Stammdaten!J$91,Bewertung_Stammdaten!I$91,IF(BN23&lt;Bewertung_Stammdaten!J$92,Bewertung_Stammdaten!I$92,IF(BN23&lt;Bewertung_Stammdaten!J$93,Bewertung_Stammdaten!I$93,IF(BN23&lt;Bewertung_Stammdaten!J$94,Bewertung_Stammdaten!I$94,IF(BN23&lt;Bewertung_Stammdaten!J$95,Bewertung_Stammdaten!I$95,IF(BN23&lt;Bewertung_Stammdaten!J$96,Bewertung_Stammdaten!I$96,IF(BN23&lt;Bewertung_Stammdaten!J$97,Bewertung_Stammdaten!I$97,IF(BN23&lt;Bewertung_Stammdaten!J$98,Bewertung_Stammdaten!I$98,Bewertung_Stammdaten!I$99)))))))))</f>
        <v>1</v>
      </c>
    </row>
    <row r="24" spans="1:69">
      <c r="A24" s="38" t="s">
        <v>256</v>
      </c>
      <c r="B24" s="38" t="s">
        <v>257</v>
      </c>
      <c r="C24" s="38" t="s">
        <v>282</v>
      </c>
      <c r="D24" s="32">
        <f t="shared" ca="1" si="0"/>
        <v>161</v>
      </c>
      <c r="E24" s="43"/>
      <c r="F24" s="60">
        <v>1</v>
      </c>
      <c r="G24" s="11">
        <f ca="1">VLOOKUP(A24,KGV!A$3:R$103,17,FALSE)</f>
        <v>25.171765968867419</v>
      </c>
      <c r="H24" s="11">
        <f>VLOOKUP(A24,KGV!A$3:R$103,16,FALSE)</f>
        <v>18.822988505747126</v>
      </c>
      <c r="I24" s="12">
        <f ca="1">VLOOKUP(A24,KGV!A$3:R$103,18,FALSE)</f>
        <v>0.33728849492639568</v>
      </c>
      <c r="J24" s="16">
        <f t="shared" ca="1" si="1"/>
        <v>25.171765968867419</v>
      </c>
      <c r="K24" s="12">
        <f t="shared" ca="1" si="2"/>
        <v>0.33728849492639568</v>
      </c>
      <c r="L24" s="11">
        <f ca="1">VLOOKUP(A24,KBV!A$3:R$103,17,FALSE)</f>
        <v>13.019156024430872</v>
      </c>
      <c r="M24" s="11">
        <f>VLOOKUP(A24,KBV!A$3:R$103,16,FALSE)</f>
        <v>8.1047569207108694</v>
      </c>
      <c r="N24" s="12">
        <f ca="1">VLOOKUP(A24,KBV!A$3:R$103,18,FALSE)</f>
        <v>0.60635983926448955</v>
      </c>
      <c r="O24" s="16">
        <f t="shared" ca="1" si="3"/>
        <v>14.200523885907005</v>
      </c>
      <c r="P24" s="12">
        <f t="shared" ca="1" si="4"/>
        <v>0.75212212097552644</v>
      </c>
      <c r="Q24" s="32">
        <f ca="1">IF(F24=1,IF(I24&lt;Bewertung_Stammdaten!B$12,Bewertung_Stammdaten!A$12,IF(I24&lt;Bewertung_Stammdaten!B$13,Bewertung_Stammdaten!A$13,IF(I24&lt;Bewertung_Stammdaten!B$14,Bewertung_Stammdaten!A$14,IF(I24&lt;Bewertung_Stammdaten!B$15,Bewertung_Stammdaten!A$15,IF(I24&lt;Bewertung_Stammdaten!B$16,Bewertung_Stammdaten!A$16,IF(I24&lt;Bewertung_Stammdaten!B$17,Bewertung_Stammdaten!A$17,IF(I24&lt;Bewertung_Stammdaten!B$18,Bewertung_Stammdaten!A$18,IF(I24&lt;Bewertung_Stammdaten!B$19,Bewertung_Stammdaten!A$19,IF(I24&lt;Bewertung_Stammdaten!B$20,Bewertung_Stammdaten!A$20,Bewertung_Stammdaten!A$21))))))))),IF(N24&lt;Bewertung_Stammdaten!C$12,Bewertung_Stammdaten!A$12,IF(N24&lt;Bewertung_Stammdaten!C$13,Bewertung_Stammdaten!A$13,IF(N24&lt;Bewertung_Stammdaten!C$14,Bewertung_Stammdaten!A$14,IF(N24&lt;Bewertung_Stammdaten!C$15,Bewertung_Stammdaten!A$15,IF(N24&lt;Bewertung_Stammdaten!C$16,Bewertung_Stammdaten!A$16,IF(N24&lt;Bewertung_Stammdaten!C$17,Bewertung_Stammdaten!A$17,IF(N24&lt;Bewertung_Stammdaten!C$18,Bewertung_Stammdaten!A$18,IF(N24&lt;Bewertung_Stammdaten!C$19,Bewertung_Stammdaten!A$19,IF(N24&lt;Bewertung_Stammdaten!C$20,Bewertung_Stammdaten!A$20,Bewertung_Stammdaten!A$21))))))))))</f>
        <v>6</v>
      </c>
      <c r="R24" s="32">
        <f ca="1">IF(F24=1,IF(K24&lt;Bewertung_Stammdaten!F$12,Bewertung_Stammdaten!E$12,IF(K24&lt;Bewertung_Stammdaten!F$13,Bewertung_Stammdaten!E$13,IF(K24&lt;Bewertung_Stammdaten!F$14,Bewertung_Stammdaten!E$14,IF(K24&lt;Bewertung_Stammdaten!F$15,Bewertung_Stammdaten!E$15,IF(K24&lt;Bewertung_Stammdaten!F$16,Bewertung_Stammdaten!E$16,IF(K24&lt;Bewertung_Stammdaten!F$17,Bewertung_Stammdaten!E$17,IF(K24&lt;Bewertung_Stammdaten!F$18,Bewertung_Stammdaten!E$18,IF(K24&lt;Bewertung_Stammdaten!F$19,Bewertung_Stammdaten!E$19,IF(K24&lt;Bewertung_Stammdaten!F$20,Bewertung_Stammdaten!E$20,Bewertung_Stammdaten!E$21))))))))),IF(P24&lt;Bewertung_Stammdaten!G$12,Bewertung_Stammdaten!E$12,IF(P24&lt;Bewertung_Stammdaten!G$13,Bewertung_Stammdaten!E$13,IF(P24&lt;Bewertung_Stammdaten!G$14,Bewertung_Stammdaten!E$14,IF(P24&lt;Bewertung_Stammdaten!G$15,Bewertung_Stammdaten!E$15,IF(P24&lt;Bewertung_Stammdaten!G$16,Bewertung_Stammdaten!E$16,IF(P24&lt;Bewertung_Stammdaten!G$17,Bewertung_Stammdaten!E$17,IF(P24&lt;Bewertung_Stammdaten!G$18,Bewertung_Stammdaten!E$18,IF(P24&lt;Bewertung_Stammdaten!G$19,Bewertung_Stammdaten!E$19,IF(P24&lt;Bewertung_Stammdaten!G$20,Bewertung_Stammdaten!E$20,Bewertung_Stammdaten!E$21))))))))))</f>
        <v>7.5</v>
      </c>
      <c r="S24" s="43"/>
      <c r="T24" s="11">
        <f ca="1">VLOOKUP(A24,Buchwert_je_Aktie!A$3:AK$103,23,FALSE)</f>
        <v>7.2040000000000006</v>
      </c>
      <c r="U24" s="11">
        <f>VLOOKUP(A24,Buchwert_je_Aktie!A$3:AK$103,19,FALSE)</f>
        <v>6.0679999999999996</v>
      </c>
      <c r="V24" s="12">
        <f ca="1">VLOOKUP(A24,Buchwert_je_Aktie!A$3:AK$103,24,FALSE)</f>
        <v>0.18721160184574837</v>
      </c>
      <c r="W24" s="12">
        <f>VLOOKUP(A24,Buchwert_je_Aktie!A$3:AK$103,37,FALSE)</f>
        <v>-8.3191850594227401E-2</v>
      </c>
      <c r="X24" s="16">
        <f t="shared" ca="1" si="5"/>
        <v>6.604685908319186</v>
      </c>
      <c r="Y24" s="12">
        <f t="shared" ca="1" si="6"/>
        <v>8.8445271641263368E-2</v>
      </c>
      <c r="Z24" s="51">
        <f ca="1">IF(V24&lt;Bewertung_Stammdaten!B$25,Bewertung_Stammdaten!A$25,IF(V24&lt;Bewertung_Stammdaten!B$26,Bewertung_Stammdaten!A$26,IF(V24&lt;Bewertung_Stammdaten!B$27,Bewertung_Stammdaten!A$27,IF(V24&lt;Bewertung_Stammdaten!B$28,Bewertung_Stammdaten!A$28,IF(V24&lt;Bewertung_Stammdaten!B$29,Bewertung_Stammdaten!A$29,IF(V24&lt;Bewertung_Stammdaten!B$30,Bewertung_Stammdaten!A$30,IF(V24&lt;Bewertung_Stammdaten!B$31,Bewertung_Stammdaten!A$31,IF(V24&lt;Bewertung_Stammdaten!B$32,Bewertung_Stammdaten!A$32,IF(V24&lt;Bewertung_Stammdaten!B$33,Bewertung_Stammdaten!A$33,Bewertung_Stammdaten!A$34)))))))))</f>
        <v>6</v>
      </c>
      <c r="AA24" s="51">
        <f>IF(W24&lt;Bewertung_Stammdaten!F$25,Bewertung_Stammdaten!E$25,IF(W24&lt;Bewertung_Stammdaten!F$26,Bewertung_Stammdaten!E$26,IF(W24&lt;Bewertung_Stammdaten!F$27,Bewertung_Stammdaten!E$27,IF(W24&lt;Bewertung_Stammdaten!F$28,Bewertung_Stammdaten!E$28,IF(W24&lt;Bewertung_Stammdaten!F$29,Bewertung_Stammdaten!E$29,IF(W24&lt;Bewertung_Stammdaten!F$30,Bewertung_Stammdaten!E$30,IF(W24&lt;Bewertung_Stammdaten!F$31,Bewertung_Stammdaten!E$31,IF(W24&lt;Bewertung_Stammdaten!F$32,Bewertung_Stammdaten!E$32,IF(W24&lt;Bewertung_Stammdaten!F$33,Bewertung_Stammdaten!E$33,Bewertung_Stammdaten!E$34)))))))))</f>
        <v>9</v>
      </c>
      <c r="AB24" s="51">
        <f ca="1">IF(Y24&lt;Bewertung_Stammdaten!J$25,Bewertung_Stammdaten!I$25,IF(Y24&lt;Bewertung_Stammdaten!J$26,Bewertung_Stammdaten!I$26,IF(Y24&lt;Bewertung_Stammdaten!J$27,Bewertung_Stammdaten!I$27,IF(Y24&lt;Bewertung_Stammdaten!J$28,Bewertung_Stammdaten!I$28,IF(Y24&lt;Bewertung_Stammdaten!J$29,Bewertung_Stammdaten!I$29,IF(Y24&lt;Bewertung_Stammdaten!J$30,Bewertung_Stammdaten!I$30,IF(Y24&lt;Bewertung_Stammdaten!J$31,Bewertung_Stammdaten!I$31,IF(Y24&lt;Bewertung_Stammdaten!J$32,Bewertung_Stammdaten!I$32,IF(Y24&lt;Bewertung_Stammdaten!J$33,Bewertung_Stammdaten!I$33,Bewertung_Stammdaten!I$34)))))))))</f>
        <v>3</v>
      </c>
      <c r="AC24" s="43"/>
      <c r="AD24" s="14">
        <f ca="1">VLOOKUP(A24,Ergebnis_je_Aktie_verwässert!A$3:AK$103,23,FALSE)</f>
        <v>3.726</v>
      </c>
      <c r="AE24" s="14">
        <f>VLOOKUP(A24,Ergebnis_je_Aktie_verwässert!A$3:AK$103,19,FALSE)</f>
        <v>2.3464615384615386</v>
      </c>
      <c r="AF24" s="12">
        <f ca="1">VLOOKUP(A24,Ergebnis_je_Aktie_verwässert!A$3:AK$103,24,FALSE)</f>
        <v>0.58792289535798581</v>
      </c>
      <c r="AG24" s="40">
        <f>VLOOKUP(A24,Ergebnis_je_Aktie_verwässert!A$3:AK$103,37,FALSE)</f>
        <v>3.2069970845481022E-2</v>
      </c>
      <c r="AH24" s="16">
        <f t="shared" ca="1" si="7"/>
        <v>3.726</v>
      </c>
      <c r="AI24" s="12">
        <f t="shared" ca="1" si="8"/>
        <v>0.58792289535798581</v>
      </c>
      <c r="AJ24" s="32">
        <f ca="1">IF(AF24&lt;Bewertung_Stammdaten!B$38,Bewertung_Stammdaten!A$38,IF(AF24&lt;Bewertung_Stammdaten!B$39,Bewertung_Stammdaten!A$39,IF(AF24&lt;Bewertung_Stammdaten!B$40,Bewertung_Stammdaten!A$40,IF(AF24&lt;Bewertung_Stammdaten!B$41,Bewertung_Stammdaten!A$41,IF(AF24&lt;Bewertung_Stammdaten!B$42,Bewertung_Stammdaten!A$42,IF(AF24&lt;Bewertung_Stammdaten!B$43,Bewertung_Stammdaten!A$43,IF(AF24&lt;Bewertung_Stammdaten!B$44,Bewertung_Stammdaten!A$44,IF(AF24&lt;Bewertung_Stammdaten!B$45,Bewertung_Stammdaten!A$45,IF(AF24&lt;Bewertung_Stammdaten!B$46,Bewertung_Stammdaten!A$46,Bewertung_Stammdaten!A$47)))))))))</f>
        <v>18</v>
      </c>
      <c r="AK24" s="32">
        <f>IF(AG24&lt;Bewertung_Stammdaten!F$38,Bewertung_Stammdaten!E$38,IF(AG24&lt;Bewertung_Stammdaten!F$39,Bewertung_Stammdaten!E$39,IF(AG24&lt;Bewertung_Stammdaten!F$40,Bewertung_Stammdaten!E$40,IF(AG24&lt;Bewertung_Stammdaten!F$41,Bewertung_Stammdaten!E$41,IF(AG24&lt;Bewertung_Stammdaten!F$42,Bewertung_Stammdaten!E$42,IF(AG24&lt;Bewertung_Stammdaten!F$43,Bewertung_Stammdaten!E$43,IF(AG24&lt;Bewertung_Stammdaten!F$44,Bewertung_Stammdaten!E$44,IF(AG24&lt;Bewertung_Stammdaten!F$45,Bewertung_Stammdaten!E$45,IF(AG24&lt;Bewertung_Stammdaten!F$46,Bewertung_Stammdaten!E$46,Bewertung_Stammdaten!E$47)))))))))</f>
        <v>12</v>
      </c>
      <c r="AL24" s="32">
        <f ca="1">IF(AI24&lt;Bewertung_Stammdaten!J$38,Bewertung_Stammdaten!I$38,IF(AI24&lt;Bewertung_Stammdaten!J$39,Bewertung_Stammdaten!I$39,IF(AI24&lt;Bewertung_Stammdaten!J$40,Bewertung_Stammdaten!I$40,IF(AI24&lt;Bewertung_Stammdaten!J$41,Bewertung_Stammdaten!I$41,IF(AI24&lt;Bewertung_Stammdaten!J$42,Bewertung_Stammdaten!I$42,IF(AI24&lt;Bewertung_Stammdaten!J$43,Bewertung_Stammdaten!I$43,IF(AI24&lt;Bewertung_Stammdaten!J$44,Bewertung_Stammdaten!I$44,IF(AI24&lt;Bewertung_Stammdaten!J$45,Bewertung_Stammdaten!I$45,IF(AI24&lt;Bewertung_Stammdaten!J$46,Bewertung_Stammdaten!I$46,Bewertung_Stammdaten!I$47)))))))))</f>
        <v>10</v>
      </c>
      <c r="AM24" s="43"/>
      <c r="AN24" s="14">
        <f ca="1">VLOOKUP(A24,Dividende_je_Aktie!A$3:AM$103,24,FALSE)</f>
        <v>0.73399999999999999</v>
      </c>
      <c r="AO24" s="14">
        <f>VLOOKUP(A24,Dividende_je_Aktie!A$3:AM$103,20,FALSE)</f>
        <v>0.36000000000000004</v>
      </c>
      <c r="AP24" s="12">
        <f ca="1">VLOOKUP(A24,Dividende_je_Aktie!A$3:AM$103,25,FALSE)</f>
        <v>1.0388888888888888</v>
      </c>
      <c r="AQ24" s="40">
        <f>VLOOKUP(A24,Dividende_je_Aktie!A$3:AM$103,39,FALSE)</f>
        <v>0</v>
      </c>
      <c r="AR24" s="16">
        <f t="shared" ca="1" si="9"/>
        <v>0.73399999999999999</v>
      </c>
      <c r="AS24" s="12">
        <f t="shared" ca="1" si="10"/>
        <v>1.0388888888888888</v>
      </c>
      <c r="AT24" s="32">
        <f ca="1">IF(AP24&lt;Bewertung_Stammdaten!B$51,Bewertung_Stammdaten!A$51,IF(AP24&lt;Bewertung_Stammdaten!B$52,Bewertung_Stammdaten!A$52,IF(AP24&lt;Bewertung_Stammdaten!B$53,Bewertung_Stammdaten!A$53,IF(AP24&lt;Bewertung_Stammdaten!B$54,Bewertung_Stammdaten!A$54,IF(AP24&lt;Bewertung_Stammdaten!B$55,Bewertung_Stammdaten!A$55,IF(AP24&lt;Bewertung_Stammdaten!B$56,Bewertung_Stammdaten!A$56,IF(AP24&lt;Bewertung_Stammdaten!B$57,Bewertung_Stammdaten!A$57,IF(AP24&lt;Bewertung_Stammdaten!B$58,Bewertung_Stammdaten!A$58,IF(AP24&lt;Bewertung_Stammdaten!B$59,Bewertung_Stammdaten!A$59,Bewertung_Stammdaten!A$60)))))))))</f>
        <v>20</v>
      </c>
      <c r="AU24" s="32">
        <f>IF(AQ24&lt;Bewertung_Stammdaten!F$51,Bewertung_Stammdaten!E$51,IF(AQ24&lt;Bewertung_Stammdaten!F$52,Bewertung_Stammdaten!E$52,IF(AQ24&lt;Bewertung_Stammdaten!F$53,Bewertung_Stammdaten!E$53,IF(AQ24&lt;Bewertung_Stammdaten!F$54,Bewertung_Stammdaten!E$54,IF(AQ24&lt;Bewertung_Stammdaten!F$55,Bewertung_Stammdaten!E$55,IF(AQ24&lt;Bewertung_Stammdaten!F$56,Bewertung_Stammdaten!E$56,IF(AQ24&lt;Bewertung_Stammdaten!F$57,Bewertung_Stammdaten!E$57,IF(AQ24&lt;Bewertung_Stammdaten!F$58,Bewertung_Stammdaten!E$58,IF(AQ24&lt;Bewertung_Stammdaten!F$59,Bewertung_Stammdaten!E$59,Bewertung_Stammdaten!E$60)))))))))</f>
        <v>12</v>
      </c>
      <c r="AV24" s="32">
        <f ca="1">IF(AS24&lt;Bewertung_Stammdaten!J$51,Bewertung_Stammdaten!I$51,IF(AS24&lt;Bewertung_Stammdaten!J$52,Bewertung_Stammdaten!I$52,IF(AS24&lt;Bewertung_Stammdaten!J$53,Bewertung_Stammdaten!I$53,IF(AS24&lt;Bewertung_Stammdaten!J$54,Bewertung_Stammdaten!I$54,IF(AS24&lt;Bewertung_Stammdaten!J$55,Bewertung_Stammdaten!I$55,IF(AS24&lt;Bewertung_Stammdaten!J$56,Bewertung_Stammdaten!I$56,IF(AS24&lt;Bewertung_Stammdaten!J$57,Bewertung_Stammdaten!I$57,IF(AS24&lt;Bewertung_Stammdaten!J$58,Bewertung_Stammdaten!I$58,IF(AS24&lt;Bewertung_Stammdaten!J$59,Bewertung_Stammdaten!I$59,Bewertung_Stammdaten!I$60)))))))))</f>
        <v>10</v>
      </c>
      <c r="AW24" s="43"/>
      <c r="AX24" s="12">
        <f ca="1">VLOOKUP(A24,Dividendenrendite!A$3:R$103,17,FALSE)</f>
        <v>7.8259942424565507E-3</v>
      </c>
      <c r="AY24" s="12">
        <f>VLOOKUP(A24,Dividendenrendite!A$3:R$103,16,FALSE)</f>
        <v>4.345808472025081E-3</v>
      </c>
      <c r="AZ24" s="12">
        <f ca="1">VLOOKUP(A24,Dividendenrendite!A$3:R$103,18,FALSE)</f>
        <v>0.80081434624516623</v>
      </c>
      <c r="BA24" s="32">
        <f ca="1">IF(AX24&lt;Bewertung_Stammdaten!B$64,Bewertung_Stammdaten!A$64,IF(AX24&lt;Bewertung_Stammdaten!B$65,Bewertung_Stammdaten!A$65,IF(AX24&lt;Bewertung_Stammdaten!B$66,Bewertung_Stammdaten!A$66,IF(AX24&lt;Bewertung_Stammdaten!B$67,Bewertung_Stammdaten!A$67,IF(AX24&lt;Bewertung_Stammdaten!B$68,Bewertung_Stammdaten!A$68,IF(AX24&lt;Bewertung_Stammdaten!B$69,Bewertung_Stammdaten!A$69,IF(AX24&lt;Bewertung_Stammdaten!B$70,Bewertung_Stammdaten!A$70,IF(AX24&lt;Bewertung_Stammdaten!B$71,Bewertung_Stammdaten!A$71,IF(AX24&lt;Bewertung_Stammdaten!B$72,Bewertung_Stammdaten!A$72,Bewertung_Stammdaten!A$73)))))))))</f>
        <v>3</v>
      </c>
      <c r="BB24" s="32">
        <f>IF(AY24&lt;Bewertung_Stammdaten!F$64,Bewertung_Stammdaten!E$64,IF(AY24&lt;Bewertung_Stammdaten!F$65,Bewertung_Stammdaten!E$65,IF(AY24&lt;Bewertung_Stammdaten!F$66,Bewertung_Stammdaten!E$66,IF(AY24&lt;Bewertung_Stammdaten!F$67,Bewertung_Stammdaten!E$67,IF(AY24&lt;Bewertung_Stammdaten!F$68,Bewertung_Stammdaten!E$68,IF(AY24&lt;Bewertung_Stammdaten!F$69,Bewertung_Stammdaten!E$69,IF(AY24&lt;Bewertung_Stammdaten!F$70,Bewertung_Stammdaten!E$70,IF(AY24&lt;Bewertung_Stammdaten!F$71,Bewertung_Stammdaten!E$71,IF(AY24&lt;Bewertung_Stammdaten!F$72,Bewertung_Stammdaten!E$72,Bewertung_Stammdaten!E$73)))))))))</f>
        <v>1</v>
      </c>
      <c r="BC24" s="32">
        <f ca="1">IF(AZ24&lt;Bewertung_Stammdaten!J$64,Bewertung_Stammdaten!I$64,IF(AZ24&lt;Bewertung_Stammdaten!J$65,Bewertung_Stammdaten!I$65,IF(AZ24&lt;Bewertung_Stammdaten!J$66,Bewertung_Stammdaten!I$66,IF(AZ24&lt;Bewertung_Stammdaten!J$67,Bewertung_Stammdaten!I$67,IF(AZ24&lt;Bewertung_Stammdaten!J$68,Bewertung_Stammdaten!I$68,IF(AZ24&lt;Bewertung_Stammdaten!J$69,Bewertung_Stammdaten!I$69,IF(AZ24&lt;Bewertung_Stammdaten!J$70,Bewertung_Stammdaten!I$70,IF(AZ24&lt;Bewertung_Stammdaten!J$71,Bewertung_Stammdaten!I$71,IF(AZ24&lt;Bewertung_Stammdaten!J$72,Bewertung_Stammdaten!I$72,Bewertung_Stammdaten!I$73)))))))))</f>
        <v>5</v>
      </c>
      <c r="BD24" s="43"/>
      <c r="BE24" s="12">
        <f>VLOOKUP(A24,Aktien_im_Umlauf_splitbereinigt!A$3:AB$103,28,FALSE)</f>
        <v>-3.2090199479618442E-2</v>
      </c>
      <c r="BF24" s="12">
        <f>VLOOKUP(A24,Aktien_im_Umlauf_splitbereinigt!A$3:AA$103,26,FALSE)</f>
        <v>-2.4752105253151597E-2</v>
      </c>
      <c r="BG24" s="12">
        <f>VLOOKUP(A24,Aktien_im_Umlauf_splitbereinigt!A$3:AA$103,27,FALSE)</f>
        <v>0.29646343821734167</v>
      </c>
      <c r="BH24" s="41">
        <f>IF(BE24&lt;Bewertung_Stammdaten!B$77,Bewertung_Stammdaten!A$77,IF(BE24&lt;Bewertung_Stammdaten!B$78,Bewertung_Stammdaten!A$78,IF(BE24&lt;Bewertung_Stammdaten!B$79,Bewertung_Stammdaten!A$79,IF(BE24&lt;Bewertung_Stammdaten!B$80,Bewertung_Stammdaten!A$80,IF(BE24&lt;Bewertung_Stammdaten!B$81,Bewertung_Stammdaten!A$81,IF(BE24&lt;Bewertung_Stammdaten!B$82,Bewertung_Stammdaten!A$82,IF(BE24&lt;Bewertung_Stammdaten!B$83,Bewertung_Stammdaten!A$83,IF(BE24&lt;Bewertung_Stammdaten!B$84,Bewertung_Stammdaten!A$84,IF(BE24&lt;Bewertung_Stammdaten!B$85,Bewertung_Stammdaten!A$85,Bewertung_Stammdaten!A$86)))))))))</f>
        <v>9</v>
      </c>
      <c r="BI24" s="41">
        <f>IF(BF24&lt;Bewertung_Stammdaten!F$77,Bewertung_Stammdaten!E$77,IF(BF24&lt;Bewertung_Stammdaten!F$78,Bewertung_Stammdaten!E$78,IF(BF24&lt;Bewertung_Stammdaten!F$79,Bewertung_Stammdaten!E$79,IF(BF24&lt;Bewertung_Stammdaten!F$80,Bewertung_Stammdaten!E$80,IF(BF24&lt;Bewertung_Stammdaten!F$81,Bewertung_Stammdaten!E$81,IF(BF24&lt;Bewertung_Stammdaten!F$82,Bewertung_Stammdaten!E$82,IF(BF24&lt;Bewertung_Stammdaten!F$83,Bewertung_Stammdaten!E$83,IF(BF24&lt;Bewertung_Stammdaten!F$84,Bewertung_Stammdaten!E$84,IF(BF24&lt;Bewertung_Stammdaten!F$85,Bewertung_Stammdaten!E$85,Bewertung_Stammdaten!E$86)))))))))</f>
        <v>7</v>
      </c>
      <c r="BJ24" s="41">
        <f>IF(BG24&lt;Bewertung_Stammdaten!J$77,Bewertung_Stammdaten!I$77,IF(BG24&lt;Bewertung_Stammdaten!J$78,Bewertung_Stammdaten!I$78,IF(BG24&lt;Bewertung_Stammdaten!J$79,Bewertung_Stammdaten!I$79,IF(BG24&lt;Bewertung_Stammdaten!J$80,Bewertung_Stammdaten!I$80,IF(BG24&lt;Bewertung_Stammdaten!J$81,Bewertung_Stammdaten!I$81,IF(BG24&lt;Bewertung_Stammdaten!J$82,Bewertung_Stammdaten!I$82,IF(BG24&lt;Bewertung_Stammdaten!J$83,Bewertung_Stammdaten!I$83,IF(BG24&lt;Bewertung_Stammdaten!J$84,Bewertung_Stammdaten!I$84,IF(BG24&lt;Bewertung_Stammdaten!J$85,Bewertung_Stammdaten!I$85,Bewertung_Stammdaten!I$86)))))))))</f>
        <v>3.5</v>
      </c>
      <c r="BK24" s="43"/>
      <c r="BL24" s="12">
        <f ca="1">VLOOKUP(A24,Ausschüttungsquote!A$3:AL$103,37,FALSE)</f>
        <v>0.19736663407214253</v>
      </c>
      <c r="BM24" s="12">
        <f>VLOOKUP(A24,Ausschüttungsquote!A$3:AL$103,19,FALSE)</f>
        <v>0.49573705449109712</v>
      </c>
      <c r="BN24" s="12">
        <f ca="1">VLOOKUP(A24,Ausschüttungsquote!A$3:AL$103,38,FALSE)</f>
        <v>0.79854570962827154</v>
      </c>
      <c r="BO24" s="32">
        <f ca="1">IF(BL24&lt;Bewertung_Stammdaten!B$90,Bewertung_Stammdaten!A$90,IF(BL24&lt;Bewertung_Stammdaten!B$91,Bewertung_Stammdaten!A$91,IF(BL24&lt;Bewertung_Stammdaten!B$92,Bewertung_Stammdaten!A$92,IF(BL24&lt;Bewertung_Stammdaten!B$93,Bewertung_Stammdaten!A$93,IF(BL24&lt;Bewertung_Stammdaten!B$94,Bewertung_Stammdaten!A$94,IF(BL24&lt;Bewertung_Stammdaten!B$95,Bewertung_Stammdaten!A$95,IF(BL24&lt;Bewertung_Stammdaten!B$96,Bewertung_Stammdaten!A$96,IF(BL24&lt;Bewertung_Stammdaten!B$97,Bewertung_Stammdaten!A$97,IF(BL24&lt;Bewertung_Stammdaten!B$98,Bewertung_Stammdaten!A$98,Bewertung_Stammdaten!A$99)))))))))</f>
        <v>10</v>
      </c>
      <c r="BP24" s="41">
        <f>IF(BM24&lt;Bewertung_Stammdaten!F$90,Bewertung_Stammdaten!E$90,IF(BM24&lt;Bewertung_Stammdaten!F$91,Bewertung_Stammdaten!E$91,IF(BM24&lt;Bewertung_Stammdaten!F$92,Bewertung_Stammdaten!E$92,IF(BM24&lt;Bewertung_Stammdaten!F$93,Bewertung_Stammdaten!E$93,IF(BM24&lt;Bewertung_Stammdaten!F$94,Bewertung_Stammdaten!E$94,IF(BM24&lt;Bewertung_Stammdaten!F$95,Bewertung_Stammdaten!E$95,IF(BM24&lt;Bewertung_Stammdaten!F$96,Bewertung_Stammdaten!E$96,IF(BM24&lt;Bewertung_Stammdaten!F$97,Bewertung_Stammdaten!E$97,IF(BM24&lt;Bewertung_Stammdaten!F$98,Bewertung_Stammdaten!E$98,Bewertung_Stammdaten!E$99)))))))))</f>
        <v>8</v>
      </c>
      <c r="BQ24" s="32">
        <f ca="1">IF(BN24&lt;Bewertung_Stammdaten!J$90,Bewertung_Stammdaten!I$90,IF(BN24&lt;Bewertung_Stammdaten!J$91,Bewertung_Stammdaten!I$91,IF(BN24&lt;Bewertung_Stammdaten!J$92,Bewertung_Stammdaten!I$92,IF(BN24&lt;Bewertung_Stammdaten!J$93,Bewertung_Stammdaten!I$93,IF(BN24&lt;Bewertung_Stammdaten!J$94,Bewertung_Stammdaten!I$94,IF(BN24&lt;Bewertung_Stammdaten!J$95,Bewertung_Stammdaten!I$95,IF(BN24&lt;Bewertung_Stammdaten!J$96,Bewertung_Stammdaten!I$96,IF(BN24&lt;Bewertung_Stammdaten!J$97,Bewertung_Stammdaten!I$97,IF(BN24&lt;Bewertung_Stammdaten!J$98,Bewertung_Stammdaten!I$98,Bewertung_Stammdaten!I$99)))))))))</f>
        <v>1</v>
      </c>
    </row>
    <row r="25" spans="1:69">
      <c r="A25" s="38" t="s">
        <v>38</v>
      </c>
      <c r="B25" s="38" t="s">
        <v>39</v>
      </c>
      <c r="C25" s="38" t="s">
        <v>283</v>
      </c>
      <c r="D25" s="32">
        <f t="shared" ca="1" si="0"/>
        <v>159</v>
      </c>
      <c r="E25" s="43"/>
      <c r="F25" s="60">
        <v>1</v>
      </c>
      <c r="G25" s="11">
        <f ca="1">VLOOKUP(A25,KGV!A$3:R$103,17,FALSE)</f>
        <v>14.112903225806454</v>
      </c>
      <c r="H25" s="11">
        <f>VLOOKUP(A25,KGV!A$3:R$103,16,FALSE)</f>
        <v>13.484</v>
      </c>
      <c r="I25" s="12">
        <f ca="1">VLOOKUP(A25,KGV!A$3:R$103,18,FALSE)</f>
        <v>4.6640702002851864E-2</v>
      </c>
      <c r="J25" s="16">
        <f t="shared" ca="1" si="1"/>
        <v>14.874180163298087</v>
      </c>
      <c r="K25" s="12">
        <f t="shared" ca="1" si="2"/>
        <v>0.10309849920632508</v>
      </c>
      <c r="L25" s="11">
        <f ca="1">VLOOKUP(A25,KBV!A$3:R$103,17,FALSE)</f>
        <v>1.9259629814907451</v>
      </c>
      <c r="M25" s="11">
        <f>VLOOKUP(A25,KBV!A$3:R$103,16,FALSE)</f>
        <v>1.755612244897959</v>
      </c>
      <c r="N25" s="12">
        <f ca="1">VLOOKUP(A25,KBV!A$3:R$103,18,FALSE)</f>
        <v>9.7032096402749346E-2</v>
      </c>
      <c r="O25" s="16">
        <f t="shared" ca="1" si="3"/>
        <v>2.2487237502543316</v>
      </c>
      <c r="P25" s="12">
        <f t="shared" ca="1" si="4"/>
        <v>0.28087723060113068</v>
      </c>
      <c r="Q25" s="32">
        <f ca="1">IF(F25=1,IF(I25&lt;Bewertung_Stammdaten!B$12,Bewertung_Stammdaten!A$12,IF(I25&lt;Bewertung_Stammdaten!B$13,Bewertung_Stammdaten!A$13,IF(I25&lt;Bewertung_Stammdaten!B$14,Bewertung_Stammdaten!A$14,IF(I25&lt;Bewertung_Stammdaten!B$15,Bewertung_Stammdaten!A$15,IF(I25&lt;Bewertung_Stammdaten!B$16,Bewertung_Stammdaten!A$16,IF(I25&lt;Bewertung_Stammdaten!B$17,Bewertung_Stammdaten!A$17,IF(I25&lt;Bewertung_Stammdaten!B$18,Bewertung_Stammdaten!A$18,IF(I25&lt;Bewertung_Stammdaten!B$19,Bewertung_Stammdaten!A$19,IF(I25&lt;Bewertung_Stammdaten!B$20,Bewertung_Stammdaten!A$20,Bewertung_Stammdaten!A$21))))))))),IF(N25&lt;Bewertung_Stammdaten!C$12,Bewertung_Stammdaten!A$12,IF(N25&lt;Bewertung_Stammdaten!C$13,Bewertung_Stammdaten!A$13,IF(N25&lt;Bewertung_Stammdaten!C$14,Bewertung_Stammdaten!A$14,IF(N25&lt;Bewertung_Stammdaten!C$15,Bewertung_Stammdaten!A$15,IF(N25&lt;Bewertung_Stammdaten!C$16,Bewertung_Stammdaten!A$16,IF(N25&lt;Bewertung_Stammdaten!C$17,Bewertung_Stammdaten!A$17,IF(N25&lt;Bewertung_Stammdaten!C$18,Bewertung_Stammdaten!A$18,IF(N25&lt;Bewertung_Stammdaten!C$19,Bewertung_Stammdaten!A$19,IF(N25&lt;Bewertung_Stammdaten!C$20,Bewertung_Stammdaten!A$20,Bewertung_Stammdaten!A$21))))))))))</f>
        <v>36</v>
      </c>
      <c r="R25" s="32">
        <f ca="1">IF(F25=1,IF(K25&lt;Bewertung_Stammdaten!F$12,Bewertung_Stammdaten!E$12,IF(K25&lt;Bewertung_Stammdaten!F$13,Bewertung_Stammdaten!E$13,IF(K25&lt;Bewertung_Stammdaten!F$14,Bewertung_Stammdaten!E$14,IF(K25&lt;Bewertung_Stammdaten!F$15,Bewertung_Stammdaten!E$15,IF(K25&lt;Bewertung_Stammdaten!F$16,Bewertung_Stammdaten!E$16,IF(K25&lt;Bewertung_Stammdaten!F$17,Bewertung_Stammdaten!E$17,IF(K25&lt;Bewertung_Stammdaten!F$18,Bewertung_Stammdaten!E$18,IF(K25&lt;Bewertung_Stammdaten!F$19,Bewertung_Stammdaten!E$19,IF(K25&lt;Bewertung_Stammdaten!F$20,Bewertung_Stammdaten!E$20,Bewertung_Stammdaten!E$21))))))))),IF(P25&lt;Bewertung_Stammdaten!G$12,Bewertung_Stammdaten!E$12,IF(P25&lt;Bewertung_Stammdaten!G$13,Bewertung_Stammdaten!E$13,IF(P25&lt;Bewertung_Stammdaten!G$14,Bewertung_Stammdaten!E$14,IF(P25&lt;Bewertung_Stammdaten!G$15,Bewertung_Stammdaten!E$15,IF(P25&lt;Bewertung_Stammdaten!G$16,Bewertung_Stammdaten!E$16,IF(P25&lt;Bewertung_Stammdaten!G$17,Bewertung_Stammdaten!E$17,IF(P25&lt;Bewertung_Stammdaten!G$18,Bewertung_Stammdaten!E$18,IF(P25&lt;Bewertung_Stammdaten!G$19,Bewertung_Stammdaten!E$19,IF(P25&lt;Bewertung_Stammdaten!G$20,Bewertung_Stammdaten!E$20,Bewertung_Stammdaten!E$21))))))))))</f>
        <v>17.5</v>
      </c>
      <c r="S25" s="43"/>
      <c r="T25" s="11">
        <f ca="1">VLOOKUP(A25,Buchwert_je_Aktie!A$3:AK$103,23,FALSE)</f>
        <v>19.990000000000002</v>
      </c>
      <c r="U25" s="11">
        <f>VLOOKUP(A25,Buchwert_je_Aktie!A$3:AK$103,19,FALSE)</f>
        <v>18.583076923076923</v>
      </c>
      <c r="V25" s="12">
        <f ca="1">VLOOKUP(A25,Buchwert_je_Aktie!A$3:AK$103,24,FALSE)</f>
        <v>7.5709909760741878E-2</v>
      </c>
      <c r="W25" s="12">
        <f>VLOOKUP(A25,Buchwert_je_Aktie!A$3:AK$103,37,FALSE)</f>
        <v>-0.14353064431639595</v>
      </c>
      <c r="X25" s="16">
        <f t="shared" ca="1" si="5"/>
        <v>17.120822420115246</v>
      </c>
      <c r="Y25" s="12">
        <f t="shared" ca="1" si="6"/>
        <v>-7.8687426684749595E-2</v>
      </c>
      <c r="Z25" s="51">
        <f ca="1">IF(V25&lt;Bewertung_Stammdaten!B$25,Bewertung_Stammdaten!A$25,IF(V25&lt;Bewertung_Stammdaten!B$26,Bewertung_Stammdaten!A$26,IF(V25&lt;Bewertung_Stammdaten!B$27,Bewertung_Stammdaten!A$27,IF(V25&lt;Bewertung_Stammdaten!B$28,Bewertung_Stammdaten!A$28,IF(V25&lt;Bewertung_Stammdaten!B$29,Bewertung_Stammdaten!A$29,IF(V25&lt;Bewertung_Stammdaten!B$30,Bewertung_Stammdaten!A$30,IF(V25&lt;Bewertung_Stammdaten!B$31,Bewertung_Stammdaten!A$31,IF(V25&lt;Bewertung_Stammdaten!B$32,Bewertung_Stammdaten!A$32,IF(V25&lt;Bewertung_Stammdaten!B$33,Bewertung_Stammdaten!A$33,Bewertung_Stammdaten!A$34)))))))))</f>
        <v>4.5</v>
      </c>
      <c r="AA25" s="51">
        <f>IF(W25&lt;Bewertung_Stammdaten!F$25,Bewertung_Stammdaten!E$25,IF(W25&lt;Bewertung_Stammdaten!F$26,Bewertung_Stammdaten!E$26,IF(W25&lt;Bewertung_Stammdaten!F$27,Bewertung_Stammdaten!E$27,IF(W25&lt;Bewertung_Stammdaten!F$28,Bewertung_Stammdaten!E$28,IF(W25&lt;Bewertung_Stammdaten!F$29,Bewertung_Stammdaten!E$29,IF(W25&lt;Bewertung_Stammdaten!F$30,Bewertung_Stammdaten!E$30,IF(W25&lt;Bewertung_Stammdaten!F$31,Bewertung_Stammdaten!E$31,IF(W25&lt;Bewertung_Stammdaten!F$32,Bewertung_Stammdaten!E$32,IF(W25&lt;Bewertung_Stammdaten!F$33,Bewertung_Stammdaten!E$33,Bewertung_Stammdaten!E$34)))))))))</f>
        <v>7.5</v>
      </c>
      <c r="AB25" s="51">
        <f ca="1">IF(Y25&lt;Bewertung_Stammdaten!J$25,Bewertung_Stammdaten!I$25,IF(Y25&lt;Bewertung_Stammdaten!J$26,Bewertung_Stammdaten!I$26,IF(Y25&lt;Bewertung_Stammdaten!J$27,Bewertung_Stammdaten!I$27,IF(Y25&lt;Bewertung_Stammdaten!J$28,Bewertung_Stammdaten!I$28,IF(Y25&lt;Bewertung_Stammdaten!J$29,Bewertung_Stammdaten!I$29,IF(Y25&lt;Bewertung_Stammdaten!J$30,Bewertung_Stammdaten!I$30,IF(Y25&lt;Bewertung_Stammdaten!J$31,Bewertung_Stammdaten!I$31,IF(Y25&lt;Bewertung_Stammdaten!J$32,Bewertung_Stammdaten!I$32,IF(Y25&lt;Bewertung_Stammdaten!J$33,Bewertung_Stammdaten!I$33,Bewertung_Stammdaten!I$34)))))))))</f>
        <v>2</v>
      </c>
      <c r="AC25" s="43"/>
      <c r="AD25" s="14">
        <f ca="1">VLOOKUP(A25,Ergebnis_je_Aktie_verwässert!A$3:AK$103,23,FALSE)</f>
        <v>2.7279999999999998</v>
      </c>
      <c r="AE25" s="14">
        <f>VLOOKUP(A25,Ergebnis_je_Aktie_verwässert!A$3:AK$103,19,FALSE)</f>
        <v>2.3784615384615382</v>
      </c>
      <c r="AF25" s="12">
        <f ca="1">VLOOKUP(A25,Ergebnis_je_Aktie_verwässert!A$3:AK$103,24,FALSE)</f>
        <v>0.14695989650711527</v>
      </c>
      <c r="AG25" s="40">
        <f>VLOOKUP(A25,Ergebnis_je_Aktie_verwässert!A$3:AK$103,37,FALSE)</f>
        <v>-5.1181102362204633E-2</v>
      </c>
      <c r="AH25" s="16">
        <f t="shared" ca="1" si="7"/>
        <v>2.5883779527559057</v>
      </c>
      <c r="AI25" s="12">
        <f t="shared" ca="1" si="8"/>
        <v>8.825722463864083E-2</v>
      </c>
      <c r="AJ25" s="32">
        <f ca="1">IF(AF25&lt;Bewertung_Stammdaten!B$38,Bewertung_Stammdaten!A$38,IF(AF25&lt;Bewertung_Stammdaten!B$39,Bewertung_Stammdaten!A$39,IF(AF25&lt;Bewertung_Stammdaten!B$40,Bewertung_Stammdaten!A$40,IF(AF25&lt;Bewertung_Stammdaten!B$41,Bewertung_Stammdaten!A$41,IF(AF25&lt;Bewertung_Stammdaten!B$42,Bewertung_Stammdaten!A$42,IF(AF25&lt;Bewertung_Stammdaten!B$43,Bewertung_Stammdaten!A$43,IF(AF25&lt;Bewertung_Stammdaten!B$44,Bewertung_Stammdaten!A$44,IF(AF25&lt;Bewertung_Stammdaten!B$45,Bewertung_Stammdaten!A$45,IF(AF25&lt;Bewertung_Stammdaten!B$46,Bewertung_Stammdaten!A$46,Bewertung_Stammdaten!A$47)))))))))</f>
        <v>10</v>
      </c>
      <c r="AK25" s="32">
        <f>IF(AG25&lt;Bewertung_Stammdaten!F$38,Bewertung_Stammdaten!E$38,IF(AG25&lt;Bewertung_Stammdaten!F$39,Bewertung_Stammdaten!E$39,IF(AG25&lt;Bewertung_Stammdaten!F$40,Bewertung_Stammdaten!E$40,IF(AG25&lt;Bewertung_Stammdaten!F$41,Bewertung_Stammdaten!E$41,IF(AG25&lt;Bewertung_Stammdaten!F$42,Bewertung_Stammdaten!E$42,IF(AG25&lt;Bewertung_Stammdaten!F$43,Bewertung_Stammdaten!E$43,IF(AG25&lt;Bewertung_Stammdaten!F$44,Bewertung_Stammdaten!E$44,IF(AG25&lt;Bewertung_Stammdaten!F$45,Bewertung_Stammdaten!E$45,IF(AG25&lt;Bewertung_Stammdaten!F$46,Bewertung_Stammdaten!E$46,Bewertung_Stammdaten!E$47)))))))))</f>
        <v>10.5</v>
      </c>
      <c r="AL25" s="32">
        <f ca="1">IF(AI25&lt;Bewertung_Stammdaten!J$38,Bewertung_Stammdaten!I$38,IF(AI25&lt;Bewertung_Stammdaten!J$39,Bewertung_Stammdaten!I$39,IF(AI25&lt;Bewertung_Stammdaten!J$40,Bewertung_Stammdaten!I$40,IF(AI25&lt;Bewertung_Stammdaten!J$41,Bewertung_Stammdaten!I$41,IF(AI25&lt;Bewertung_Stammdaten!J$42,Bewertung_Stammdaten!I$42,IF(AI25&lt;Bewertung_Stammdaten!J$43,Bewertung_Stammdaten!I$43,IF(AI25&lt;Bewertung_Stammdaten!J$44,Bewertung_Stammdaten!I$44,IF(AI25&lt;Bewertung_Stammdaten!J$45,Bewertung_Stammdaten!I$45,IF(AI25&lt;Bewertung_Stammdaten!J$46,Bewertung_Stammdaten!I$46,Bewertung_Stammdaten!I$47)))))))))</f>
        <v>5</v>
      </c>
      <c r="AM25" s="43"/>
      <c r="AN25" s="14">
        <f ca="1">VLOOKUP(A25,Dividende_je_Aktie!A$3:AM$103,24,FALSE)</f>
        <v>1.9390000000000001</v>
      </c>
      <c r="AO25" s="14">
        <f>VLOOKUP(A25,Dividende_je_Aktie!A$3:AM$103,20,FALSE)</f>
        <v>1.7150000000000001</v>
      </c>
      <c r="AP25" s="12">
        <f ca="1">VLOOKUP(A25,Dividende_je_Aktie!A$3:AM$103,25,FALSE)</f>
        <v>0.1306122448979592</v>
      </c>
      <c r="AQ25" s="40">
        <f>VLOOKUP(A25,Dividende_je_Aktie!A$3:AM$103,39,FALSE)</f>
        <v>5.2083333333332593E-3</v>
      </c>
      <c r="AR25" s="16">
        <f t="shared" ca="1" si="9"/>
        <v>1.9390000000000001</v>
      </c>
      <c r="AS25" s="12">
        <f t="shared" ca="1" si="10"/>
        <v>0.1306122448979592</v>
      </c>
      <c r="AT25" s="32">
        <f ca="1">IF(AP25&lt;Bewertung_Stammdaten!B$51,Bewertung_Stammdaten!A$51,IF(AP25&lt;Bewertung_Stammdaten!B$52,Bewertung_Stammdaten!A$52,IF(AP25&lt;Bewertung_Stammdaten!B$53,Bewertung_Stammdaten!A$53,IF(AP25&lt;Bewertung_Stammdaten!B$54,Bewertung_Stammdaten!A$54,IF(AP25&lt;Bewertung_Stammdaten!B$55,Bewertung_Stammdaten!A$55,IF(AP25&lt;Bewertung_Stammdaten!B$56,Bewertung_Stammdaten!A$56,IF(AP25&lt;Bewertung_Stammdaten!B$57,Bewertung_Stammdaten!A$57,IF(AP25&lt;Bewertung_Stammdaten!B$58,Bewertung_Stammdaten!A$58,IF(AP25&lt;Bewertung_Stammdaten!B$59,Bewertung_Stammdaten!A$59,Bewertung_Stammdaten!A$60)))))))))</f>
        <v>8</v>
      </c>
      <c r="AU25" s="32">
        <f>IF(AQ25&lt;Bewertung_Stammdaten!F$51,Bewertung_Stammdaten!E$51,IF(AQ25&lt;Bewertung_Stammdaten!F$52,Bewertung_Stammdaten!E$52,IF(AQ25&lt;Bewertung_Stammdaten!F$53,Bewertung_Stammdaten!E$53,IF(AQ25&lt;Bewertung_Stammdaten!F$54,Bewertung_Stammdaten!E$54,IF(AQ25&lt;Bewertung_Stammdaten!F$55,Bewertung_Stammdaten!E$55,IF(AQ25&lt;Bewertung_Stammdaten!F$56,Bewertung_Stammdaten!E$56,IF(AQ25&lt;Bewertung_Stammdaten!F$57,Bewertung_Stammdaten!E$57,IF(AQ25&lt;Bewertung_Stammdaten!F$58,Bewertung_Stammdaten!E$58,IF(AQ25&lt;Bewertung_Stammdaten!F$59,Bewertung_Stammdaten!E$59,Bewertung_Stammdaten!E$60)))))))))</f>
        <v>12</v>
      </c>
      <c r="AV25" s="32">
        <f ca="1">IF(AS25&lt;Bewertung_Stammdaten!J$51,Bewertung_Stammdaten!I$51,IF(AS25&lt;Bewertung_Stammdaten!J$52,Bewertung_Stammdaten!I$52,IF(AS25&lt;Bewertung_Stammdaten!J$53,Bewertung_Stammdaten!I$53,IF(AS25&lt;Bewertung_Stammdaten!J$54,Bewertung_Stammdaten!I$54,IF(AS25&lt;Bewertung_Stammdaten!J$55,Bewertung_Stammdaten!I$55,IF(AS25&lt;Bewertung_Stammdaten!J$56,Bewertung_Stammdaten!I$56,IF(AS25&lt;Bewertung_Stammdaten!J$57,Bewertung_Stammdaten!I$57,IF(AS25&lt;Bewertung_Stammdaten!J$58,Bewertung_Stammdaten!I$58,IF(AS25&lt;Bewertung_Stammdaten!J$59,Bewertung_Stammdaten!I$59,Bewertung_Stammdaten!I$60)))))))))</f>
        <v>5</v>
      </c>
      <c r="AW25" s="43"/>
      <c r="AX25" s="12">
        <f ca="1">VLOOKUP(A25,Dividendenrendite!A$3:R$103,17,FALSE)</f>
        <v>5.0363636363636367E-2</v>
      </c>
      <c r="AY25" s="12">
        <f>VLOOKUP(A25,Dividendenrendite!A$3:R$103,16,FALSE)</f>
        <v>5.1656208267458315E-2</v>
      </c>
      <c r="AZ25" s="12">
        <f ca="1">VLOOKUP(A25,Dividendenrendite!A$3:R$103,18,FALSE)</f>
        <v>-2.5022585806713682E-2</v>
      </c>
      <c r="BA25" s="32">
        <f ca="1">IF(AX25&lt;Bewertung_Stammdaten!B$64,Bewertung_Stammdaten!A$64,IF(AX25&lt;Bewertung_Stammdaten!B$65,Bewertung_Stammdaten!A$65,IF(AX25&lt;Bewertung_Stammdaten!B$66,Bewertung_Stammdaten!A$66,IF(AX25&lt;Bewertung_Stammdaten!B$67,Bewertung_Stammdaten!A$67,IF(AX25&lt;Bewertung_Stammdaten!B$68,Bewertung_Stammdaten!A$68,IF(AX25&lt;Bewertung_Stammdaten!B$69,Bewertung_Stammdaten!A$69,IF(AX25&lt;Bewertung_Stammdaten!B$70,Bewertung_Stammdaten!A$70,IF(AX25&lt;Bewertung_Stammdaten!B$71,Bewertung_Stammdaten!A$71,IF(AX25&lt;Bewertung_Stammdaten!B$72,Bewertung_Stammdaten!A$72,Bewertung_Stammdaten!A$73)))))))))</f>
        <v>15</v>
      </c>
      <c r="BB25" s="32">
        <f>IF(AY25&lt;Bewertung_Stammdaten!F$64,Bewertung_Stammdaten!E$64,IF(AY25&lt;Bewertung_Stammdaten!F$65,Bewertung_Stammdaten!E$65,IF(AY25&lt;Bewertung_Stammdaten!F$66,Bewertung_Stammdaten!E$66,IF(AY25&lt;Bewertung_Stammdaten!F$67,Bewertung_Stammdaten!E$67,IF(AY25&lt;Bewertung_Stammdaten!F$68,Bewertung_Stammdaten!E$68,IF(AY25&lt;Bewertung_Stammdaten!F$69,Bewertung_Stammdaten!E$69,IF(AY25&lt;Bewertung_Stammdaten!F$70,Bewertung_Stammdaten!E$70,IF(AY25&lt;Bewertung_Stammdaten!F$71,Bewertung_Stammdaten!E$71,IF(AY25&lt;Bewertung_Stammdaten!F$72,Bewertung_Stammdaten!E$72,Bewertung_Stammdaten!E$73)))))))))</f>
        <v>10</v>
      </c>
      <c r="BC25" s="32">
        <f ca="1">IF(AZ25&lt;Bewertung_Stammdaten!J$64,Bewertung_Stammdaten!I$64,IF(AZ25&lt;Bewertung_Stammdaten!J$65,Bewertung_Stammdaten!I$65,IF(AZ25&lt;Bewertung_Stammdaten!J$66,Bewertung_Stammdaten!I$66,IF(AZ25&lt;Bewertung_Stammdaten!J$67,Bewertung_Stammdaten!I$67,IF(AZ25&lt;Bewertung_Stammdaten!J$68,Bewertung_Stammdaten!I$68,IF(AZ25&lt;Bewertung_Stammdaten!J$69,Bewertung_Stammdaten!I$69,IF(AZ25&lt;Bewertung_Stammdaten!J$70,Bewertung_Stammdaten!I$70,IF(AZ25&lt;Bewertung_Stammdaten!J$71,Bewertung_Stammdaten!I$71,IF(AZ25&lt;Bewertung_Stammdaten!J$72,Bewertung_Stammdaten!I$72,Bewertung_Stammdaten!I$73)))))))))</f>
        <v>2.5</v>
      </c>
      <c r="BD25" s="43"/>
      <c r="BE25" s="12">
        <f>VLOOKUP(A25,Aktien_im_Umlauf_splitbereinigt!A$3:AB$103,28,FALSE)</f>
        <v>0.18469250048197416</v>
      </c>
      <c r="BF25" s="12">
        <f>VLOOKUP(A25,Aktien_im_Umlauf_splitbereinigt!A$3:AA$103,26,FALSE)</f>
        <v>5.2941325345704871E-4</v>
      </c>
      <c r="BG25" s="12">
        <f>VLOOKUP(A25,Aktien_im_Umlauf_splitbereinigt!A$3:AA$103,27,FALSE)</f>
        <v>-99.999989999999997</v>
      </c>
      <c r="BH25" s="41">
        <f>IF(BE25&lt;Bewertung_Stammdaten!B$77,Bewertung_Stammdaten!A$77,IF(BE25&lt;Bewertung_Stammdaten!B$78,Bewertung_Stammdaten!A$78,IF(BE25&lt;Bewertung_Stammdaten!B$79,Bewertung_Stammdaten!A$79,IF(BE25&lt;Bewertung_Stammdaten!B$80,Bewertung_Stammdaten!A$80,IF(BE25&lt;Bewertung_Stammdaten!B$81,Bewertung_Stammdaten!A$81,IF(BE25&lt;Bewertung_Stammdaten!B$82,Bewertung_Stammdaten!A$82,IF(BE25&lt;Bewertung_Stammdaten!B$83,Bewertung_Stammdaten!A$83,IF(BE25&lt;Bewertung_Stammdaten!B$84,Bewertung_Stammdaten!A$84,IF(BE25&lt;Bewertung_Stammdaten!B$85,Bewertung_Stammdaten!A$85,Bewertung_Stammdaten!A$86)))))))))</f>
        <v>1</v>
      </c>
      <c r="BI25" s="41">
        <f>IF(BF25&lt;Bewertung_Stammdaten!F$77,Bewertung_Stammdaten!E$77,IF(BF25&lt;Bewertung_Stammdaten!F$78,Bewertung_Stammdaten!E$78,IF(BF25&lt;Bewertung_Stammdaten!F$79,Bewertung_Stammdaten!E$79,IF(BF25&lt;Bewertung_Stammdaten!F$80,Bewertung_Stammdaten!E$80,IF(BF25&lt;Bewertung_Stammdaten!F$81,Bewertung_Stammdaten!E$81,IF(BF25&lt;Bewertung_Stammdaten!F$82,Bewertung_Stammdaten!E$82,IF(BF25&lt;Bewertung_Stammdaten!F$83,Bewertung_Stammdaten!E$83,IF(BF25&lt;Bewertung_Stammdaten!F$84,Bewertung_Stammdaten!E$84,IF(BF25&lt;Bewertung_Stammdaten!F$85,Bewertung_Stammdaten!E$85,Bewertung_Stammdaten!E$86)))))))))</f>
        <v>2</v>
      </c>
      <c r="BJ25" s="41">
        <f>IF(BG25&lt;Bewertung_Stammdaten!J$77,Bewertung_Stammdaten!I$77,IF(BG25&lt;Bewertung_Stammdaten!J$78,Bewertung_Stammdaten!I$78,IF(BG25&lt;Bewertung_Stammdaten!J$79,Bewertung_Stammdaten!I$79,IF(BG25&lt;Bewertung_Stammdaten!J$80,Bewertung_Stammdaten!I$80,IF(BG25&lt;Bewertung_Stammdaten!J$81,Bewertung_Stammdaten!I$81,IF(BG25&lt;Bewertung_Stammdaten!J$82,Bewertung_Stammdaten!I$82,IF(BG25&lt;Bewertung_Stammdaten!J$83,Bewertung_Stammdaten!I$83,IF(BG25&lt;Bewertung_Stammdaten!J$84,Bewertung_Stammdaten!I$84,IF(BG25&lt;Bewertung_Stammdaten!J$85,Bewertung_Stammdaten!I$85,Bewertung_Stammdaten!I$86)))))))))</f>
        <v>0.5</v>
      </c>
      <c r="BK25" s="43"/>
      <c r="BL25" s="12">
        <f ca="1">VLOOKUP(A25,Ausschüttungsquote!A$3:AL$103,37,FALSE)</f>
        <v>0.71114673113306703</v>
      </c>
      <c r="BM25" s="12">
        <f>VLOOKUP(A25,Ausschüttungsquote!A$3:AL$103,19,FALSE)</f>
        <v>0.96832770963804293</v>
      </c>
      <c r="BN25" s="12">
        <f ca="1">VLOOKUP(A25,Ausschüttungsquote!A$3:AL$103,38,FALSE)</f>
        <v>-3.693823014354658E-2</v>
      </c>
      <c r="BO25" s="32">
        <f ca="1">IF(BL25&lt;Bewertung_Stammdaten!B$90,Bewertung_Stammdaten!A$90,IF(BL25&lt;Bewertung_Stammdaten!B$91,Bewertung_Stammdaten!A$91,IF(BL25&lt;Bewertung_Stammdaten!B$92,Bewertung_Stammdaten!A$92,IF(BL25&lt;Bewertung_Stammdaten!B$93,Bewertung_Stammdaten!A$93,IF(BL25&lt;Bewertung_Stammdaten!B$94,Bewertung_Stammdaten!A$94,IF(BL25&lt;Bewertung_Stammdaten!B$95,Bewertung_Stammdaten!A$95,IF(BL25&lt;Bewertung_Stammdaten!B$96,Bewertung_Stammdaten!A$96,IF(BL25&lt;Bewertung_Stammdaten!B$97,Bewertung_Stammdaten!A$97,IF(BL25&lt;Bewertung_Stammdaten!B$98,Bewertung_Stammdaten!A$98,Bewertung_Stammdaten!A$99)))))))))</f>
        <v>3</v>
      </c>
      <c r="BP25" s="41">
        <f>IF(BM25&lt;Bewertung_Stammdaten!F$90,Bewertung_Stammdaten!E$90,IF(BM25&lt;Bewertung_Stammdaten!F$91,Bewertung_Stammdaten!E$91,IF(BM25&lt;Bewertung_Stammdaten!F$92,Bewertung_Stammdaten!E$92,IF(BM25&lt;Bewertung_Stammdaten!F$93,Bewertung_Stammdaten!E$93,IF(BM25&lt;Bewertung_Stammdaten!F$94,Bewertung_Stammdaten!E$94,IF(BM25&lt;Bewertung_Stammdaten!F$95,Bewertung_Stammdaten!E$95,IF(BM25&lt;Bewertung_Stammdaten!F$96,Bewertung_Stammdaten!E$96,IF(BM25&lt;Bewertung_Stammdaten!F$97,Bewertung_Stammdaten!E$97,IF(BM25&lt;Bewertung_Stammdaten!F$98,Bewertung_Stammdaten!E$98,Bewertung_Stammdaten!E$99)))))))))</f>
        <v>1</v>
      </c>
      <c r="BQ25" s="32">
        <f ca="1">IF(BN25&lt;Bewertung_Stammdaten!J$90,Bewertung_Stammdaten!I$90,IF(BN25&lt;Bewertung_Stammdaten!J$91,Bewertung_Stammdaten!I$91,IF(BN25&lt;Bewertung_Stammdaten!J$92,Bewertung_Stammdaten!I$92,IF(BN25&lt;Bewertung_Stammdaten!J$93,Bewertung_Stammdaten!I$93,IF(BN25&lt;Bewertung_Stammdaten!J$94,Bewertung_Stammdaten!I$94,IF(BN25&lt;Bewertung_Stammdaten!J$95,Bewertung_Stammdaten!I$95,IF(BN25&lt;Bewertung_Stammdaten!J$96,Bewertung_Stammdaten!I$96,IF(BN25&lt;Bewertung_Stammdaten!J$97,Bewertung_Stammdaten!I$97,IF(BN25&lt;Bewertung_Stammdaten!J$98,Bewertung_Stammdaten!I$98,Bewertung_Stammdaten!I$99)))))))))</f>
        <v>6</v>
      </c>
    </row>
    <row r="26" spans="1:69">
      <c r="A26" s="38" t="s">
        <v>48</v>
      </c>
      <c r="B26" s="38" t="s">
        <v>49</v>
      </c>
      <c r="C26" s="38" t="s">
        <v>283</v>
      </c>
      <c r="D26" s="32">
        <f t="shared" ca="1" si="0"/>
        <v>158</v>
      </c>
      <c r="E26" s="43"/>
      <c r="F26" s="60">
        <v>1</v>
      </c>
      <c r="G26" s="11">
        <f ca="1">VLOOKUP(A26,KGV!A$3:R$103,17,FALSE)</f>
        <v>17.794813244168974</v>
      </c>
      <c r="H26" s="11">
        <f>VLOOKUP(A26,KGV!A$3:R$103,16,FALSE)</f>
        <v>15.33500837520938</v>
      </c>
      <c r="I26" s="12">
        <f ca="1">VLOOKUP(A26,KGV!A$3:R$103,18,FALSE)</f>
        <v>0.1604045337814175</v>
      </c>
      <c r="J26" s="16">
        <f t="shared" ca="1" si="1"/>
        <v>18.28485973626313</v>
      </c>
      <c r="K26" s="12">
        <f t="shared" ca="1" si="2"/>
        <v>0.19236059667384908</v>
      </c>
      <c r="L26" s="11">
        <f ca="1">VLOOKUP(A26,KBV!A$3:R$103,17,FALSE)</f>
        <v>3.9846603360116868</v>
      </c>
      <c r="M26" s="11">
        <f>VLOOKUP(A26,KBV!A$3:R$103,16,FALSE)</f>
        <v>3.6532322426177175</v>
      </c>
      <c r="N26" s="12">
        <f ca="1">VLOOKUP(A26,KBV!A$3:R$103,18,FALSE)</f>
        <v>9.07218789781854E-2</v>
      </c>
      <c r="O26" s="16">
        <f t="shared" ca="1" si="3"/>
        <v>4.1738760502915717</v>
      </c>
      <c r="P26" s="12">
        <f t="shared" ca="1" si="4"/>
        <v>0.14251593468385337</v>
      </c>
      <c r="Q26" s="32">
        <f ca="1">IF(F26=1,IF(I26&lt;Bewertung_Stammdaten!B$12,Bewertung_Stammdaten!A$12,IF(I26&lt;Bewertung_Stammdaten!B$13,Bewertung_Stammdaten!A$13,IF(I26&lt;Bewertung_Stammdaten!B$14,Bewertung_Stammdaten!A$14,IF(I26&lt;Bewertung_Stammdaten!B$15,Bewertung_Stammdaten!A$15,IF(I26&lt;Bewertung_Stammdaten!B$16,Bewertung_Stammdaten!A$16,IF(I26&lt;Bewertung_Stammdaten!B$17,Bewertung_Stammdaten!A$17,IF(I26&lt;Bewertung_Stammdaten!B$18,Bewertung_Stammdaten!A$18,IF(I26&lt;Bewertung_Stammdaten!B$19,Bewertung_Stammdaten!A$19,IF(I26&lt;Bewertung_Stammdaten!B$20,Bewertung_Stammdaten!A$20,Bewertung_Stammdaten!A$21))))))))),IF(N26&lt;Bewertung_Stammdaten!C$12,Bewertung_Stammdaten!A$12,IF(N26&lt;Bewertung_Stammdaten!C$13,Bewertung_Stammdaten!A$13,IF(N26&lt;Bewertung_Stammdaten!C$14,Bewertung_Stammdaten!A$14,IF(N26&lt;Bewertung_Stammdaten!C$15,Bewertung_Stammdaten!A$15,IF(N26&lt;Bewertung_Stammdaten!C$16,Bewertung_Stammdaten!A$16,IF(N26&lt;Bewertung_Stammdaten!C$17,Bewertung_Stammdaten!A$17,IF(N26&lt;Bewertung_Stammdaten!C$18,Bewertung_Stammdaten!A$18,IF(N26&lt;Bewertung_Stammdaten!C$19,Bewertung_Stammdaten!A$19,IF(N26&lt;Bewertung_Stammdaten!C$20,Bewertung_Stammdaten!A$20,Bewertung_Stammdaten!A$21))))))))))</f>
        <v>18</v>
      </c>
      <c r="R26" s="32">
        <f ca="1">IF(F26=1,IF(K26&lt;Bewertung_Stammdaten!F$12,Bewertung_Stammdaten!E$12,IF(K26&lt;Bewertung_Stammdaten!F$13,Bewertung_Stammdaten!E$13,IF(K26&lt;Bewertung_Stammdaten!F$14,Bewertung_Stammdaten!E$14,IF(K26&lt;Bewertung_Stammdaten!F$15,Bewertung_Stammdaten!E$15,IF(K26&lt;Bewertung_Stammdaten!F$16,Bewertung_Stammdaten!E$16,IF(K26&lt;Bewertung_Stammdaten!F$17,Bewertung_Stammdaten!E$17,IF(K26&lt;Bewertung_Stammdaten!F$18,Bewertung_Stammdaten!E$18,IF(K26&lt;Bewertung_Stammdaten!F$19,Bewertung_Stammdaten!E$19,IF(K26&lt;Bewertung_Stammdaten!F$20,Bewertung_Stammdaten!E$20,Bewertung_Stammdaten!E$21))))))))),IF(P26&lt;Bewertung_Stammdaten!G$12,Bewertung_Stammdaten!E$12,IF(P26&lt;Bewertung_Stammdaten!G$13,Bewertung_Stammdaten!E$13,IF(P26&lt;Bewertung_Stammdaten!G$14,Bewertung_Stammdaten!E$14,IF(P26&lt;Bewertung_Stammdaten!G$15,Bewertung_Stammdaten!E$15,IF(P26&lt;Bewertung_Stammdaten!G$16,Bewertung_Stammdaten!E$16,IF(P26&lt;Bewertung_Stammdaten!G$17,Bewertung_Stammdaten!E$17,IF(P26&lt;Bewertung_Stammdaten!G$18,Bewertung_Stammdaten!E$18,IF(P26&lt;Bewertung_Stammdaten!G$19,Bewertung_Stammdaten!E$19,IF(P26&lt;Bewertung_Stammdaten!G$20,Bewertung_Stammdaten!E$20,Bewertung_Stammdaten!E$21))))))))))</f>
        <v>15</v>
      </c>
      <c r="S26" s="43"/>
      <c r="T26" s="11">
        <f ca="1">VLOOKUP(A26,Buchwert_je_Aktie!A$3:AK$103,23,FALSE)</f>
        <v>27.380000000000003</v>
      </c>
      <c r="U26" s="11">
        <f>VLOOKUP(A26,Buchwert_je_Aktie!A$3:AK$103,19,FALSE)</f>
        <v>22.586923076923071</v>
      </c>
      <c r="V26" s="12">
        <f ca="1">VLOOKUP(A26,Buchwert_je_Aktie!A$3:AK$103,24,FALSE)</f>
        <v>0.21220583727820763</v>
      </c>
      <c r="W26" s="12">
        <f>VLOOKUP(A26,Buchwert_je_Aktie!A$3:AK$103,37,FALSE)</f>
        <v>-4.5333333333333337E-2</v>
      </c>
      <c r="X26" s="16">
        <f t="shared" ca="1" si="5"/>
        <v>26.138773333333337</v>
      </c>
      <c r="Y26" s="12">
        <f t="shared" ca="1" si="6"/>
        <v>0.15725250598826235</v>
      </c>
      <c r="Z26" s="51">
        <f ca="1">IF(V26&lt;Bewertung_Stammdaten!B$25,Bewertung_Stammdaten!A$25,IF(V26&lt;Bewertung_Stammdaten!B$26,Bewertung_Stammdaten!A$26,IF(V26&lt;Bewertung_Stammdaten!B$27,Bewertung_Stammdaten!A$27,IF(V26&lt;Bewertung_Stammdaten!B$28,Bewertung_Stammdaten!A$28,IF(V26&lt;Bewertung_Stammdaten!B$29,Bewertung_Stammdaten!A$29,IF(V26&lt;Bewertung_Stammdaten!B$30,Bewertung_Stammdaten!A$30,IF(V26&lt;Bewertung_Stammdaten!B$31,Bewertung_Stammdaten!A$31,IF(V26&lt;Bewertung_Stammdaten!B$32,Bewertung_Stammdaten!A$32,IF(V26&lt;Bewertung_Stammdaten!B$33,Bewertung_Stammdaten!A$33,Bewertung_Stammdaten!A$34)))))))))</f>
        <v>7.5</v>
      </c>
      <c r="AA26" s="51">
        <f>IF(W26&lt;Bewertung_Stammdaten!F$25,Bewertung_Stammdaten!E$25,IF(W26&lt;Bewertung_Stammdaten!F$26,Bewertung_Stammdaten!E$26,IF(W26&lt;Bewertung_Stammdaten!F$27,Bewertung_Stammdaten!E$27,IF(W26&lt;Bewertung_Stammdaten!F$28,Bewertung_Stammdaten!E$28,IF(W26&lt;Bewertung_Stammdaten!F$29,Bewertung_Stammdaten!E$29,IF(W26&lt;Bewertung_Stammdaten!F$30,Bewertung_Stammdaten!E$30,IF(W26&lt;Bewertung_Stammdaten!F$31,Bewertung_Stammdaten!E$31,IF(W26&lt;Bewertung_Stammdaten!F$32,Bewertung_Stammdaten!E$32,IF(W26&lt;Bewertung_Stammdaten!F$33,Bewertung_Stammdaten!E$33,Bewertung_Stammdaten!E$34)))))))))</f>
        <v>10.5</v>
      </c>
      <c r="AB26" s="51">
        <f ca="1">IF(Y26&lt;Bewertung_Stammdaten!J$25,Bewertung_Stammdaten!I$25,IF(Y26&lt;Bewertung_Stammdaten!J$26,Bewertung_Stammdaten!I$26,IF(Y26&lt;Bewertung_Stammdaten!J$27,Bewertung_Stammdaten!I$27,IF(Y26&lt;Bewertung_Stammdaten!J$28,Bewertung_Stammdaten!I$28,IF(Y26&lt;Bewertung_Stammdaten!J$29,Bewertung_Stammdaten!I$29,IF(Y26&lt;Bewertung_Stammdaten!J$30,Bewertung_Stammdaten!I$30,IF(Y26&lt;Bewertung_Stammdaten!J$31,Bewertung_Stammdaten!I$31,IF(Y26&lt;Bewertung_Stammdaten!J$32,Bewertung_Stammdaten!I$32,IF(Y26&lt;Bewertung_Stammdaten!J$33,Bewertung_Stammdaten!I$33,Bewertung_Stammdaten!I$34)))))))))</f>
        <v>4</v>
      </c>
      <c r="AC26" s="43"/>
      <c r="AD26" s="14">
        <f ca="1">VLOOKUP(A26,Ergebnis_je_Aktie_verwässert!A$3:AK$103,23,FALSE)</f>
        <v>6.1310000000000002</v>
      </c>
      <c r="AE26" s="14">
        <f>VLOOKUP(A26,Ergebnis_je_Aktie_verwässert!A$3:AK$103,19,FALSE)</f>
        <v>5.2907692307692304</v>
      </c>
      <c r="AF26" s="12">
        <f ca="1">VLOOKUP(A26,Ergebnis_je_Aktie_verwässert!A$3:AK$103,24,FALSE)</f>
        <v>0.15881070078511206</v>
      </c>
      <c r="AG26" s="40">
        <f>VLOOKUP(A26,Ergebnis_je_Aktie_verwässert!A$3:AK$103,37,FALSE)</f>
        <v>-2.6800670016750461E-2</v>
      </c>
      <c r="AH26" s="16">
        <f t="shared" ca="1" si="7"/>
        <v>5.9666850921273031</v>
      </c>
      <c r="AI26" s="12">
        <f t="shared" ca="1" si="8"/>
        <v>0.12775379758149086</v>
      </c>
      <c r="AJ26" s="32">
        <f ca="1">IF(AF26&lt;Bewertung_Stammdaten!B$38,Bewertung_Stammdaten!A$38,IF(AF26&lt;Bewertung_Stammdaten!B$39,Bewertung_Stammdaten!A$39,IF(AF26&lt;Bewertung_Stammdaten!B$40,Bewertung_Stammdaten!A$40,IF(AF26&lt;Bewertung_Stammdaten!B$41,Bewertung_Stammdaten!A$41,IF(AF26&lt;Bewertung_Stammdaten!B$42,Bewertung_Stammdaten!A$42,IF(AF26&lt;Bewertung_Stammdaten!B$43,Bewertung_Stammdaten!A$43,IF(AF26&lt;Bewertung_Stammdaten!B$44,Bewertung_Stammdaten!A$44,IF(AF26&lt;Bewertung_Stammdaten!B$45,Bewertung_Stammdaten!A$45,IF(AF26&lt;Bewertung_Stammdaten!B$46,Bewertung_Stammdaten!A$46,Bewertung_Stammdaten!A$47)))))))))</f>
        <v>10</v>
      </c>
      <c r="AK26" s="32">
        <f>IF(AG26&lt;Bewertung_Stammdaten!F$38,Bewertung_Stammdaten!E$38,IF(AG26&lt;Bewertung_Stammdaten!F$39,Bewertung_Stammdaten!E$39,IF(AG26&lt;Bewertung_Stammdaten!F$40,Bewertung_Stammdaten!E$40,IF(AG26&lt;Bewertung_Stammdaten!F$41,Bewertung_Stammdaten!E$41,IF(AG26&lt;Bewertung_Stammdaten!F$42,Bewertung_Stammdaten!E$42,IF(AG26&lt;Bewertung_Stammdaten!F$43,Bewertung_Stammdaten!E$43,IF(AG26&lt;Bewertung_Stammdaten!F$44,Bewertung_Stammdaten!E$44,IF(AG26&lt;Bewertung_Stammdaten!F$45,Bewertung_Stammdaten!E$45,IF(AG26&lt;Bewertung_Stammdaten!F$46,Bewertung_Stammdaten!E$46,Bewertung_Stammdaten!E$47)))))))))</f>
        <v>10.5</v>
      </c>
      <c r="AL26" s="32">
        <f ca="1">IF(AI26&lt;Bewertung_Stammdaten!J$38,Bewertung_Stammdaten!I$38,IF(AI26&lt;Bewertung_Stammdaten!J$39,Bewertung_Stammdaten!I$39,IF(AI26&lt;Bewertung_Stammdaten!J$40,Bewertung_Stammdaten!I$40,IF(AI26&lt;Bewertung_Stammdaten!J$41,Bewertung_Stammdaten!I$41,IF(AI26&lt;Bewertung_Stammdaten!J$42,Bewertung_Stammdaten!I$42,IF(AI26&lt;Bewertung_Stammdaten!J$43,Bewertung_Stammdaten!I$43,IF(AI26&lt;Bewertung_Stammdaten!J$44,Bewertung_Stammdaten!I$44,IF(AI26&lt;Bewertung_Stammdaten!J$45,Bewertung_Stammdaten!I$45,IF(AI26&lt;Bewertung_Stammdaten!J$46,Bewertung_Stammdaten!I$46,Bewertung_Stammdaten!I$47)))))))))</f>
        <v>5</v>
      </c>
      <c r="AM26" s="43"/>
      <c r="AN26" s="14">
        <f ca="1">VLOOKUP(A26,Dividende_je_Aktie!A$3:AM$103,24,FALSE)</f>
        <v>3.1209999999999996</v>
      </c>
      <c r="AO26" s="14">
        <f>VLOOKUP(A26,Dividende_je_Aktie!A$3:AM$103,20,FALSE)</f>
        <v>2.3496428571428574</v>
      </c>
      <c r="AP26" s="12">
        <f ca="1">VLOOKUP(A26,Dividende_je_Aktie!A$3:AM$103,25,FALSE)</f>
        <v>0.32828697370421001</v>
      </c>
      <c r="AQ26" s="40">
        <f>VLOOKUP(A26,Dividende_je_Aktie!A$3:AM$103,39,FALSE)</f>
        <v>4.0677966101694718E-2</v>
      </c>
      <c r="AR26" s="16">
        <f t="shared" ca="1" si="9"/>
        <v>3.1209999999999996</v>
      </c>
      <c r="AS26" s="12">
        <f t="shared" ca="1" si="10"/>
        <v>0.32828697370421001</v>
      </c>
      <c r="AT26" s="32">
        <f ca="1">IF(AP26&lt;Bewertung_Stammdaten!B$51,Bewertung_Stammdaten!A$51,IF(AP26&lt;Bewertung_Stammdaten!B$52,Bewertung_Stammdaten!A$52,IF(AP26&lt;Bewertung_Stammdaten!B$53,Bewertung_Stammdaten!A$53,IF(AP26&lt;Bewertung_Stammdaten!B$54,Bewertung_Stammdaten!A$54,IF(AP26&lt;Bewertung_Stammdaten!B$55,Bewertung_Stammdaten!A$55,IF(AP26&lt;Bewertung_Stammdaten!B$56,Bewertung_Stammdaten!A$56,IF(AP26&lt;Bewertung_Stammdaten!B$57,Bewertung_Stammdaten!A$57,IF(AP26&lt;Bewertung_Stammdaten!B$58,Bewertung_Stammdaten!A$58,IF(AP26&lt;Bewertung_Stammdaten!B$59,Bewertung_Stammdaten!A$59,Bewertung_Stammdaten!A$60)))))))))</f>
        <v>12</v>
      </c>
      <c r="AU26" s="32">
        <f>IF(AQ26&lt;Bewertung_Stammdaten!F$51,Bewertung_Stammdaten!E$51,IF(AQ26&lt;Bewertung_Stammdaten!F$52,Bewertung_Stammdaten!E$52,IF(AQ26&lt;Bewertung_Stammdaten!F$53,Bewertung_Stammdaten!E$53,IF(AQ26&lt;Bewertung_Stammdaten!F$54,Bewertung_Stammdaten!E$54,IF(AQ26&lt;Bewertung_Stammdaten!F$55,Bewertung_Stammdaten!E$55,IF(AQ26&lt;Bewertung_Stammdaten!F$56,Bewertung_Stammdaten!E$56,IF(AQ26&lt;Bewertung_Stammdaten!F$57,Bewertung_Stammdaten!E$57,IF(AQ26&lt;Bewertung_Stammdaten!F$58,Bewertung_Stammdaten!E$58,IF(AQ26&lt;Bewertung_Stammdaten!F$59,Bewertung_Stammdaten!E$59,Bewertung_Stammdaten!E$60)))))))))</f>
        <v>12</v>
      </c>
      <c r="AV26" s="32">
        <f ca="1">IF(AS26&lt;Bewertung_Stammdaten!J$51,Bewertung_Stammdaten!I$51,IF(AS26&lt;Bewertung_Stammdaten!J$52,Bewertung_Stammdaten!I$52,IF(AS26&lt;Bewertung_Stammdaten!J$53,Bewertung_Stammdaten!I$53,IF(AS26&lt;Bewertung_Stammdaten!J$54,Bewertung_Stammdaten!I$54,IF(AS26&lt;Bewertung_Stammdaten!J$55,Bewertung_Stammdaten!I$55,IF(AS26&lt;Bewertung_Stammdaten!J$56,Bewertung_Stammdaten!I$56,IF(AS26&lt;Bewertung_Stammdaten!J$57,Bewertung_Stammdaten!I$57,IF(AS26&lt;Bewertung_Stammdaten!J$58,Bewertung_Stammdaten!I$58,IF(AS26&lt;Bewertung_Stammdaten!J$59,Bewertung_Stammdaten!I$59,Bewertung_Stammdaten!I$60)))))))))</f>
        <v>7</v>
      </c>
      <c r="AW26" s="43"/>
      <c r="AX26" s="12">
        <f ca="1">VLOOKUP(A26,Dividendenrendite!A$3:R$103,17,FALSE)</f>
        <v>2.8606782768102655E-2</v>
      </c>
      <c r="AY26" s="12">
        <f>VLOOKUP(A26,Dividendenrendite!A$3:R$103,16,FALSE)</f>
        <v>2.8568316481479398E-2</v>
      </c>
      <c r="AZ26" s="12">
        <f ca="1">VLOOKUP(A26,Dividendenrendite!A$3:R$103,18,FALSE)</f>
        <v>1.3464666932052616E-3</v>
      </c>
      <c r="BA26" s="32">
        <f ca="1">IF(AX26&lt;Bewertung_Stammdaten!B$64,Bewertung_Stammdaten!A$64,IF(AX26&lt;Bewertung_Stammdaten!B$65,Bewertung_Stammdaten!A$65,IF(AX26&lt;Bewertung_Stammdaten!B$66,Bewertung_Stammdaten!A$66,IF(AX26&lt;Bewertung_Stammdaten!B$67,Bewertung_Stammdaten!A$67,IF(AX26&lt;Bewertung_Stammdaten!B$68,Bewertung_Stammdaten!A$68,IF(AX26&lt;Bewertung_Stammdaten!B$69,Bewertung_Stammdaten!A$69,IF(AX26&lt;Bewertung_Stammdaten!B$70,Bewertung_Stammdaten!A$70,IF(AX26&lt;Bewertung_Stammdaten!B$71,Bewertung_Stammdaten!A$71,IF(AX26&lt;Bewertung_Stammdaten!B$72,Bewertung_Stammdaten!A$72,Bewertung_Stammdaten!A$73)))))))))</f>
        <v>9</v>
      </c>
      <c r="BB26" s="32">
        <f>IF(AY26&lt;Bewertung_Stammdaten!F$64,Bewertung_Stammdaten!E$64,IF(AY26&lt;Bewertung_Stammdaten!F$65,Bewertung_Stammdaten!E$65,IF(AY26&lt;Bewertung_Stammdaten!F$66,Bewertung_Stammdaten!E$66,IF(AY26&lt;Bewertung_Stammdaten!F$67,Bewertung_Stammdaten!E$67,IF(AY26&lt;Bewertung_Stammdaten!F$68,Bewertung_Stammdaten!E$68,IF(AY26&lt;Bewertung_Stammdaten!F$69,Bewertung_Stammdaten!E$69,IF(AY26&lt;Bewertung_Stammdaten!F$70,Bewertung_Stammdaten!E$70,IF(AY26&lt;Bewertung_Stammdaten!F$71,Bewertung_Stammdaten!E$71,IF(AY26&lt;Bewertung_Stammdaten!F$72,Bewertung_Stammdaten!E$72,Bewertung_Stammdaten!E$73)))))))))</f>
        <v>6</v>
      </c>
      <c r="BC26" s="32">
        <f ca="1">IF(AZ26&lt;Bewertung_Stammdaten!J$64,Bewertung_Stammdaten!I$64,IF(AZ26&lt;Bewertung_Stammdaten!J$65,Bewertung_Stammdaten!I$65,IF(AZ26&lt;Bewertung_Stammdaten!J$66,Bewertung_Stammdaten!I$66,IF(AZ26&lt;Bewertung_Stammdaten!J$67,Bewertung_Stammdaten!I$67,IF(AZ26&lt;Bewertung_Stammdaten!J$68,Bewertung_Stammdaten!I$68,IF(AZ26&lt;Bewertung_Stammdaten!J$69,Bewertung_Stammdaten!I$69,IF(AZ26&lt;Bewertung_Stammdaten!J$70,Bewertung_Stammdaten!I$70,IF(AZ26&lt;Bewertung_Stammdaten!J$71,Bewertung_Stammdaten!I$71,IF(AZ26&lt;Bewertung_Stammdaten!J$72,Bewertung_Stammdaten!I$72,Bewertung_Stammdaten!I$73)))))))))</f>
        <v>3</v>
      </c>
      <c r="BD26" s="43"/>
      <c r="BE26" s="12">
        <f>VLOOKUP(A26,Aktien_im_Umlauf_splitbereinigt!A$3:AB$103,28,FALSE)</f>
        <v>-1.0061085159899341E-2</v>
      </c>
      <c r="BF26" s="12">
        <f>VLOOKUP(A26,Aktien_im_Umlauf_splitbereinigt!A$3:AA$103,26,FALSE)</f>
        <v>-7.5452114373244063E-3</v>
      </c>
      <c r="BG26" s="12">
        <f>VLOOKUP(A26,Aktien_im_Umlauf_splitbereinigt!A$3:AA$103,27,FALSE)</f>
        <v>0.33343979071673102</v>
      </c>
      <c r="BH26" s="41">
        <f>IF(BE26&lt;Bewertung_Stammdaten!B$77,Bewertung_Stammdaten!A$77,IF(BE26&lt;Bewertung_Stammdaten!B$78,Bewertung_Stammdaten!A$78,IF(BE26&lt;Bewertung_Stammdaten!B$79,Bewertung_Stammdaten!A$79,IF(BE26&lt;Bewertung_Stammdaten!B$80,Bewertung_Stammdaten!A$80,IF(BE26&lt;Bewertung_Stammdaten!B$81,Bewertung_Stammdaten!A$81,IF(BE26&lt;Bewertung_Stammdaten!B$82,Bewertung_Stammdaten!A$82,IF(BE26&lt;Bewertung_Stammdaten!B$83,Bewertung_Stammdaten!A$83,IF(BE26&lt;Bewertung_Stammdaten!B$84,Bewertung_Stammdaten!A$84,IF(BE26&lt;Bewertung_Stammdaten!B$85,Bewertung_Stammdaten!A$85,Bewertung_Stammdaten!A$86)))))))))</f>
        <v>5</v>
      </c>
      <c r="BI26" s="41">
        <f>IF(BF26&lt;Bewertung_Stammdaten!F$77,Bewertung_Stammdaten!E$77,IF(BF26&lt;Bewertung_Stammdaten!F$78,Bewertung_Stammdaten!E$78,IF(BF26&lt;Bewertung_Stammdaten!F$79,Bewertung_Stammdaten!E$79,IF(BF26&lt;Bewertung_Stammdaten!F$80,Bewertung_Stammdaten!E$80,IF(BF26&lt;Bewertung_Stammdaten!F$81,Bewertung_Stammdaten!E$81,IF(BF26&lt;Bewertung_Stammdaten!F$82,Bewertung_Stammdaten!E$82,IF(BF26&lt;Bewertung_Stammdaten!F$83,Bewertung_Stammdaten!E$83,IF(BF26&lt;Bewertung_Stammdaten!F$84,Bewertung_Stammdaten!E$84,IF(BF26&lt;Bewertung_Stammdaten!F$85,Bewertung_Stammdaten!E$85,Bewertung_Stammdaten!E$86)))))))))</f>
        <v>4</v>
      </c>
      <c r="BJ26" s="41">
        <f>IF(BG26&lt;Bewertung_Stammdaten!J$77,Bewertung_Stammdaten!I$77,IF(BG26&lt;Bewertung_Stammdaten!J$78,Bewertung_Stammdaten!I$78,IF(BG26&lt;Bewertung_Stammdaten!J$79,Bewertung_Stammdaten!I$79,IF(BG26&lt;Bewertung_Stammdaten!J$80,Bewertung_Stammdaten!I$80,IF(BG26&lt;Bewertung_Stammdaten!J$81,Bewertung_Stammdaten!I$81,IF(BG26&lt;Bewertung_Stammdaten!J$82,Bewertung_Stammdaten!I$82,IF(BG26&lt;Bewertung_Stammdaten!J$83,Bewertung_Stammdaten!I$83,IF(BG26&lt;Bewertung_Stammdaten!J$84,Bewertung_Stammdaten!I$84,IF(BG26&lt;Bewertung_Stammdaten!J$85,Bewertung_Stammdaten!I$85,Bewertung_Stammdaten!I$86)))))))))</f>
        <v>3.5</v>
      </c>
      <c r="BK26" s="43"/>
      <c r="BL26" s="12">
        <f ca="1">VLOOKUP(A26,Ausschüttungsquote!A$3:AL$103,37,FALSE)</f>
        <v>0.50922900396429549</v>
      </c>
      <c r="BM26" s="12">
        <f>VLOOKUP(A26,Ausschüttungsquote!A$3:AL$103,19,FALSE)</f>
        <v>0.58957084575495111</v>
      </c>
      <c r="BN26" s="12">
        <f ca="1">VLOOKUP(A26,Ausschüttungsquote!A$3:AL$103,38,FALSE)</f>
        <v>0.12370342540594081</v>
      </c>
      <c r="BO26" s="32">
        <f ca="1">IF(BL26&lt;Bewertung_Stammdaten!B$90,Bewertung_Stammdaten!A$90,IF(BL26&lt;Bewertung_Stammdaten!B$91,Bewertung_Stammdaten!A$91,IF(BL26&lt;Bewertung_Stammdaten!B$92,Bewertung_Stammdaten!A$92,IF(BL26&lt;Bewertung_Stammdaten!B$93,Bewertung_Stammdaten!A$93,IF(BL26&lt;Bewertung_Stammdaten!B$94,Bewertung_Stammdaten!A$94,IF(BL26&lt;Bewertung_Stammdaten!B$95,Bewertung_Stammdaten!A$95,IF(BL26&lt;Bewertung_Stammdaten!B$96,Bewertung_Stammdaten!A$96,IF(BL26&lt;Bewertung_Stammdaten!B$97,Bewertung_Stammdaten!A$97,IF(BL26&lt;Bewertung_Stammdaten!B$98,Bewertung_Stammdaten!A$98,Bewertung_Stammdaten!A$99)))))))))</f>
        <v>7</v>
      </c>
      <c r="BP26" s="41">
        <f>IF(BM26&lt;Bewertung_Stammdaten!F$90,Bewertung_Stammdaten!E$90,IF(BM26&lt;Bewertung_Stammdaten!F$91,Bewertung_Stammdaten!E$91,IF(BM26&lt;Bewertung_Stammdaten!F$92,Bewertung_Stammdaten!E$92,IF(BM26&lt;Bewertung_Stammdaten!F$93,Bewertung_Stammdaten!E$93,IF(BM26&lt;Bewertung_Stammdaten!F$94,Bewertung_Stammdaten!E$94,IF(BM26&lt;Bewertung_Stammdaten!F$95,Bewertung_Stammdaten!E$95,IF(BM26&lt;Bewertung_Stammdaten!F$96,Bewertung_Stammdaten!E$96,IF(BM26&lt;Bewertung_Stammdaten!F$97,Bewertung_Stammdaten!E$97,IF(BM26&lt;Bewertung_Stammdaten!F$98,Bewertung_Stammdaten!E$98,Bewertung_Stammdaten!E$99)))))))))</f>
        <v>6</v>
      </c>
      <c r="BQ26" s="32">
        <f ca="1">IF(BN26&lt;Bewertung_Stammdaten!J$90,Bewertung_Stammdaten!I$90,IF(BN26&lt;Bewertung_Stammdaten!J$91,Bewertung_Stammdaten!I$91,IF(BN26&lt;Bewertung_Stammdaten!J$92,Bewertung_Stammdaten!I$92,IF(BN26&lt;Bewertung_Stammdaten!J$93,Bewertung_Stammdaten!I$93,IF(BN26&lt;Bewertung_Stammdaten!J$94,Bewertung_Stammdaten!I$94,IF(BN26&lt;Bewertung_Stammdaten!J$95,Bewertung_Stammdaten!I$95,IF(BN26&lt;Bewertung_Stammdaten!J$96,Bewertung_Stammdaten!I$96,IF(BN26&lt;Bewertung_Stammdaten!J$97,Bewertung_Stammdaten!I$97,IF(BN26&lt;Bewertung_Stammdaten!J$98,Bewertung_Stammdaten!I$98,Bewertung_Stammdaten!I$99)))))))))</f>
        <v>3</v>
      </c>
    </row>
    <row r="27" spans="1:69">
      <c r="A27" s="55" t="s">
        <v>320</v>
      </c>
      <c r="B27" s="55" t="s">
        <v>321</v>
      </c>
      <c r="C27" s="55" t="s">
        <v>282</v>
      </c>
      <c r="D27" s="32">
        <f t="shared" ca="1" si="0"/>
        <v>156</v>
      </c>
      <c r="E27" s="43"/>
      <c r="F27" s="60">
        <v>1</v>
      </c>
      <c r="G27" s="11">
        <f ca="1">VLOOKUP(A27,KGV!A$3:R$103,17,FALSE)</f>
        <v>20.689049813473776</v>
      </c>
      <c r="H27" s="11">
        <f>VLOOKUP(A27,KGV!A$3:R$103,16,FALSE)</f>
        <v>17.337500000000002</v>
      </c>
      <c r="I27" s="12">
        <f ca="1">VLOOKUP(A27,KGV!A$3:R$103,18,FALSE)</f>
        <v>0.19331217381247434</v>
      </c>
      <c r="J27" s="16">
        <f t="shared" ca="1" si="1"/>
        <v>22.081120450575259</v>
      </c>
      <c r="K27" s="12">
        <f t="shared" ca="1" si="2"/>
        <v>0.27360464026389364</v>
      </c>
      <c r="L27" s="11">
        <f ca="1">VLOOKUP(A27,KBV!A$3:R$103,17,FALSE)</f>
        <v>3.5070055796652202</v>
      </c>
      <c r="M27" s="11">
        <f>VLOOKUP(A27,KBV!A$3:R$103,16,FALSE)</f>
        <v>3.1115511551155115</v>
      </c>
      <c r="N27" s="12">
        <f ca="1">VLOOKUP(A27,KBV!A$3:R$103,18,FALSE)</f>
        <v>0.12709237445753252</v>
      </c>
      <c r="O27" s="16">
        <f t="shared" ca="1" si="3"/>
        <v>4.0036941633267267</v>
      </c>
      <c r="P27" s="12">
        <f t="shared" ca="1" si="4"/>
        <v>0.28671969822655718</v>
      </c>
      <c r="Q27" s="32">
        <f ca="1">IF(F27=1,IF(I27&lt;Bewertung_Stammdaten!B$12,Bewertung_Stammdaten!A$12,IF(I27&lt;Bewertung_Stammdaten!B$13,Bewertung_Stammdaten!A$13,IF(I27&lt;Bewertung_Stammdaten!B$14,Bewertung_Stammdaten!A$14,IF(I27&lt;Bewertung_Stammdaten!B$15,Bewertung_Stammdaten!A$15,IF(I27&lt;Bewertung_Stammdaten!B$16,Bewertung_Stammdaten!A$16,IF(I27&lt;Bewertung_Stammdaten!B$17,Bewertung_Stammdaten!A$17,IF(I27&lt;Bewertung_Stammdaten!B$18,Bewertung_Stammdaten!A$18,IF(I27&lt;Bewertung_Stammdaten!B$19,Bewertung_Stammdaten!A$19,IF(I27&lt;Bewertung_Stammdaten!B$20,Bewertung_Stammdaten!A$20,Bewertung_Stammdaten!A$21))))))))),IF(N27&lt;Bewertung_Stammdaten!C$12,Bewertung_Stammdaten!A$12,IF(N27&lt;Bewertung_Stammdaten!C$13,Bewertung_Stammdaten!A$13,IF(N27&lt;Bewertung_Stammdaten!C$14,Bewertung_Stammdaten!A$14,IF(N27&lt;Bewertung_Stammdaten!C$15,Bewertung_Stammdaten!A$15,IF(N27&lt;Bewertung_Stammdaten!C$16,Bewertung_Stammdaten!A$16,IF(N27&lt;Bewertung_Stammdaten!C$17,Bewertung_Stammdaten!A$17,IF(N27&lt;Bewertung_Stammdaten!C$18,Bewertung_Stammdaten!A$18,IF(N27&lt;Bewertung_Stammdaten!C$19,Bewertung_Stammdaten!A$19,IF(N27&lt;Bewertung_Stammdaten!C$20,Bewertung_Stammdaten!A$20,Bewertung_Stammdaten!A$21))))))))))</f>
        <v>18</v>
      </c>
      <c r="R27" s="32">
        <f ca="1">IF(F27=1,IF(K27&lt;Bewertung_Stammdaten!F$12,Bewertung_Stammdaten!E$12,IF(K27&lt;Bewertung_Stammdaten!F$13,Bewertung_Stammdaten!E$13,IF(K27&lt;Bewertung_Stammdaten!F$14,Bewertung_Stammdaten!E$14,IF(K27&lt;Bewertung_Stammdaten!F$15,Bewertung_Stammdaten!E$15,IF(K27&lt;Bewertung_Stammdaten!F$16,Bewertung_Stammdaten!E$16,IF(K27&lt;Bewertung_Stammdaten!F$17,Bewertung_Stammdaten!E$17,IF(K27&lt;Bewertung_Stammdaten!F$18,Bewertung_Stammdaten!E$18,IF(K27&lt;Bewertung_Stammdaten!F$19,Bewertung_Stammdaten!E$19,IF(K27&lt;Bewertung_Stammdaten!F$20,Bewertung_Stammdaten!E$20,Bewertung_Stammdaten!E$21))))))))),IF(P27&lt;Bewertung_Stammdaten!G$12,Bewertung_Stammdaten!E$12,IF(P27&lt;Bewertung_Stammdaten!G$13,Bewertung_Stammdaten!E$13,IF(P27&lt;Bewertung_Stammdaten!G$14,Bewertung_Stammdaten!E$14,IF(P27&lt;Bewertung_Stammdaten!G$15,Bewertung_Stammdaten!E$15,IF(P27&lt;Bewertung_Stammdaten!G$16,Bewertung_Stammdaten!E$16,IF(P27&lt;Bewertung_Stammdaten!G$17,Bewertung_Stammdaten!E$17,IF(P27&lt;Bewertung_Stammdaten!G$18,Bewertung_Stammdaten!E$18,IF(P27&lt;Bewertung_Stammdaten!G$19,Bewertung_Stammdaten!E$19,IF(P27&lt;Bewertung_Stammdaten!G$20,Bewertung_Stammdaten!E$20,Bewertung_Stammdaten!E$21))))))))))</f>
        <v>10</v>
      </c>
      <c r="S27" s="43"/>
      <c r="T27" s="11">
        <f ca="1">VLOOKUP(A27,Buchwert_je_Aktie!A$3:AK$103,23,FALSE)</f>
        <v>26.883333333333333</v>
      </c>
      <c r="U27" s="11">
        <f>VLOOKUP(A27,Buchwert_je_Aktie!A$3:AK$103,19,FALSE)</f>
        <v>19.556153846153844</v>
      </c>
      <c r="V27" s="12">
        <f ca="1">VLOOKUP(A27,Buchwert_je_Aktie!A$3:AK$103,24,FALSE)</f>
        <v>0.37467385176152845</v>
      </c>
      <c r="W27" s="12">
        <f>VLOOKUP(A27,Buchwert_je_Aktie!A$3:AK$103,37,FALSE)</f>
        <v>-0.12405757368060322</v>
      </c>
      <c r="X27" s="16">
        <f t="shared" ca="1" si="5"/>
        <v>23.548252227553117</v>
      </c>
      <c r="Y27" s="12">
        <f t="shared" ca="1" si="6"/>
        <v>0.204135149109824</v>
      </c>
      <c r="Z27" s="51">
        <f ca="1">IF(V27&lt;Bewertung_Stammdaten!B$25,Bewertung_Stammdaten!A$25,IF(V27&lt;Bewertung_Stammdaten!B$26,Bewertung_Stammdaten!A$26,IF(V27&lt;Bewertung_Stammdaten!B$27,Bewertung_Stammdaten!A$27,IF(V27&lt;Bewertung_Stammdaten!B$28,Bewertung_Stammdaten!A$28,IF(V27&lt;Bewertung_Stammdaten!B$29,Bewertung_Stammdaten!A$29,IF(V27&lt;Bewertung_Stammdaten!B$30,Bewertung_Stammdaten!A$30,IF(V27&lt;Bewertung_Stammdaten!B$31,Bewertung_Stammdaten!A$31,IF(V27&lt;Bewertung_Stammdaten!B$32,Bewertung_Stammdaten!A$32,IF(V27&lt;Bewertung_Stammdaten!B$33,Bewertung_Stammdaten!A$33,Bewertung_Stammdaten!A$34)))))))))</f>
        <v>9</v>
      </c>
      <c r="AA27" s="51">
        <f>IF(W27&lt;Bewertung_Stammdaten!F$25,Bewertung_Stammdaten!E$25,IF(W27&lt;Bewertung_Stammdaten!F$26,Bewertung_Stammdaten!E$26,IF(W27&lt;Bewertung_Stammdaten!F$27,Bewertung_Stammdaten!E$27,IF(W27&lt;Bewertung_Stammdaten!F$28,Bewertung_Stammdaten!E$28,IF(W27&lt;Bewertung_Stammdaten!F$29,Bewertung_Stammdaten!E$29,IF(W27&lt;Bewertung_Stammdaten!F$30,Bewertung_Stammdaten!E$30,IF(W27&lt;Bewertung_Stammdaten!F$31,Bewertung_Stammdaten!E$31,IF(W27&lt;Bewertung_Stammdaten!F$32,Bewertung_Stammdaten!E$32,IF(W27&lt;Bewertung_Stammdaten!F$33,Bewertung_Stammdaten!E$33,Bewertung_Stammdaten!E$34)))))))))</f>
        <v>7.5</v>
      </c>
      <c r="AB27" s="51">
        <f ca="1">IF(Y27&lt;Bewertung_Stammdaten!J$25,Bewertung_Stammdaten!I$25,IF(Y27&lt;Bewertung_Stammdaten!J$26,Bewertung_Stammdaten!I$26,IF(Y27&lt;Bewertung_Stammdaten!J$27,Bewertung_Stammdaten!I$27,IF(Y27&lt;Bewertung_Stammdaten!J$28,Bewertung_Stammdaten!I$28,IF(Y27&lt;Bewertung_Stammdaten!J$29,Bewertung_Stammdaten!I$29,IF(Y27&lt;Bewertung_Stammdaten!J$30,Bewertung_Stammdaten!I$30,IF(Y27&lt;Bewertung_Stammdaten!J$31,Bewertung_Stammdaten!I$31,IF(Y27&lt;Bewertung_Stammdaten!J$32,Bewertung_Stammdaten!I$32,IF(Y27&lt;Bewertung_Stammdaten!J$33,Bewertung_Stammdaten!I$33,Bewertung_Stammdaten!I$34)))))))))</f>
        <v>5</v>
      </c>
      <c r="AC27" s="43"/>
      <c r="AD27" s="14">
        <f ca="1">VLOOKUP(A27,Ergebnis_je_Aktie_verwässert!A$3:AK$103,23,FALSE)</f>
        <v>4.5570000000000004</v>
      </c>
      <c r="AE27" s="14">
        <f>VLOOKUP(A27,Ergebnis_je_Aktie_verwässert!A$3:AK$103,19,FALSE)</f>
        <v>3.4283846153846151</v>
      </c>
      <c r="AF27" s="12">
        <f ca="1">VLOOKUP(A27,Ergebnis_je_Aktie_verwässert!A$3:AK$103,24,FALSE)</f>
        <v>0.32919742421862752</v>
      </c>
      <c r="AG27" s="40">
        <f>VLOOKUP(A27,Ergebnis_je_Aktie_verwässert!A$3:AK$103,37,FALSE)</f>
        <v>-6.3043478260869534E-2</v>
      </c>
      <c r="AH27" s="16">
        <f t="shared" ca="1" si="7"/>
        <v>4.2697108695652179</v>
      </c>
      <c r="AI27" s="12">
        <f t="shared" ca="1" si="8"/>
        <v>0.24540019530049673</v>
      </c>
      <c r="AJ27" s="32">
        <f ca="1">IF(AF27&lt;Bewertung_Stammdaten!B$38,Bewertung_Stammdaten!A$38,IF(AF27&lt;Bewertung_Stammdaten!B$39,Bewertung_Stammdaten!A$39,IF(AF27&lt;Bewertung_Stammdaten!B$40,Bewertung_Stammdaten!A$40,IF(AF27&lt;Bewertung_Stammdaten!B$41,Bewertung_Stammdaten!A$41,IF(AF27&lt;Bewertung_Stammdaten!B$42,Bewertung_Stammdaten!A$42,IF(AF27&lt;Bewertung_Stammdaten!B$43,Bewertung_Stammdaten!A$43,IF(AF27&lt;Bewertung_Stammdaten!B$44,Bewertung_Stammdaten!A$44,IF(AF27&lt;Bewertung_Stammdaten!B$45,Bewertung_Stammdaten!A$45,IF(AF27&lt;Bewertung_Stammdaten!B$46,Bewertung_Stammdaten!A$46,Bewertung_Stammdaten!A$47)))))))))</f>
        <v>14</v>
      </c>
      <c r="AK27" s="32">
        <f>IF(AG27&lt;Bewertung_Stammdaten!F$38,Bewertung_Stammdaten!E$38,IF(AG27&lt;Bewertung_Stammdaten!F$39,Bewertung_Stammdaten!E$39,IF(AG27&lt;Bewertung_Stammdaten!F$40,Bewertung_Stammdaten!E$40,IF(AG27&lt;Bewertung_Stammdaten!F$41,Bewertung_Stammdaten!E$41,IF(AG27&lt;Bewertung_Stammdaten!F$42,Bewertung_Stammdaten!E$42,IF(AG27&lt;Bewertung_Stammdaten!F$43,Bewertung_Stammdaten!E$43,IF(AG27&lt;Bewertung_Stammdaten!F$44,Bewertung_Stammdaten!E$44,IF(AG27&lt;Bewertung_Stammdaten!F$45,Bewertung_Stammdaten!E$45,IF(AG27&lt;Bewertung_Stammdaten!F$46,Bewertung_Stammdaten!E$46,Bewertung_Stammdaten!E$47)))))))))</f>
        <v>10.5</v>
      </c>
      <c r="AL27" s="32">
        <f ca="1">IF(AI27&lt;Bewertung_Stammdaten!J$38,Bewertung_Stammdaten!I$38,IF(AI27&lt;Bewertung_Stammdaten!J$39,Bewertung_Stammdaten!I$39,IF(AI27&lt;Bewertung_Stammdaten!J$40,Bewertung_Stammdaten!I$40,IF(AI27&lt;Bewertung_Stammdaten!J$41,Bewertung_Stammdaten!I$41,IF(AI27&lt;Bewertung_Stammdaten!J$42,Bewertung_Stammdaten!I$42,IF(AI27&lt;Bewertung_Stammdaten!J$43,Bewertung_Stammdaten!I$43,IF(AI27&lt;Bewertung_Stammdaten!J$44,Bewertung_Stammdaten!I$44,IF(AI27&lt;Bewertung_Stammdaten!J$45,Bewertung_Stammdaten!I$45,IF(AI27&lt;Bewertung_Stammdaten!J$46,Bewertung_Stammdaten!I$46,Bewertung_Stammdaten!I$47)))))))))</f>
        <v>6</v>
      </c>
      <c r="AM27" s="43"/>
      <c r="AN27" s="14">
        <f ca="1">VLOOKUP(A27,Dividende_je_Aktie!A$3:AM$103,24,FALSE)</f>
        <v>2.4103333333333334</v>
      </c>
      <c r="AO27" s="14">
        <f>VLOOKUP(A27,Dividende_je_Aktie!A$3:AM$103,20,FALSE)</f>
        <v>1.6385714285714286</v>
      </c>
      <c r="AP27" s="12">
        <f ca="1">VLOOKUP(A27,Dividende_je_Aktie!A$3:AM$103,25,FALSE)</f>
        <v>0.47099680325486792</v>
      </c>
      <c r="AQ27" s="40">
        <f>VLOOKUP(A27,Dividende_je_Aktie!A$3:AM$103,39,FALSE)</f>
        <v>0</v>
      </c>
      <c r="AR27" s="16">
        <f t="shared" ca="1" si="9"/>
        <v>2.4103333333333334</v>
      </c>
      <c r="AS27" s="12">
        <f t="shared" ca="1" si="10"/>
        <v>0.47099680325486792</v>
      </c>
      <c r="AT27" s="32">
        <f ca="1">IF(AP27&lt;Bewertung_Stammdaten!B$51,Bewertung_Stammdaten!A$51,IF(AP27&lt;Bewertung_Stammdaten!B$52,Bewertung_Stammdaten!A$52,IF(AP27&lt;Bewertung_Stammdaten!B$53,Bewertung_Stammdaten!A$53,IF(AP27&lt;Bewertung_Stammdaten!B$54,Bewertung_Stammdaten!A$54,IF(AP27&lt;Bewertung_Stammdaten!B$55,Bewertung_Stammdaten!A$55,IF(AP27&lt;Bewertung_Stammdaten!B$56,Bewertung_Stammdaten!A$56,IF(AP27&lt;Bewertung_Stammdaten!B$57,Bewertung_Stammdaten!A$57,IF(AP27&lt;Bewertung_Stammdaten!B$58,Bewertung_Stammdaten!A$58,IF(AP27&lt;Bewertung_Stammdaten!B$59,Bewertung_Stammdaten!A$59,Bewertung_Stammdaten!A$60)))))))))</f>
        <v>14</v>
      </c>
      <c r="AU27" s="32">
        <f>IF(AQ27&lt;Bewertung_Stammdaten!F$51,Bewertung_Stammdaten!E$51,IF(AQ27&lt;Bewertung_Stammdaten!F$52,Bewertung_Stammdaten!E$52,IF(AQ27&lt;Bewertung_Stammdaten!F$53,Bewertung_Stammdaten!E$53,IF(AQ27&lt;Bewertung_Stammdaten!F$54,Bewertung_Stammdaten!E$54,IF(AQ27&lt;Bewertung_Stammdaten!F$55,Bewertung_Stammdaten!E$55,IF(AQ27&lt;Bewertung_Stammdaten!F$56,Bewertung_Stammdaten!E$56,IF(AQ27&lt;Bewertung_Stammdaten!F$57,Bewertung_Stammdaten!E$57,IF(AQ27&lt;Bewertung_Stammdaten!F$58,Bewertung_Stammdaten!E$58,IF(AQ27&lt;Bewertung_Stammdaten!F$59,Bewertung_Stammdaten!E$59,Bewertung_Stammdaten!E$60)))))))))</f>
        <v>12</v>
      </c>
      <c r="AV27" s="32">
        <f ca="1">IF(AS27&lt;Bewertung_Stammdaten!J$51,Bewertung_Stammdaten!I$51,IF(AS27&lt;Bewertung_Stammdaten!J$52,Bewertung_Stammdaten!I$52,IF(AS27&lt;Bewertung_Stammdaten!J$53,Bewertung_Stammdaten!I$53,IF(AS27&lt;Bewertung_Stammdaten!J$54,Bewertung_Stammdaten!I$54,IF(AS27&lt;Bewertung_Stammdaten!J$55,Bewertung_Stammdaten!I$55,IF(AS27&lt;Bewertung_Stammdaten!J$56,Bewertung_Stammdaten!I$56,IF(AS27&lt;Bewertung_Stammdaten!J$57,Bewertung_Stammdaten!I$57,IF(AS27&lt;Bewertung_Stammdaten!J$58,Bewertung_Stammdaten!I$58,IF(AS27&lt;Bewertung_Stammdaten!J$59,Bewertung_Stammdaten!I$59,Bewertung_Stammdaten!I$60)))))))))</f>
        <v>9</v>
      </c>
      <c r="AW27" s="43"/>
      <c r="AX27" s="12">
        <f ca="1">VLOOKUP(A27,Dividendenrendite!A$3:R$103,17,FALSE)</f>
        <v>2.5565690849950504E-2</v>
      </c>
      <c r="AY27" s="12">
        <f>VLOOKUP(A27,Dividendenrendite!A$3:R$103,16,FALSE)</f>
        <v>2.6340773613828652E-2</v>
      </c>
      <c r="AZ27" s="12">
        <f ca="1">VLOOKUP(A27,Dividendenrendite!A$3:R$103,18,FALSE)</f>
        <v>-2.9425208812820736E-2</v>
      </c>
      <c r="BA27" s="32">
        <f ca="1">IF(AX27&lt;Bewertung_Stammdaten!B$64,Bewertung_Stammdaten!A$64,IF(AX27&lt;Bewertung_Stammdaten!B$65,Bewertung_Stammdaten!A$65,IF(AX27&lt;Bewertung_Stammdaten!B$66,Bewertung_Stammdaten!A$66,IF(AX27&lt;Bewertung_Stammdaten!B$67,Bewertung_Stammdaten!A$67,IF(AX27&lt;Bewertung_Stammdaten!B$68,Bewertung_Stammdaten!A$68,IF(AX27&lt;Bewertung_Stammdaten!B$69,Bewertung_Stammdaten!A$69,IF(AX27&lt;Bewertung_Stammdaten!B$70,Bewertung_Stammdaten!A$70,IF(AX27&lt;Bewertung_Stammdaten!B$71,Bewertung_Stammdaten!A$71,IF(AX27&lt;Bewertung_Stammdaten!B$72,Bewertung_Stammdaten!A$72,Bewertung_Stammdaten!A$73)))))))))</f>
        <v>9</v>
      </c>
      <c r="BB27" s="32">
        <f>IF(AY27&lt;Bewertung_Stammdaten!F$64,Bewertung_Stammdaten!E$64,IF(AY27&lt;Bewertung_Stammdaten!F$65,Bewertung_Stammdaten!E$65,IF(AY27&lt;Bewertung_Stammdaten!F$66,Bewertung_Stammdaten!E$66,IF(AY27&lt;Bewertung_Stammdaten!F$67,Bewertung_Stammdaten!E$67,IF(AY27&lt;Bewertung_Stammdaten!F$68,Bewertung_Stammdaten!E$68,IF(AY27&lt;Bewertung_Stammdaten!F$69,Bewertung_Stammdaten!E$69,IF(AY27&lt;Bewertung_Stammdaten!F$70,Bewertung_Stammdaten!E$70,IF(AY27&lt;Bewertung_Stammdaten!F$71,Bewertung_Stammdaten!E$71,IF(AY27&lt;Bewertung_Stammdaten!F$72,Bewertung_Stammdaten!E$72,Bewertung_Stammdaten!E$73)))))))))</f>
        <v>6</v>
      </c>
      <c r="BC27" s="32">
        <f ca="1">IF(AZ27&lt;Bewertung_Stammdaten!J$64,Bewertung_Stammdaten!I$64,IF(AZ27&lt;Bewertung_Stammdaten!J$65,Bewertung_Stammdaten!I$65,IF(AZ27&lt;Bewertung_Stammdaten!J$66,Bewertung_Stammdaten!I$66,IF(AZ27&lt;Bewertung_Stammdaten!J$67,Bewertung_Stammdaten!I$67,IF(AZ27&lt;Bewertung_Stammdaten!J$68,Bewertung_Stammdaten!I$68,IF(AZ27&lt;Bewertung_Stammdaten!J$69,Bewertung_Stammdaten!I$69,IF(AZ27&lt;Bewertung_Stammdaten!J$70,Bewertung_Stammdaten!I$70,IF(AZ27&lt;Bewertung_Stammdaten!J$71,Bewertung_Stammdaten!I$71,IF(AZ27&lt;Bewertung_Stammdaten!J$72,Bewertung_Stammdaten!I$72,Bewertung_Stammdaten!I$73)))))))))</f>
        <v>2.5</v>
      </c>
      <c r="BD27" s="43"/>
      <c r="BE27" s="12">
        <f>VLOOKUP(A27,Aktien_im_Umlauf_splitbereinigt!A$3:AB$103,28,FALSE)</f>
        <v>1.9096117122852085E-4</v>
      </c>
      <c r="BF27" s="12">
        <f>VLOOKUP(A27,Aktien_im_Umlauf_splitbereinigt!A$3:AA$103,26,FALSE)</f>
        <v>3.1826861871420142E-5</v>
      </c>
      <c r="BG27" s="12">
        <f>VLOOKUP(A27,Aktien_im_Umlauf_splitbereinigt!A$3:AA$103,27,FALSE)</f>
        <v>-99.999989999999997</v>
      </c>
      <c r="BH27" s="41">
        <f>IF(BE27&lt;Bewertung_Stammdaten!B$77,Bewertung_Stammdaten!A$77,IF(BE27&lt;Bewertung_Stammdaten!B$78,Bewertung_Stammdaten!A$78,IF(BE27&lt;Bewertung_Stammdaten!B$79,Bewertung_Stammdaten!A$79,IF(BE27&lt;Bewertung_Stammdaten!B$80,Bewertung_Stammdaten!A$80,IF(BE27&lt;Bewertung_Stammdaten!B$81,Bewertung_Stammdaten!A$81,IF(BE27&lt;Bewertung_Stammdaten!B$82,Bewertung_Stammdaten!A$82,IF(BE27&lt;Bewertung_Stammdaten!B$83,Bewertung_Stammdaten!A$83,IF(BE27&lt;Bewertung_Stammdaten!B$84,Bewertung_Stammdaten!A$84,IF(BE27&lt;Bewertung_Stammdaten!B$85,Bewertung_Stammdaten!A$85,Bewertung_Stammdaten!A$86)))))))))</f>
        <v>2</v>
      </c>
      <c r="BI27" s="41">
        <f>IF(BF27&lt;Bewertung_Stammdaten!F$77,Bewertung_Stammdaten!E$77,IF(BF27&lt;Bewertung_Stammdaten!F$78,Bewertung_Stammdaten!E$78,IF(BF27&lt;Bewertung_Stammdaten!F$79,Bewertung_Stammdaten!E$79,IF(BF27&lt;Bewertung_Stammdaten!F$80,Bewertung_Stammdaten!E$80,IF(BF27&lt;Bewertung_Stammdaten!F$81,Bewertung_Stammdaten!E$81,IF(BF27&lt;Bewertung_Stammdaten!F$82,Bewertung_Stammdaten!E$82,IF(BF27&lt;Bewertung_Stammdaten!F$83,Bewertung_Stammdaten!E$83,IF(BF27&lt;Bewertung_Stammdaten!F$84,Bewertung_Stammdaten!E$84,IF(BF27&lt;Bewertung_Stammdaten!F$85,Bewertung_Stammdaten!E$85,Bewertung_Stammdaten!E$86)))))))))</f>
        <v>2</v>
      </c>
      <c r="BJ27" s="41">
        <f>IF(BG27&lt;Bewertung_Stammdaten!J$77,Bewertung_Stammdaten!I$77,IF(BG27&lt;Bewertung_Stammdaten!J$78,Bewertung_Stammdaten!I$78,IF(BG27&lt;Bewertung_Stammdaten!J$79,Bewertung_Stammdaten!I$79,IF(BG27&lt;Bewertung_Stammdaten!J$80,Bewertung_Stammdaten!I$80,IF(BG27&lt;Bewertung_Stammdaten!J$81,Bewertung_Stammdaten!I$81,IF(BG27&lt;Bewertung_Stammdaten!J$82,Bewertung_Stammdaten!I$82,IF(BG27&lt;Bewertung_Stammdaten!J$83,Bewertung_Stammdaten!I$83,IF(BG27&lt;Bewertung_Stammdaten!J$84,Bewertung_Stammdaten!I$84,IF(BG27&lt;Bewertung_Stammdaten!J$85,Bewertung_Stammdaten!I$85,Bewertung_Stammdaten!I$86)))))))))</f>
        <v>0.5</v>
      </c>
      <c r="BK27" s="43"/>
      <c r="BL27" s="12">
        <f ca="1">VLOOKUP(A27,Ausschüttungsquote!A$3:AL$103,37,FALSE)</f>
        <v>0.52900264928995733</v>
      </c>
      <c r="BM27" s="12">
        <f>VLOOKUP(A27,Ausschüttungsquote!A$3:AL$103,19,FALSE)</f>
        <v>0.49504520595878826</v>
      </c>
      <c r="BN27" s="12">
        <f ca="1">VLOOKUP(A27,Ausschüttungsquote!A$3:AL$103,38,FALSE)</f>
        <v>6.8594631202217871E-2</v>
      </c>
      <c r="BO27" s="32">
        <f ca="1">IF(BL27&lt;Bewertung_Stammdaten!B$90,Bewertung_Stammdaten!A$90,IF(BL27&lt;Bewertung_Stammdaten!B$91,Bewertung_Stammdaten!A$91,IF(BL27&lt;Bewertung_Stammdaten!B$92,Bewertung_Stammdaten!A$92,IF(BL27&lt;Bewertung_Stammdaten!B$93,Bewertung_Stammdaten!A$93,IF(BL27&lt;Bewertung_Stammdaten!B$94,Bewertung_Stammdaten!A$94,IF(BL27&lt;Bewertung_Stammdaten!B$95,Bewertung_Stammdaten!A$95,IF(BL27&lt;Bewertung_Stammdaten!B$96,Bewertung_Stammdaten!A$96,IF(BL27&lt;Bewertung_Stammdaten!B$97,Bewertung_Stammdaten!A$97,IF(BL27&lt;Bewertung_Stammdaten!B$98,Bewertung_Stammdaten!A$98,Bewertung_Stammdaten!A$99)))))))))</f>
        <v>7</v>
      </c>
      <c r="BP27" s="41">
        <f>IF(BM27&lt;Bewertung_Stammdaten!F$90,Bewertung_Stammdaten!E$90,IF(BM27&lt;Bewertung_Stammdaten!F$91,Bewertung_Stammdaten!E$91,IF(BM27&lt;Bewertung_Stammdaten!F$92,Bewertung_Stammdaten!E$92,IF(BM27&lt;Bewertung_Stammdaten!F$93,Bewertung_Stammdaten!E$93,IF(BM27&lt;Bewertung_Stammdaten!F$94,Bewertung_Stammdaten!E$94,IF(BM27&lt;Bewertung_Stammdaten!F$95,Bewertung_Stammdaten!E$95,IF(BM27&lt;Bewertung_Stammdaten!F$96,Bewertung_Stammdaten!E$96,IF(BM27&lt;Bewertung_Stammdaten!F$97,Bewertung_Stammdaten!E$97,IF(BM27&lt;Bewertung_Stammdaten!F$98,Bewertung_Stammdaten!E$98,Bewertung_Stammdaten!E$99)))))))))</f>
        <v>8</v>
      </c>
      <c r="BQ27" s="32">
        <f ca="1">IF(BN27&lt;Bewertung_Stammdaten!J$90,Bewertung_Stammdaten!I$90,IF(BN27&lt;Bewertung_Stammdaten!J$91,Bewertung_Stammdaten!I$91,IF(BN27&lt;Bewertung_Stammdaten!J$92,Bewertung_Stammdaten!I$92,IF(BN27&lt;Bewertung_Stammdaten!J$93,Bewertung_Stammdaten!I$93,IF(BN27&lt;Bewertung_Stammdaten!J$94,Bewertung_Stammdaten!I$94,IF(BN27&lt;Bewertung_Stammdaten!J$95,Bewertung_Stammdaten!I$95,IF(BN27&lt;Bewertung_Stammdaten!J$96,Bewertung_Stammdaten!I$96,IF(BN27&lt;Bewertung_Stammdaten!J$97,Bewertung_Stammdaten!I$97,IF(BN27&lt;Bewertung_Stammdaten!J$98,Bewertung_Stammdaten!I$98,Bewertung_Stammdaten!I$99)))))))))</f>
        <v>4</v>
      </c>
    </row>
    <row r="28" spans="1:69">
      <c r="A28" s="38" t="s">
        <v>258</v>
      </c>
      <c r="B28" s="38" t="s">
        <v>259</v>
      </c>
      <c r="C28" s="38" t="s">
        <v>282</v>
      </c>
      <c r="D28" s="32">
        <f t="shared" ca="1" si="0"/>
        <v>156</v>
      </c>
      <c r="E28" s="43"/>
      <c r="F28" s="60">
        <v>1</v>
      </c>
      <c r="G28" s="11">
        <f ca="1">VLOOKUP(A28,KGV!A$3:R$103,17,FALSE)</f>
        <v>18.842891760904685</v>
      </c>
      <c r="H28" s="11">
        <f>VLOOKUP(A28,KGV!A$3:R$103,16,FALSE)</f>
        <v>17.279629629629628</v>
      </c>
      <c r="I28" s="12">
        <f ca="1">VLOOKUP(A28,KGV!A$3:R$103,18,FALSE)</f>
        <v>9.0468497576736695E-2</v>
      </c>
      <c r="J28" s="16">
        <f t="shared" ca="1" si="1"/>
        <v>25.883093078165775</v>
      </c>
      <c r="K28" s="12">
        <f t="shared" ca="1" si="2"/>
        <v>0.49789628788013274</v>
      </c>
      <c r="L28" s="11">
        <f ca="1">VLOOKUP(A28,KBV!A$3:R$103,17,FALSE)</f>
        <v>-20.963828353179061</v>
      </c>
      <c r="M28" s="11">
        <f>VLOOKUP(A28,KBV!A$3:R$103,16,FALSE)</f>
        <v>-17.247689463955638</v>
      </c>
      <c r="N28" s="12">
        <f ca="1">VLOOKUP(A28,KBV!A$3:R$103,18,FALSE)</f>
        <v>-0.21545720062907203</v>
      </c>
      <c r="O28" s="16">
        <f t="shared" ca="1" si="3"/>
        <v>4.0315054525344349</v>
      </c>
      <c r="P28" s="12">
        <f t="shared" ca="1" si="4"/>
        <v>-1.2337417693517447</v>
      </c>
      <c r="Q28" s="32">
        <f ca="1">IF(F28=1,IF(I28&lt;Bewertung_Stammdaten!B$12,Bewertung_Stammdaten!A$12,IF(I28&lt;Bewertung_Stammdaten!B$13,Bewertung_Stammdaten!A$13,IF(I28&lt;Bewertung_Stammdaten!B$14,Bewertung_Stammdaten!A$14,IF(I28&lt;Bewertung_Stammdaten!B$15,Bewertung_Stammdaten!A$15,IF(I28&lt;Bewertung_Stammdaten!B$16,Bewertung_Stammdaten!A$16,IF(I28&lt;Bewertung_Stammdaten!B$17,Bewertung_Stammdaten!A$17,IF(I28&lt;Bewertung_Stammdaten!B$18,Bewertung_Stammdaten!A$18,IF(I28&lt;Bewertung_Stammdaten!B$19,Bewertung_Stammdaten!A$19,IF(I28&lt;Bewertung_Stammdaten!B$20,Bewertung_Stammdaten!A$20,Bewertung_Stammdaten!A$21))))))))),IF(N28&lt;Bewertung_Stammdaten!C$12,Bewertung_Stammdaten!A$12,IF(N28&lt;Bewertung_Stammdaten!C$13,Bewertung_Stammdaten!A$13,IF(N28&lt;Bewertung_Stammdaten!C$14,Bewertung_Stammdaten!A$14,IF(N28&lt;Bewertung_Stammdaten!C$15,Bewertung_Stammdaten!A$15,IF(N28&lt;Bewertung_Stammdaten!C$16,Bewertung_Stammdaten!A$16,IF(N28&lt;Bewertung_Stammdaten!C$17,Bewertung_Stammdaten!A$17,IF(N28&lt;Bewertung_Stammdaten!C$18,Bewertung_Stammdaten!A$18,IF(N28&lt;Bewertung_Stammdaten!C$19,Bewertung_Stammdaten!A$19,IF(N28&lt;Bewertung_Stammdaten!C$20,Bewertung_Stammdaten!A$20,Bewertung_Stammdaten!A$21))))))))))</f>
        <v>30</v>
      </c>
      <c r="R28" s="32">
        <f ca="1">IF(F28=1,IF(K28&lt;Bewertung_Stammdaten!F$12,Bewertung_Stammdaten!E$12,IF(K28&lt;Bewertung_Stammdaten!F$13,Bewertung_Stammdaten!E$13,IF(K28&lt;Bewertung_Stammdaten!F$14,Bewertung_Stammdaten!E$14,IF(K28&lt;Bewertung_Stammdaten!F$15,Bewertung_Stammdaten!E$15,IF(K28&lt;Bewertung_Stammdaten!F$16,Bewertung_Stammdaten!E$16,IF(K28&lt;Bewertung_Stammdaten!F$17,Bewertung_Stammdaten!E$17,IF(K28&lt;Bewertung_Stammdaten!F$18,Bewertung_Stammdaten!E$18,IF(K28&lt;Bewertung_Stammdaten!F$19,Bewertung_Stammdaten!E$19,IF(K28&lt;Bewertung_Stammdaten!F$20,Bewertung_Stammdaten!E$20,Bewertung_Stammdaten!E$21))))))))),IF(P28&lt;Bewertung_Stammdaten!G$12,Bewertung_Stammdaten!E$12,IF(P28&lt;Bewertung_Stammdaten!G$13,Bewertung_Stammdaten!E$13,IF(P28&lt;Bewertung_Stammdaten!G$14,Bewertung_Stammdaten!E$14,IF(P28&lt;Bewertung_Stammdaten!G$15,Bewertung_Stammdaten!E$15,IF(P28&lt;Bewertung_Stammdaten!G$16,Bewertung_Stammdaten!E$16,IF(P28&lt;Bewertung_Stammdaten!G$17,Bewertung_Stammdaten!E$17,IF(P28&lt;Bewertung_Stammdaten!G$18,Bewertung_Stammdaten!E$18,IF(P28&lt;Bewertung_Stammdaten!G$19,Bewertung_Stammdaten!E$19,IF(P28&lt;Bewertung_Stammdaten!G$20,Bewertung_Stammdaten!E$20,Bewertung_Stammdaten!E$21))))))))))</f>
        <v>2.5</v>
      </c>
      <c r="S28" s="43"/>
      <c r="T28" s="11">
        <f ca="1">VLOOKUP(A28,Buchwert_je_Aktie!A$3:AK$103,23,FALSE)</f>
        <v>-4.4510000000000005</v>
      </c>
      <c r="U28" s="11">
        <f>VLOOKUP(A28,Buchwert_je_Aktie!A$3:AK$103,19,FALSE)</f>
        <v>-2.1369230769230771</v>
      </c>
      <c r="V28" s="12">
        <f ca="1">VLOOKUP(A28,Buchwert_je_Aktie!A$3:AK$103,24,FALSE)</f>
        <v>-1.0829013678905688</v>
      </c>
      <c r="W28" s="12">
        <f>VLOOKUP(A28,Buchwert_je_Aktie!A$3:AK$103,37,FALSE)</f>
        <v>-6.2</v>
      </c>
      <c r="X28" s="16">
        <f t="shared" ca="1" si="5"/>
        <v>-23.145200000000003</v>
      </c>
      <c r="Y28" s="12">
        <f t="shared" si="6"/>
        <v>-99.999989999999997</v>
      </c>
      <c r="Z28" s="51">
        <f ca="1">IF(V28&lt;Bewertung_Stammdaten!B$25,Bewertung_Stammdaten!A$25,IF(V28&lt;Bewertung_Stammdaten!B$26,Bewertung_Stammdaten!A$26,IF(V28&lt;Bewertung_Stammdaten!B$27,Bewertung_Stammdaten!A$27,IF(V28&lt;Bewertung_Stammdaten!B$28,Bewertung_Stammdaten!A$28,IF(V28&lt;Bewertung_Stammdaten!B$29,Bewertung_Stammdaten!A$29,IF(V28&lt;Bewertung_Stammdaten!B$30,Bewertung_Stammdaten!A$30,IF(V28&lt;Bewertung_Stammdaten!B$31,Bewertung_Stammdaten!A$31,IF(V28&lt;Bewertung_Stammdaten!B$32,Bewertung_Stammdaten!A$32,IF(V28&lt;Bewertung_Stammdaten!B$33,Bewertung_Stammdaten!A$33,Bewertung_Stammdaten!A$34)))))))))</f>
        <v>1.5</v>
      </c>
      <c r="AA28" s="51">
        <f>IF(W28&lt;Bewertung_Stammdaten!F$25,Bewertung_Stammdaten!E$25,IF(W28&lt;Bewertung_Stammdaten!F$26,Bewertung_Stammdaten!E$26,IF(W28&lt;Bewertung_Stammdaten!F$27,Bewertung_Stammdaten!E$27,IF(W28&lt;Bewertung_Stammdaten!F$28,Bewertung_Stammdaten!E$28,IF(W28&lt;Bewertung_Stammdaten!F$29,Bewertung_Stammdaten!E$29,IF(W28&lt;Bewertung_Stammdaten!F$30,Bewertung_Stammdaten!E$30,IF(W28&lt;Bewertung_Stammdaten!F$31,Bewertung_Stammdaten!E$31,IF(W28&lt;Bewertung_Stammdaten!F$32,Bewertung_Stammdaten!E$32,IF(W28&lt;Bewertung_Stammdaten!F$33,Bewertung_Stammdaten!E$33,Bewertung_Stammdaten!E$34)))))))))</f>
        <v>1.5</v>
      </c>
      <c r="AB28" s="51">
        <f>IF(Y28&lt;Bewertung_Stammdaten!J$25,Bewertung_Stammdaten!I$25,IF(Y28&lt;Bewertung_Stammdaten!J$26,Bewertung_Stammdaten!I$26,IF(Y28&lt;Bewertung_Stammdaten!J$27,Bewertung_Stammdaten!I$27,IF(Y28&lt;Bewertung_Stammdaten!J$28,Bewertung_Stammdaten!I$28,IF(Y28&lt;Bewertung_Stammdaten!J$29,Bewertung_Stammdaten!I$29,IF(Y28&lt;Bewertung_Stammdaten!J$30,Bewertung_Stammdaten!I$30,IF(Y28&lt;Bewertung_Stammdaten!J$31,Bewertung_Stammdaten!I$31,IF(Y28&lt;Bewertung_Stammdaten!J$32,Bewertung_Stammdaten!I$32,IF(Y28&lt;Bewertung_Stammdaten!J$33,Bewertung_Stammdaten!I$33,Bewertung_Stammdaten!I$34)))))))))</f>
        <v>1</v>
      </c>
      <c r="AC28" s="43"/>
      <c r="AD28" s="14">
        <f ca="1">VLOOKUP(A28,Ergebnis_je_Aktie_verwässert!A$3:AK$103,23,FALSE)</f>
        <v>4.952</v>
      </c>
      <c r="AE28" s="14">
        <f>VLOOKUP(A28,Ergebnis_je_Aktie_verwässert!A$3:AK$103,19,FALSE)</f>
        <v>3.4276923076923085</v>
      </c>
      <c r="AF28" s="12">
        <f ca="1">VLOOKUP(A28,Ergebnis_je_Aktie_verwässert!A$3:AK$103,24,FALSE)</f>
        <v>0.44470377019748608</v>
      </c>
      <c r="AG28" s="40">
        <f>VLOOKUP(A28,Ergebnis_je_Aktie_verwässert!A$3:AK$103,37,FALSE)</f>
        <v>-0.27200000000000002</v>
      </c>
      <c r="AH28" s="16">
        <f t="shared" ca="1" si="7"/>
        <v>3.6050559999999998</v>
      </c>
      <c r="AI28" s="12">
        <f t="shared" ca="1" si="8"/>
        <v>5.1744344703769984E-2</v>
      </c>
      <c r="AJ28" s="32">
        <f ca="1">IF(AF28&lt;Bewertung_Stammdaten!B$38,Bewertung_Stammdaten!A$38,IF(AF28&lt;Bewertung_Stammdaten!B$39,Bewertung_Stammdaten!A$39,IF(AF28&lt;Bewertung_Stammdaten!B$40,Bewertung_Stammdaten!A$40,IF(AF28&lt;Bewertung_Stammdaten!B$41,Bewertung_Stammdaten!A$41,IF(AF28&lt;Bewertung_Stammdaten!B$42,Bewertung_Stammdaten!A$42,IF(AF28&lt;Bewertung_Stammdaten!B$43,Bewertung_Stammdaten!A$43,IF(AF28&lt;Bewertung_Stammdaten!B$44,Bewertung_Stammdaten!A$44,IF(AF28&lt;Bewertung_Stammdaten!B$45,Bewertung_Stammdaten!A$45,IF(AF28&lt;Bewertung_Stammdaten!B$46,Bewertung_Stammdaten!A$46,Bewertung_Stammdaten!A$47)))))))))</f>
        <v>16</v>
      </c>
      <c r="AK28" s="32">
        <f>IF(AG28&lt;Bewertung_Stammdaten!F$38,Bewertung_Stammdaten!E$38,IF(AG28&lt;Bewertung_Stammdaten!F$39,Bewertung_Stammdaten!E$39,IF(AG28&lt;Bewertung_Stammdaten!F$40,Bewertung_Stammdaten!E$40,IF(AG28&lt;Bewertung_Stammdaten!F$41,Bewertung_Stammdaten!E$41,IF(AG28&lt;Bewertung_Stammdaten!F$42,Bewertung_Stammdaten!E$42,IF(AG28&lt;Bewertung_Stammdaten!F$43,Bewertung_Stammdaten!E$43,IF(AG28&lt;Bewertung_Stammdaten!F$44,Bewertung_Stammdaten!E$44,IF(AG28&lt;Bewertung_Stammdaten!F$45,Bewertung_Stammdaten!E$45,IF(AG28&lt;Bewertung_Stammdaten!F$46,Bewertung_Stammdaten!E$46,Bewertung_Stammdaten!E$47)))))))))</f>
        <v>7.5</v>
      </c>
      <c r="AL28" s="32">
        <f ca="1">IF(AI28&lt;Bewertung_Stammdaten!J$38,Bewertung_Stammdaten!I$38,IF(AI28&lt;Bewertung_Stammdaten!J$39,Bewertung_Stammdaten!I$39,IF(AI28&lt;Bewertung_Stammdaten!J$40,Bewertung_Stammdaten!I$40,IF(AI28&lt;Bewertung_Stammdaten!J$41,Bewertung_Stammdaten!I$41,IF(AI28&lt;Bewertung_Stammdaten!J$42,Bewertung_Stammdaten!I$42,IF(AI28&lt;Bewertung_Stammdaten!J$43,Bewertung_Stammdaten!I$43,IF(AI28&lt;Bewertung_Stammdaten!J$44,Bewertung_Stammdaten!I$44,IF(AI28&lt;Bewertung_Stammdaten!J$45,Bewertung_Stammdaten!I$45,IF(AI28&lt;Bewertung_Stammdaten!J$46,Bewertung_Stammdaten!I$46,Bewertung_Stammdaten!I$47)))))))))</f>
        <v>5</v>
      </c>
      <c r="AM28" s="43"/>
      <c r="AN28" s="14">
        <f ca="1">VLOOKUP(A28,Dividende_je_Aktie!A$3:AM$103,24,FALSE)</f>
        <v>1.51</v>
      </c>
      <c r="AO28" s="14">
        <f>VLOOKUP(A28,Dividende_je_Aktie!A$3:AM$103,20,FALSE)</f>
        <v>0.83714285714285708</v>
      </c>
      <c r="AP28" s="12">
        <f ca="1">VLOOKUP(A28,Dividende_je_Aktie!A$3:AM$103,25,FALSE)</f>
        <v>0.80375426621160417</v>
      </c>
      <c r="AQ28" s="40">
        <f>VLOOKUP(A28,Dividende_je_Aktie!A$3:AM$103,39,FALSE)</f>
        <v>0</v>
      </c>
      <c r="AR28" s="16">
        <f t="shared" ca="1" si="9"/>
        <v>1.51</v>
      </c>
      <c r="AS28" s="12">
        <f t="shared" ca="1" si="10"/>
        <v>0.80375426621160417</v>
      </c>
      <c r="AT28" s="32">
        <f ca="1">IF(AP28&lt;Bewertung_Stammdaten!B$51,Bewertung_Stammdaten!A$51,IF(AP28&lt;Bewertung_Stammdaten!B$52,Bewertung_Stammdaten!A$52,IF(AP28&lt;Bewertung_Stammdaten!B$53,Bewertung_Stammdaten!A$53,IF(AP28&lt;Bewertung_Stammdaten!B$54,Bewertung_Stammdaten!A$54,IF(AP28&lt;Bewertung_Stammdaten!B$55,Bewertung_Stammdaten!A$55,IF(AP28&lt;Bewertung_Stammdaten!B$56,Bewertung_Stammdaten!A$56,IF(AP28&lt;Bewertung_Stammdaten!B$57,Bewertung_Stammdaten!A$57,IF(AP28&lt;Bewertung_Stammdaten!B$58,Bewertung_Stammdaten!A$58,IF(AP28&lt;Bewertung_Stammdaten!B$59,Bewertung_Stammdaten!A$59,Bewertung_Stammdaten!A$60)))))))))</f>
        <v>20</v>
      </c>
      <c r="AU28" s="32">
        <f>IF(AQ28&lt;Bewertung_Stammdaten!F$51,Bewertung_Stammdaten!E$51,IF(AQ28&lt;Bewertung_Stammdaten!F$52,Bewertung_Stammdaten!E$52,IF(AQ28&lt;Bewertung_Stammdaten!F$53,Bewertung_Stammdaten!E$53,IF(AQ28&lt;Bewertung_Stammdaten!F$54,Bewertung_Stammdaten!E$54,IF(AQ28&lt;Bewertung_Stammdaten!F$55,Bewertung_Stammdaten!E$55,IF(AQ28&lt;Bewertung_Stammdaten!F$56,Bewertung_Stammdaten!E$56,IF(AQ28&lt;Bewertung_Stammdaten!F$57,Bewertung_Stammdaten!E$57,IF(AQ28&lt;Bewertung_Stammdaten!F$58,Bewertung_Stammdaten!E$58,IF(AQ28&lt;Bewertung_Stammdaten!F$59,Bewertung_Stammdaten!E$59,Bewertung_Stammdaten!E$60)))))))))</f>
        <v>12</v>
      </c>
      <c r="AV28" s="32">
        <f ca="1">IF(AS28&lt;Bewertung_Stammdaten!J$51,Bewertung_Stammdaten!I$51,IF(AS28&lt;Bewertung_Stammdaten!J$52,Bewertung_Stammdaten!I$52,IF(AS28&lt;Bewertung_Stammdaten!J$53,Bewertung_Stammdaten!I$53,IF(AS28&lt;Bewertung_Stammdaten!J$54,Bewertung_Stammdaten!I$54,IF(AS28&lt;Bewertung_Stammdaten!J$55,Bewertung_Stammdaten!I$55,IF(AS28&lt;Bewertung_Stammdaten!J$56,Bewertung_Stammdaten!I$56,IF(AS28&lt;Bewertung_Stammdaten!J$57,Bewertung_Stammdaten!I$57,IF(AS28&lt;Bewertung_Stammdaten!J$58,Bewertung_Stammdaten!I$58,IF(AS28&lt;Bewertung_Stammdaten!J$59,Bewertung_Stammdaten!I$59,Bewertung_Stammdaten!I$60)))))))))</f>
        <v>10</v>
      </c>
      <c r="AW28" s="43"/>
      <c r="AX28" s="12">
        <f ca="1">VLOOKUP(A28,Dividendenrendite!A$3:R$103,17,FALSE)</f>
        <v>1.6182617082842139E-2</v>
      </c>
      <c r="AY28" s="12">
        <f>VLOOKUP(A28,Dividendenrendite!A$3:R$103,16,FALSE)</f>
        <v>1.2936023601242427E-2</v>
      </c>
      <c r="AZ28" s="12">
        <f ca="1">VLOOKUP(A28,Dividendenrendite!A$3:R$103,18,FALSE)</f>
        <v>0.25097306418704246</v>
      </c>
      <c r="BA28" s="32">
        <f ca="1">IF(AX28&lt;Bewertung_Stammdaten!B$64,Bewertung_Stammdaten!A$64,IF(AX28&lt;Bewertung_Stammdaten!B$65,Bewertung_Stammdaten!A$65,IF(AX28&lt;Bewertung_Stammdaten!B$66,Bewertung_Stammdaten!A$66,IF(AX28&lt;Bewertung_Stammdaten!B$67,Bewertung_Stammdaten!A$67,IF(AX28&lt;Bewertung_Stammdaten!B$68,Bewertung_Stammdaten!A$68,IF(AX28&lt;Bewertung_Stammdaten!B$69,Bewertung_Stammdaten!A$69,IF(AX28&lt;Bewertung_Stammdaten!B$70,Bewertung_Stammdaten!A$70,IF(AX28&lt;Bewertung_Stammdaten!B$71,Bewertung_Stammdaten!A$71,IF(AX28&lt;Bewertung_Stammdaten!B$72,Bewertung_Stammdaten!A$72,Bewertung_Stammdaten!A$73)))))))))</f>
        <v>6</v>
      </c>
      <c r="BB28" s="32">
        <f>IF(AY28&lt;Bewertung_Stammdaten!F$64,Bewertung_Stammdaten!E$64,IF(AY28&lt;Bewertung_Stammdaten!F$65,Bewertung_Stammdaten!E$65,IF(AY28&lt;Bewertung_Stammdaten!F$66,Bewertung_Stammdaten!E$66,IF(AY28&lt;Bewertung_Stammdaten!F$67,Bewertung_Stammdaten!E$67,IF(AY28&lt;Bewertung_Stammdaten!F$68,Bewertung_Stammdaten!E$68,IF(AY28&lt;Bewertung_Stammdaten!F$69,Bewertung_Stammdaten!E$69,IF(AY28&lt;Bewertung_Stammdaten!F$70,Bewertung_Stammdaten!E$70,IF(AY28&lt;Bewertung_Stammdaten!F$71,Bewertung_Stammdaten!E$71,IF(AY28&lt;Bewertung_Stammdaten!F$72,Bewertung_Stammdaten!E$72,Bewertung_Stammdaten!E$73)))))))))</f>
        <v>3</v>
      </c>
      <c r="BC28" s="32">
        <f ca="1">IF(AZ28&lt;Bewertung_Stammdaten!J$64,Bewertung_Stammdaten!I$64,IF(AZ28&lt;Bewertung_Stammdaten!J$65,Bewertung_Stammdaten!I$65,IF(AZ28&lt;Bewertung_Stammdaten!J$66,Bewertung_Stammdaten!I$66,IF(AZ28&lt;Bewertung_Stammdaten!J$67,Bewertung_Stammdaten!I$67,IF(AZ28&lt;Bewertung_Stammdaten!J$68,Bewertung_Stammdaten!I$68,IF(AZ28&lt;Bewertung_Stammdaten!J$69,Bewertung_Stammdaten!I$69,IF(AZ28&lt;Bewertung_Stammdaten!J$70,Bewertung_Stammdaten!I$70,IF(AZ28&lt;Bewertung_Stammdaten!J$71,Bewertung_Stammdaten!I$71,IF(AZ28&lt;Bewertung_Stammdaten!J$72,Bewertung_Stammdaten!I$72,Bewertung_Stammdaten!I$73)))))))))</f>
        <v>5</v>
      </c>
      <c r="BD28" s="43"/>
      <c r="BE28" s="12">
        <f>VLOOKUP(A28,Aktien_im_Umlauf_splitbereinigt!A$3:AB$103,28,FALSE)</f>
        <v>-4.0516735173223739E-2</v>
      </c>
      <c r="BF28" s="12">
        <f>VLOOKUP(A28,Aktien_im_Umlauf_splitbereinigt!A$3:AA$103,26,FALSE)</f>
        <v>-3.804418875294853E-2</v>
      </c>
      <c r="BG28" s="12">
        <f>VLOOKUP(A28,Aktien_im_Umlauf_splitbereinigt!A$3:AA$103,27,FALSE)</f>
        <v>6.499143499501181E-2</v>
      </c>
      <c r="BH28" s="41">
        <f>IF(BE28&lt;Bewertung_Stammdaten!B$77,Bewertung_Stammdaten!A$77,IF(BE28&lt;Bewertung_Stammdaten!B$78,Bewertung_Stammdaten!A$78,IF(BE28&lt;Bewertung_Stammdaten!B$79,Bewertung_Stammdaten!A$79,IF(BE28&lt;Bewertung_Stammdaten!B$80,Bewertung_Stammdaten!A$80,IF(BE28&lt;Bewertung_Stammdaten!B$81,Bewertung_Stammdaten!A$81,IF(BE28&lt;Bewertung_Stammdaten!B$82,Bewertung_Stammdaten!A$82,IF(BE28&lt;Bewertung_Stammdaten!B$83,Bewertung_Stammdaten!A$83,IF(BE28&lt;Bewertung_Stammdaten!B$84,Bewertung_Stammdaten!A$84,IF(BE28&lt;Bewertung_Stammdaten!B$85,Bewertung_Stammdaten!A$85,Bewertung_Stammdaten!A$86)))))))))</f>
        <v>10</v>
      </c>
      <c r="BI28" s="41">
        <f>IF(BF28&lt;Bewertung_Stammdaten!F$77,Bewertung_Stammdaten!E$77,IF(BF28&lt;Bewertung_Stammdaten!F$78,Bewertung_Stammdaten!E$78,IF(BF28&lt;Bewertung_Stammdaten!F$79,Bewertung_Stammdaten!E$79,IF(BF28&lt;Bewertung_Stammdaten!F$80,Bewertung_Stammdaten!E$80,IF(BF28&lt;Bewertung_Stammdaten!F$81,Bewertung_Stammdaten!E$81,IF(BF28&lt;Bewertung_Stammdaten!F$82,Bewertung_Stammdaten!E$82,IF(BF28&lt;Bewertung_Stammdaten!F$83,Bewertung_Stammdaten!E$83,IF(BF28&lt;Bewertung_Stammdaten!F$84,Bewertung_Stammdaten!E$84,IF(BF28&lt;Bewertung_Stammdaten!F$85,Bewertung_Stammdaten!E$85,Bewertung_Stammdaten!E$86)))))))))</f>
        <v>10</v>
      </c>
      <c r="BJ28" s="41">
        <f>IF(BG28&lt;Bewertung_Stammdaten!J$77,Bewertung_Stammdaten!I$77,IF(BG28&lt;Bewertung_Stammdaten!J$78,Bewertung_Stammdaten!I$78,IF(BG28&lt;Bewertung_Stammdaten!J$79,Bewertung_Stammdaten!I$79,IF(BG28&lt;Bewertung_Stammdaten!J$80,Bewertung_Stammdaten!I$80,IF(BG28&lt;Bewertung_Stammdaten!J$81,Bewertung_Stammdaten!I$81,IF(BG28&lt;Bewertung_Stammdaten!J$82,Bewertung_Stammdaten!I$82,IF(BG28&lt;Bewertung_Stammdaten!J$83,Bewertung_Stammdaten!I$83,IF(BG28&lt;Bewertung_Stammdaten!J$84,Bewertung_Stammdaten!I$84,IF(BG28&lt;Bewertung_Stammdaten!J$85,Bewertung_Stammdaten!I$85,Bewertung_Stammdaten!I$86)))))))))</f>
        <v>3</v>
      </c>
      <c r="BK28" s="43"/>
      <c r="BL28" s="12">
        <f ca="1">VLOOKUP(A28,Ausschüttungsquote!A$3:AL$103,37,FALSE)</f>
        <v>0.3054248366013072</v>
      </c>
      <c r="BM28" s="12">
        <f>VLOOKUP(A28,Ausschüttungsquote!A$3:AL$103,19,FALSE)</f>
        <v>0.80558000473244762</v>
      </c>
      <c r="BN28" s="12">
        <f ca="1">VLOOKUP(A28,Ausschüttungsquote!A$3:AL$103,38,FALSE)</f>
        <v>0.27845758381399044</v>
      </c>
      <c r="BO28" s="32">
        <f ca="1">IF(BL28&lt;Bewertung_Stammdaten!B$90,Bewertung_Stammdaten!A$90,IF(BL28&lt;Bewertung_Stammdaten!B$91,Bewertung_Stammdaten!A$91,IF(BL28&lt;Bewertung_Stammdaten!B$92,Bewertung_Stammdaten!A$92,IF(BL28&lt;Bewertung_Stammdaten!B$93,Bewertung_Stammdaten!A$93,IF(BL28&lt;Bewertung_Stammdaten!B$94,Bewertung_Stammdaten!A$94,IF(BL28&lt;Bewertung_Stammdaten!B$95,Bewertung_Stammdaten!A$95,IF(BL28&lt;Bewertung_Stammdaten!B$96,Bewertung_Stammdaten!A$96,IF(BL28&lt;Bewertung_Stammdaten!B$97,Bewertung_Stammdaten!A$97,IF(BL28&lt;Bewertung_Stammdaten!B$98,Bewertung_Stammdaten!A$98,Bewertung_Stammdaten!A$99)))))))))</f>
        <v>10</v>
      </c>
      <c r="BP28" s="41">
        <f>IF(BM28&lt;Bewertung_Stammdaten!F$90,Bewertung_Stammdaten!E$90,IF(BM28&lt;Bewertung_Stammdaten!F$91,Bewertung_Stammdaten!E$91,IF(BM28&lt;Bewertung_Stammdaten!F$92,Bewertung_Stammdaten!E$92,IF(BM28&lt;Bewertung_Stammdaten!F$93,Bewertung_Stammdaten!E$93,IF(BM28&lt;Bewertung_Stammdaten!F$94,Bewertung_Stammdaten!E$94,IF(BM28&lt;Bewertung_Stammdaten!F$95,Bewertung_Stammdaten!E$95,IF(BM28&lt;Bewertung_Stammdaten!F$96,Bewertung_Stammdaten!E$96,IF(BM28&lt;Bewertung_Stammdaten!F$97,Bewertung_Stammdaten!E$97,IF(BM28&lt;Bewertung_Stammdaten!F$98,Bewertung_Stammdaten!E$98,Bewertung_Stammdaten!E$99)))))))))</f>
        <v>1</v>
      </c>
      <c r="BQ28" s="32">
        <f ca="1">IF(BN28&lt;Bewertung_Stammdaten!J$90,Bewertung_Stammdaten!I$90,IF(BN28&lt;Bewertung_Stammdaten!J$91,Bewertung_Stammdaten!I$91,IF(BN28&lt;Bewertung_Stammdaten!J$92,Bewertung_Stammdaten!I$92,IF(BN28&lt;Bewertung_Stammdaten!J$93,Bewertung_Stammdaten!I$93,IF(BN28&lt;Bewertung_Stammdaten!J$94,Bewertung_Stammdaten!I$94,IF(BN28&lt;Bewertung_Stammdaten!J$95,Bewertung_Stammdaten!I$95,IF(BN28&lt;Bewertung_Stammdaten!J$96,Bewertung_Stammdaten!I$96,IF(BN28&lt;Bewertung_Stammdaten!J$97,Bewertung_Stammdaten!I$97,IF(BN28&lt;Bewertung_Stammdaten!J$98,Bewertung_Stammdaten!I$98,Bewertung_Stammdaten!I$99)))))))))</f>
        <v>1</v>
      </c>
    </row>
    <row r="29" spans="1:69">
      <c r="A29" s="38" t="s">
        <v>8</v>
      </c>
      <c r="B29" s="38" t="s">
        <v>9</v>
      </c>
      <c r="C29" s="38" t="s">
        <v>283</v>
      </c>
      <c r="D29" s="32">
        <f t="shared" ca="1" si="0"/>
        <v>154.5</v>
      </c>
      <c r="E29" s="43"/>
      <c r="F29" s="60">
        <v>1</v>
      </c>
      <c r="G29" s="11">
        <f ca="1">VLOOKUP(A29,KGV!A$3:R$103,17,FALSE)</f>
        <v>25.132396207911079</v>
      </c>
      <c r="H29" s="11">
        <f>VLOOKUP(A29,KGV!A$3:R$103,16,FALSE)</f>
        <v>23.875776397515526</v>
      </c>
      <c r="I29" s="12">
        <f ca="1">VLOOKUP(A29,KGV!A$3:R$103,18,FALSE)</f>
        <v>5.2631578947368363E-2</v>
      </c>
      <c r="J29" s="16">
        <f t="shared" ca="1" si="1"/>
        <v>32.900591399447229</v>
      </c>
      <c r="K29" s="12">
        <f t="shared" ca="1" si="2"/>
        <v>0.37799043062200943</v>
      </c>
      <c r="L29" s="11">
        <f ca="1">VLOOKUP(A29,KBV!A$3:R$103,17,FALSE)</f>
        <v>3.7834645669291338</v>
      </c>
      <c r="M29" s="11">
        <f>VLOOKUP(A29,KBV!A$3:R$103,16,FALSE)</f>
        <v>4.0443911217756447</v>
      </c>
      <c r="N29" s="12">
        <f ca="1">VLOOKUP(A29,KBV!A$3:R$103,18,FALSE)</f>
        <v>-6.4515658102808349E-2</v>
      </c>
      <c r="O29" s="16">
        <f t="shared" ca="1" si="3"/>
        <v>3.7834645669291338</v>
      </c>
      <c r="P29" s="12">
        <f t="shared" ca="1" si="4"/>
        <v>-6.4515658102808349E-2</v>
      </c>
      <c r="Q29" s="32">
        <f ca="1">IF(F29=1,IF(I29&lt;Bewertung_Stammdaten!B$12,Bewertung_Stammdaten!A$12,IF(I29&lt;Bewertung_Stammdaten!B$13,Bewertung_Stammdaten!A$13,IF(I29&lt;Bewertung_Stammdaten!B$14,Bewertung_Stammdaten!A$14,IF(I29&lt;Bewertung_Stammdaten!B$15,Bewertung_Stammdaten!A$15,IF(I29&lt;Bewertung_Stammdaten!B$16,Bewertung_Stammdaten!A$16,IF(I29&lt;Bewertung_Stammdaten!B$17,Bewertung_Stammdaten!A$17,IF(I29&lt;Bewertung_Stammdaten!B$18,Bewertung_Stammdaten!A$18,IF(I29&lt;Bewertung_Stammdaten!B$19,Bewertung_Stammdaten!A$19,IF(I29&lt;Bewertung_Stammdaten!B$20,Bewertung_Stammdaten!A$20,Bewertung_Stammdaten!A$21))))))))),IF(N29&lt;Bewertung_Stammdaten!C$12,Bewertung_Stammdaten!A$12,IF(N29&lt;Bewertung_Stammdaten!C$13,Bewertung_Stammdaten!A$13,IF(N29&lt;Bewertung_Stammdaten!C$14,Bewertung_Stammdaten!A$14,IF(N29&lt;Bewertung_Stammdaten!C$15,Bewertung_Stammdaten!A$15,IF(N29&lt;Bewertung_Stammdaten!C$16,Bewertung_Stammdaten!A$16,IF(N29&lt;Bewertung_Stammdaten!C$17,Bewertung_Stammdaten!A$17,IF(N29&lt;Bewertung_Stammdaten!C$18,Bewertung_Stammdaten!A$18,IF(N29&lt;Bewertung_Stammdaten!C$19,Bewertung_Stammdaten!A$19,IF(N29&lt;Bewertung_Stammdaten!C$20,Bewertung_Stammdaten!A$20,Bewertung_Stammdaten!A$21))))))))))</f>
        <v>30</v>
      </c>
      <c r="R29" s="32">
        <f ca="1">IF(F29=1,IF(K29&lt;Bewertung_Stammdaten!F$12,Bewertung_Stammdaten!E$12,IF(K29&lt;Bewertung_Stammdaten!F$13,Bewertung_Stammdaten!E$13,IF(K29&lt;Bewertung_Stammdaten!F$14,Bewertung_Stammdaten!E$14,IF(K29&lt;Bewertung_Stammdaten!F$15,Bewertung_Stammdaten!E$15,IF(K29&lt;Bewertung_Stammdaten!F$16,Bewertung_Stammdaten!E$16,IF(K29&lt;Bewertung_Stammdaten!F$17,Bewertung_Stammdaten!E$17,IF(K29&lt;Bewertung_Stammdaten!F$18,Bewertung_Stammdaten!E$18,IF(K29&lt;Bewertung_Stammdaten!F$19,Bewertung_Stammdaten!E$19,IF(K29&lt;Bewertung_Stammdaten!F$20,Bewertung_Stammdaten!E$20,Bewertung_Stammdaten!E$21))))))))),IF(P29&lt;Bewertung_Stammdaten!G$12,Bewertung_Stammdaten!E$12,IF(P29&lt;Bewertung_Stammdaten!G$13,Bewertung_Stammdaten!E$13,IF(P29&lt;Bewertung_Stammdaten!G$14,Bewertung_Stammdaten!E$14,IF(P29&lt;Bewertung_Stammdaten!G$15,Bewertung_Stammdaten!E$15,IF(P29&lt;Bewertung_Stammdaten!G$16,Bewertung_Stammdaten!E$16,IF(P29&lt;Bewertung_Stammdaten!G$17,Bewertung_Stammdaten!E$17,IF(P29&lt;Bewertung_Stammdaten!G$18,Bewertung_Stammdaten!E$18,IF(P29&lt;Bewertung_Stammdaten!G$19,Bewertung_Stammdaten!E$19,IF(P29&lt;Bewertung_Stammdaten!G$20,Bewertung_Stammdaten!E$20,Bewertung_Stammdaten!E$21))))))))))</f>
        <v>5</v>
      </c>
      <c r="S29" s="43"/>
      <c r="T29" s="11">
        <f ca="1">VLOOKUP(A29,Buchwert_je_Aktie!A$3:AK$103,23,FALSE)</f>
        <v>20.32</v>
      </c>
      <c r="U29" s="11">
        <f>VLOOKUP(A29,Buchwert_je_Aktie!A$3:AK$103,19,FALSE)</f>
        <v>14.126923076923077</v>
      </c>
      <c r="V29" s="12">
        <f ca="1">VLOOKUP(A29,Buchwert_je_Aktie!A$3:AK$103,24,FALSE)</f>
        <v>0.43838823849714137</v>
      </c>
      <c r="W29" s="12">
        <f>VLOOKUP(A29,Buchwert_je_Aktie!A$3:AK$103,37,FALSE)</f>
        <v>3.2786885245901676E-2</v>
      </c>
      <c r="X29" s="16">
        <f t="shared" ca="1" si="5"/>
        <v>20.32</v>
      </c>
      <c r="Y29" s="12">
        <f t="shared" ca="1" si="6"/>
        <v>0.43838823849714137</v>
      </c>
      <c r="Z29" s="51">
        <f ca="1">IF(V29&lt;Bewertung_Stammdaten!B$25,Bewertung_Stammdaten!A$25,IF(V29&lt;Bewertung_Stammdaten!B$26,Bewertung_Stammdaten!A$26,IF(V29&lt;Bewertung_Stammdaten!B$27,Bewertung_Stammdaten!A$27,IF(V29&lt;Bewertung_Stammdaten!B$28,Bewertung_Stammdaten!A$28,IF(V29&lt;Bewertung_Stammdaten!B$29,Bewertung_Stammdaten!A$29,IF(V29&lt;Bewertung_Stammdaten!B$30,Bewertung_Stammdaten!A$30,IF(V29&lt;Bewertung_Stammdaten!B$31,Bewertung_Stammdaten!A$31,IF(V29&lt;Bewertung_Stammdaten!B$32,Bewertung_Stammdaten!A$32,IF(V29&lt;Bewertung_Stammdaten!B$33,Bewertung_Stammdaten!A$33,Bewertung_Stammdaten!A$34)))))))))</f>
        <v>10.5</v>
      </c>
      <c r="AA29" s="51">
        <f>IF(W29&lt;Bewertung_Stammdaten!F$25,Bewertung_Stammdaten!E$25,IF(W29&lt;Bewertung_Stammdaten!F$26,Bewertung_Stammdaten!E$26,IF(W29&lt;Bewertung_Stammdaten!F$27,Bewertung_Stammdaten!E$27,IF(W29&lt;Bewertung_Stammdaten!F$28,Bewertung_Stammdaten!E$28,IF(W29&lt;Bewertung_Stammdaten!F$29,Bewertung_Stammdaten!E$29,IF(W29&lt;Bewertung_Stammdaten!F$30,Bewertung_Stammdaten!E$30,IF(W29&lt;Bewertung_Stammdaten!F$31,Bewertung_Stammdaten!E$31,IF(W29&lt;Bewertung_Stammdaten!F$32,Bewertung_Stammdaten!E$32,IF(W29&lt;Bewertung_Stammdaten!F$33,Bewertung_Stammdaten!E$33,Bewertung_Stammdaten!E$34)))))))))</f>
        <v>12</v>
      </c>
      <c r="AB29" s="51">
        <f ca="1">IF(Y29&lt;Bewertung_Stammdaten!J$25,Bewertung_Stammdaten!I$25,IF(Y29&lt;Bewertung_Stammdaten!J$26,Bewertung_Stammdaten!I$26,IF(Y29&lt;Bewertung_Stammdaten!J$27,Bewertung_Stammdaten!I$27,IF(Y29&lt;Bewertung_Stammdaten!J$28,Bewertung_Stammdaten!I$28,IF(Y29&lt;Bewertung_Stammdaten!J$29,Bewertung_Stammdaten!I$29,IF(Y29&lt;Bewertung_Stammdaten!J$30,Bewertung_Stammdaten!I$30,IF(Y29&lt;Bewertung_Stammdaten!J$31,Bewertung_Stammdaten!I$31,IF(Y29&lt;Bewertung_Stammdaten!J$32,Bewertung_Stammdaten!I$32,IF(Y29&lt;Bewertung_Stammdaten!J$33,Bewertung_Stammdaten!I$33,Bewertung_Stammdaten!I$34)))))))))</f>
        <v>7</v>
      </c>
      <c r="AC29" s="43"/>
      <c r="AD29" s="14">
        <f ca="1">VLOOKUP(A29,Ergebnis_je_Aktie_verwässert!A$3:AK$103,23,FALSE)</f>
        <v>3.0590000000000002</v>
      </c>
      <c r="AE29" s="14">
        <f>VLOOKUP(A29,Ergebnis_je_Aktie_verwässert!A$3:AK$103,19,FALSE)</f>
        <v>2.3769230769230769</v>
      </c>
      <c r="AF29" s="12">
        <f ca="1">VLOOKUP(A29,Ergebnis_je_Aktie_verwässert!A$3:AK$103,24,FALSE)</f>
        <v>0.28695792880258897</v>
      </c>
      <c r="AG29" s="40">
        <f>VLOOKUP(A29,Ergebnis_je_Aktie_verwässert!A$3:AK$103,37,FALSE)</f>
        <v>-0.23611111111111116</v>
      </c>
      <c r="AH29" s="16">
        <f t="shared" ca="1" si="7"/>
        <v>2.3367361111111111</v>
      </c>
      <c r="AI29" s="12">
        <f t="shared" ca="1" si="8"/>
        <v>-1.6907137720244547E-2</v>
      </c>
      <c r="AJ29" s="32">
        <f ca="1">IF(AF29&lt;Bewertung_Stammdaten!B$38,Bewertung_Stammdaten!A$38,IF(AF29&lt;Bewertung_Stammdaten!B$39,Bewertung_Stammdaten!A$39,IF(AF29&lt;Bewertung_Stammdaten!B$40,Bewertung_Stammdaten!A$40,IF(AF29&lt;Bewertung_Stammdaten!B$41,Bewertung_Stammdaten!A$41,IF(AF29&lt;Bewertung_Stammdaten!B$42,Bewertung_Stammdaten!A$42,IF(AF29&lt;Bewertung_Stammdaten!B$43,Bewertung_Stammdaten!A$43,IF(AF29&lt;Bewertung_Stammdaten!B$44,Bewertung_Stammdaten!A$44,IF(AF29&lt;Bewertung_Stammdaten!B$45,Bewertung_Stammdaten!A$45,IF(AF29&lt;Bewertung_Stammdaten!B$46,Bewertung_Stammdaten!A$46,Bewertung_Stammdaten!A$47)))))))))</f>
        <v>12</v>
      </c>
      <c r="AK29" s="32">
        <f>IF(AG29&lt;Bewertung_Stammdaten!F$38,Bewertung_Stammdaten!E$38,IF(AG29&lt;Bewertung_Stammdaten!F$39,Bewertung_Stammdaten!E$39,IF(AG29&lt;Bewertung_Stammdaten!F$40,Bewertung_Stammdaten!E$40,IF(AG29&lt;Bewertung_Stammdaten!F$41,Bewertung_Stammdaten!E$41,IF(AG29&lt;Bewertung_Stammdaten!F$42,Bewertung_Stammdaten!E$42,IF(AG29&lt;Bewertung_Stammdaten!F$43,Bewertung_Stammdaten!E$43,IF(AG29&lt;Bewertung_Stammdaten!F$44,Bewertung_Stammdaten!E$44,IF(AG29&lt;Bewertung_Stammdaten!F$45,Bewertung_Stammdaten!E$45,IF(AG29&lt;Bewertung_Stammdaten!F$46,Bewertung_Stammdaten!E$46,Bewertung_Stammdaten!E$47)))))))))</f>
        <v>7.5</v>
      </c>
      <c r="AL29" s="32">
        <f ca="1">IF(AI29&lt;Bewertung_Stammdaten!J$38,Bewertung_Stammdaten!I$38,IF(AI29&lt;Bewertung_Stammdaten!J$39,Bewertung_Stammdaten!I$39,IF(AI29&lt;Bewertung_Stammdaten!J$40,Bewertung_Stammdaten!I$40,IF(AI29&lt;Bewertung_Stammdaten!J$41,Bewertung_Stammdaten!I$41,IF(AI29&lt;Bewertung_Stammdaten!J$42,Bewertung_Stammdaten!I$42,IF(AI29&lt;Bewertung_Stammdaten!J$43,Bewertung_Stammdaten!I$43,IF(AI29&lt;Bewertung_Stammdaten!J$44,Bewertung_Stammdaten!I$44,IF(AI29&lt;Bewertung_Stammdaten!J$45,Bewertung_Stammdaten!I$45,IF(AI29&lt;Bewertung_Stammdaten!J$46,Bewertung_Stammdaten!I$46,Bewertung_Stammdaten!I$47)))))))))</f>
        <v>4</v>
      </c>
      <c r="AM29" s="43"/>
      <c r="AN29" s="14">
        <f ca="1">VLOOKUP(A29,Dividende_je_Aktie!A$3:AM$103,24,FALSE)</f>
        <v>0.73299999999999998</v>
      </c>
      <c r="AO29" s="14">
        <f>VLOOKUP(A29,Dividende_je_Aktie!A$3:AM$103,20,FALSE)</f>
        <v>0.69285714285714295</v>
      </c>
      <c r="AP29" s="12">
        <f ca="1">VLOOKUP(A29,Dividende_je_Aktie!A$3:AM$103,25,FALSE)</f>
        <v>5.7938144329896746E-2</v>
      </c>
      <c r="AQ29" s="40">
        <f>VLOOKUP(A29,Dividende_je_Aktie!A$3:AM$103,39,FALSE)</f>
        <v>0</v>
      </c>
      <c r="AR29" s="16">
        <f t="shared" ca="1" si="9"/>
        <v>0.73299999999999998</v>
      </c>
      <c r="AS29" s="12">
        <f t="shared" ca="1" si="10"/>
        <v>5.7938144329896746E-2</v>
      </c>
      <c r="AT29" s="32">
        <f ca="1">IF(AP29&lt;Bewertung_Stammdaten!B$51,Bewertung_Stammdaten!A$51,IF(AP29&lt;Bewertung_Stammdaten!B$52,Bewertung_Stammdaten!A$52,IF(AP29&lt;Bewertung_Stammdaten!B$53,Bewertung_Stammdaten!A$53,IF(AP29&lt;Bewertung_Stammdaten!B$54,Bewertung_Stammdaten!A$54,IF(AP29&lt;Bewertung_Stammdaten!B$55,Bewertung_Stammdaten!A$55,IF(AP29&lt;Bewertung_Stammdaten!B$56,Bewertung_Stammdaten!A$56,IF(AP29&lt;Bewertung_Stammdaten!B$57,Bewertung_Stammdaten!A$57,IF(AP29&lt;Bewertung_Stammdaten!B$58,Bewertung_Stammdaten!A$58,IF(AP29&lt;Bewertung_Stammdaten!B$59,Bewertung_Stammdaten!A$59,Bewertung_Stammdaten!A$60)))))))))</f>
        <v>6</v>
      </c>
      <c r="AU29" s="32">
        <f>IF(AQ29&lt;Bewertung_Stammdaten!F$51,Bewertung_Stammdaten!E$51,IF(AQ29&lt;Bewertung_Stammdaten!F$52,Bewertung_Stammdaten!E$52,IF(AQ29&lt;Bewertung_Stammdaten!F$53,Bewertung_Stammdaten!E$53,IF(AQ29&lt;Bewertung_Stammdaten!F$54,Bewertung_Stammdaten!E$54,IF(AQ29&lt;Bewertung_Stammdaten!F$55,Bewertung_Stammdaten!E$55,IF(AQ29&lt;Bewertung_Stammdaten!F$56,Bewertung_Stammdaten!E$56,IF(AQ29&lt;Bewertung_Stammdaten!F$57,Bewertung_Stammdaten!E$57,IF(AQ29&lt;Bewertung_Stammdaten!F$58,Bewertung_Stammdaten!E$58,IF(AQ29&lt;Bewertung_Stammdaten!F$59,Bewertung_Stammdaten!E$59,Bewertung_Stammdaten!E$60)))))))))</f>
        <v>12</v>
      </c>
      <c r="AV29" s="32">
        <f ca="1">IF(AS29&lt;Bewertung_Stammdaten!J$51,Bewertung_Stammdaten!I$51,IF(AS29&lt;Bewertung_Stammdaten!J$52,Bewertung_Stammdaten!I$52,IF(AS29&lt;Bewertung_Stammdaten!J$53,Bewertung_Stammdaten!I$53,IF(AS29&lt;Bewertung_Stammdaten!J$54,Bewertung_Stammdaten!I$54,IF(AS29&lt;Bewertung_Stammdaten!J$55,Bewertung_Stammdaten!I$55,IF(AS29&lt;Bewertung_Stammdaten!J$56,Bewertung_Stammdaten!I$56,IF(AS29&lt;Bewertung_Stammdaten!J$57,Bewertung_Stammdaten!I$57,IF(AS29&lt;Bewertung_Stammdaten!J$58,Bewertung_Stammdaten!I$58,IF(AS29&lt;Bewertung_Stammdaten!J$59,Bewertung_Stammdaten!I$59,Bewertung_Stammdaten!I$60)))))))))</f>
        <v>5</v>
      </c>
      <c r="AW29" s="43"/>
      <c r="AX29" s="12">
        <f ca="1">VLOOKUP(A29,Dividendenrendite!A$3:R$103,17,FALSE)</f>
        <v>9.5343392299687829E-3</v>
      </c>
      <c r="AY29" s="12">
        <f>VLOOKUP(A29,Dividendenrendite!A$3:R$103,16,FALSE)</f>
        <v>1.271097101269544E-2</v>
      </c>
      <c r="AZ29" s="12">
        <f ca="1">VLOOKUP(A29,Dividendenrendite!A$3:R$103,18,FALSE)</f>
        <v>-0.24991259751547745</v>
      </c>
      <c r="BA29" s="32">
        <f ca="1">IF(AX29&lt;Bewertung_Stammdaten!B$64,Bewertung_Stammdaten!A$64,IF(AX29&lt;Bewertung_Stammdaten!B$65,Bewertung_Stammdaten!A$65,IF(AX29&lt;Bewertung_Stammdaten!B$66,Bewertung_Stammdaten!A$66,IF(AX29&lt;Bewertung_Stammdaten!B$67,Bewertung_Stammdaten!A$67,IF(AX29&lt;Bewertung_Stammdaten!B$68,Bewertung_Stammdaten!A$68,IF(AX29&lt;Bewertung_Stammdaten!B$69,Bewertung_Stammdaten!A$69,IF(AX29&lt;Bewertung_Stammdaten!B$70,Bewertung_Stammdaten!A$70,IF(AX29&lt;Bewertung_Stammdaten!B$71,Bewertung_Stammdaten!A$71,IF(AX29&lt;Bewertung_Stammdaten!B$72,Bewertung_Stammdaten!A$72,Bewertung_Stammdaten!A$73)))))))))</f>
        <v>3</v>
      </c>
      <c r="BB29" s="32">
        <f>IF(AY29&lt;Bewertung_Stammdaten!F$64,Bewertung_Stammdaten!E$64,IF(AY29&lt;Bewertung_Stammdaten!F$65,Bewertung_Stammdaten!E$65,IF(AY29&lt;Bewertung_Stammdaten!F$66,Bewertung_Stammdaten!E$66,IF(AY29&lt;Bewertung_Stammdaten!F$67,Bewertung_Stammdaten!E$67,IF(AY29&lt;Bewertung_Stammdaten!F$68,Bewertung_Stammdaten!E$68,IF(AY29&lt;Bewertung_Stammdaten!F$69,Bewertung_Stammdaten!E$69,IF(AY29&lt;Bewertung_Stammdaten!F$70,Bewertung_Stammdaten!E$70,IF(AY29&lt;Bewertung_Stammdaten!F$71,Bewertung_Stammdaten!E$71,IF(AY29&lt;Bewertung_Stammdaten!F$72,Bewertung_Stammdaten!E$72,Bewertung_Stammdaten!E$73)))))))))</f>
        <v>3</v>
      </c>
      <c r="BC29" s="32">
        <f ca="1">IF(AZ29&lt;Bewertung_Stammdaten!J$64,Bewertung_Stammdaten!I$64,IF(AZ29&lt;Bewertung_Stammdaten!J$65,Bewertung_Stammdaten!I$65,IF(AZ29&lt;Bewertung_Stammdaten!J$66,Bewertung_Stammdaten!I$66,IF(AZ29&lt;Bewertung_Stammdaten!J$67,Bewertung_Stammdaten!I$67,IF(AZ29&lt;Bewertung_Stammdaten!J$68,Bewertung_Stammdaten!I$68,IF(AZ29&lt;Bewertung_Stammdaten!J$69,Bewertung_Stammdaten!I$69,IF(AZ29&lt;Bewertung_Stammdaten!J$70,Bewertung_Stammdaten!I$70,IF(AZ29&lt;Bewertung_Stammdaten!J$71,Bewertung_Stammdaten!I$71,IF(AZ29&lt;Bewertung_Stammdaten!J$72,Bewertung_Stammdaten!I$72,Bewertung_Stammdaten!I$73)))))))))</f>
        <v>0.5</v>
      </c>
      <c r="BD29" s="43"/>
      <c r="BE29" s="12">
        <f>VLOOKUP(A29,Aktien_im_Umlauf_splitbereinigt!A$3:AB$103,28,FALSE)</f>
        <v>0</v>
      </c>
      <c r="BF29" s="12">
        <f>VLOOKUP(A29,Aktien_im_Umlauf_splitbereinigt!A$3:AA$103,26,FALSE)</f>
        <v>0</v>
      </c>
      <c r="BG29" s="12">
        <f>VLOOKUP(A29,Aktien_im_Umlauf_splitbereinigt!A$3:AA$103,27,FALSE)</f>
        <v>0</v>
      </c>
      <c r="BH29" s="41">
        <f>IF(BE29&lt;Bewertung_Stammdaten!B$77,Bewertung_Stammdaten!A$77,IF(BE29&lt;Bewertung_Stammdaten!B$78,Bewertung_Stammdaten!A$78,IF(BE29&lt;Bewertung_Stammdaten!B$79,Bewertung_Stammdaten!A$79,IF(BE29&lt;Bewertung_Stammdaten!B$80,Bewertung_Stammdaten!A$80,IF(BE29&lt;Bewertung_Stammdaten!B$81,Bewertung_Stammdaten!A$81,IF(BE29&lt;Bewertung_Stammdaten!B$82,Bewertung_Stammdaten!A$82,IF(BE29&lt;Bewertung_Stammdaten!B$83,Bewertung_Stammdaten!A$83,IF(BE29&lt;Bewertung_Stammdaten!B$84,Bewertung_Stammdaten!A$84,IF(BE29&lt;Bewertung_Stammdaten!B$85,Bewertung_Stammdaten!A$85,Bewertung_Stammdaten!A$86)))))))))</f>
        <v>2</v>
      </c>
      <c r="BI29" s="41">
        <f>IF(BF29&lt;Bewertung_Stammdaten!F$77,Bewertung_Stammdaten!E$77,IF(BF29&lt;Bewertung_Stammdaten!F$78,Bewertung_Stammdaten!E$78,IF(BF29&lt;Bewertung_Stammdaten!F$79,Bewertung_Stammdaten!E$79,IF(BF29&lt;Bewertung_Stammdaten!F$80,Bewertung_Stammdaten!E$80,IF(BF29&lt;Bewertung_Stammdaten!F$81,Bewertung_Stammdaten!E$81,IF(BF29&lt;Bewertung_Stammdaten!F$82,Bewertung_Stammdaten!E$82,IF(BF29&lt;Bewertung_Stammdaten!F$83,Bewertung_Stammdaten!E$83,IF(BF29&lt;Bewertung_Stammdaten!F$84,Bewertung_Stammdaten!E$84,IF(BF29&lt;Bewertung_Stammdaten!F$85,Bewertung_Stammdaten!E$85,Bewertung_Stammdaten!E$86)))))))))</f>
        <v>2</v>
      </c>
      <c r="BJ29" s="41">
        <f>IF(BG29&lt;Bewertung_Stammdaten!J$77,Bewertung_Stammdaten!I$77,IF(BG29&lt;Bewertung_Stammdaten!J$78,Bewertung_Stammdaten!I$78,IF(BG29&lt;Bewertung_Stammdaten!J$79,Bewertung_Stammdaten!I$79,IF(BG29&lt;Bewertung_Stammdaten!J$80,Bewertung_Stammdaten!I$80,IF(BG29&lt;Bewertung_Stammdaten!J$81,Bewertung_Stammdaten!I$81,IF(BG29&lt;Bewertung_Stammdaten!J$82,Bewertung_Stammdaten!I$82,IF(BG29&lt;Bewertung_Stammdaten!J$83,Bewertung_Stammdaten!I$83,IF(BG29&lt;Bewertung_Stammdaten!J$84,Bewertung_Stammdaten!I$84,IF(BG29&lt;Bewertung_Stammdaten!J$85,Bewertung_Stammdaten!I$85,Bewertung_Stammdaten!I$86)))))))))</f>
        <v>3</v>
      </c>
      <c r="BK29" s="43"/>
      <c r="BL29" s="12">
        <f ca="1">VLOOKUP(A29,Ausschüttungsquote!A$3:AL$103,37,FALSE)</f>
        <v>0.23984710941232679</v>
      </c>
      <c r="BM29" s="12">
        <f>VLOOKUP(A29,Ausschüttungsquote!A$3:AL$103,19,FALSE)</f>
        <v>0.31022949624971558</v>
      </c>
      <c r="BN29" s="12">
        <f ca="1">VLOOKUP(A29,Ausschüttungsquote!A$3:AL$103,38,FALSE)</f>
        <v>-0.2268720018187288</v>
      </c>
      <c r="BO29" s="32">
        <f ca="1">IF(BL29&lt;Bewertung_Stammdaten!B$90,Bewertung_Stammdaten!A$90,IF(BL29&lt;Bewertung_Stammdaten!B$91,Bewertung_Stammdaten!A$91,IF(BL29&lt;Bewertung_Stammdaten!B$92,Bewertung_Stammdaten!A$92,IF(BL29&lt;Bewertung_Stammdaten!B$93,Bewertung_Stammdaten!A$93,IF(BL29&lt;Bewertung_Stammdaten!B$94,Bewertung_Stammdaten!A$94,IF(BL29&lt;Bewertung_Stammdaten!B$95,Bewertung_Stammdaten!A$95,IF(BL29&lt;Bewertung_Stammdaten!B$96,Bewertung_Stammdaten!A$96,IF(BL29&lt;Bewertung_Stammdaten!B$97,Bewertung_Stammdaten!A$97,IF(BL29&lt;Bewertung_Stammdaten!B$98,Bewertung_Stammdaten!A$98,Bewertung_Stammdaten!A$99)))))))))</f>
        <v>10</v>
      </c>
      <c r="BP29" s="41">
        <f>IF(BM29&lt;Bewertung_Stammdaten!F$90,Bewertung_Stammdaten!E$90,IF(BM29&lt;Bewertung_Stammdaten!F$91,Bewertung_Stammdaten!E$91,IF(BM29&lt;Bewertung_Stammdaten!F$92,Bewertung_Stammdaten!E$92,IF(BM29&lt;Bewertung_Stammdaten!F$93,Bewertung_Stammdaten!E$93,IF(BM29&lt;Bewertung_Stammdaten!F$94,Bewertung_Stammdaten!E$94,IF(BM29&lt;Bewertung_Stammdaten!F$95,Bewertung_Stammdaten!E$95,IF(BM29&lt;Bewertung_Stammdaten!F$96,Bewertung_Stammdaten!E$96,IF(BM29&lt;Bewertung_Stammdaten!F$97,Bewertung_Stammdaten!E$97,IF(BM29&lt;Bewertung_Stammdaten!F$98,Bewertung_Stammdaten!E$98,Bewertung_Stammdaten!E$99)))))))))</f>
        <v>10</v>
      </c>
      <c r="BQ29" s="32">
        <f ca="1">IF(BN29&lt;Bewertung_Stammdaten!J$90,Bewertung_Stammdaten!I$90,IF(BN29&lt;Bewertung_Stammdaten!J$91,Bewertung_Stammdaten!I$91,IF(BN29&lt;Bewertung_Stammdaten!J$92,Bewertung_Stammdaten!I$92,IF(BN29&lt;Bewertung_Stammdaten!J$93,Bewertung_Stammdaten!I$93,IF(BN29&lt;Bewertung_Stammdaten!J$94,Bewertung_Stammdaten!I$94,IF(BN29&lt;Bewertung_Stammdaten!J$95,Bewertung_Stammdaten!I$95,IF(BN29&lt;Bewertung_Stammdaten!J$96,Bewertung_Stammdaten!I$96,IF(BN29&lt;Bewertung_Stammdaten!J$97,Bewertung_Stammdaten!I$97,IF(BN29&lt;Bewertung_Stammdaten!J$98,Bewertung_Stammdaten!I$98,Bewertung_Stammdaten!I$99)))))))))</f>
        <v>10</v>
      </c>
    </row>
    <row r="30" spans="1:69">
      <c r="A30" s="38" t="s">
        <v>20</v>
      </c>
      <c r="B30" s="38" t="s">
        <v>21</v>
      </c>
      <c r="C30" s="38" t="s">
        <v>283</v>
      </c>
      <c r="D30" s="32">
        <f t="shared" ca="1" si="0"/>
        <v>153.5</v>
      </c>
      <c r="E30" s="43"/>
      <c r="F30" s="60">
        <v>0</v>
      </c>
      <c r="G30" s="11">
        <f ca="1">VLOOKUP(A30,KGV!A$3:R$103,17,FALSE)</f>
        <v>10.349319123741859</v>
      </c>
      <c r="H30" s="11">
        <f>VLOOKUP(A30,KGV!A$3:R$103,16,FALSE)</f>
        <v>8.7465865647187346</v>
      </c>
      <c r="I30" s="12">
        <f ca="1">VLOOKUP(A30,KGV!A$3:R$103,18,FALSE)</f>
        <v>0.18324091886177585</v>
      </c>
      <c r="J30" s="16">
        <f t="shared" ca="1" si="1"/>
        <v>24.766418758687063</v>
      </c>
      <c r="K30" s="12">
        <f t="shared" ca="1" si="2"/>
        <v>1.8315524662601312</v>
      </c>
      <c r="L30" s="11">
        <f ca="1">VLOOKUP(A30,KBV!A$3:R$103,17,FALSE)</f>
        <v>0.89411764705882357</v>
      </c>
      <c r="M30" s="11">
        <f>VLOOKUP(A30,KBV!A$3:R$103,16,FALSE)</f>
        <v>0.9222043072670737</v>
      </c>
      <c r="N30" s="12">
        <f ca="1">VLOOKUP(A30,KBV!A$3:R$103,18,FALSE)</f>
        <v>-3.0456006317606699E-2</v>
      </c>
      <c r="O30" s="16">
        <f t="shared" ca="1" si="3"/>
        <v>1.0081048840091265</v>
      </c>
      <c r="P30" s="12">
        <f t="shared" ca="1" si="4"/>
        <v>9.3147013156571257E-2</v>
      </c>
      <c r="Q30" s="32">
        <f ca="1">IF(F30=1,IF(I30&lt;Bewertung_Stammdaten!B$12,Bewertung_Stammdaten!A$12,IF(I30&lt;Bewertung_Stammdaten!B$13,Bewertung_Stammdaten!A$13,IF(I30&lt;Bewertung_Stammdaten!B$14,Bewertung_Stammdaten!A$14,IF(I30&lt;Bewertung_Stammdaten!B$15,Bewertung_Stammdaten!A$15,IF(I30&lt;Bewertung_Stammdaten!B$16,Bewertung_Stammdaten!A$16,IF(I30&lt;Bewertung_Stammdaten!B$17,Bewertung_Stammdaten!A$17,IF(I30&lt;Bewertung_Stammdaten!B$18,Bewertung_Stammdaten!A$18,IF(I30&lt;Bewertung_Stammdaten!B$19,Bewertung_Stammdaten!A$19,IF(I30&lt;Bewertung_Stammdaten!B$20,Bewertung_Stammdaten!A$20,Bewertung_Stammdaten!A$21))))))))),IF(N30&lt;Bewertung_Stammdaten!C$12,Bewertung_Stammdaten!A$12,IF(N30&lt;Bewertung_Stammdaten!C$13,Bewertung_Stammdaten!A$13,IF(N30&lt;Bewertung_Stammdaten!C$14,Bewertung_Stammdaten!A$14,IF(N30&lt;Bewertung_Stammdaten!C$15,Bewertung_Stammdaten!A$15,IF(N30&lt;Bewertung_Stammdaten!C$16,Bewertung_Stammdaten!A$16,IF(N30&lt;Bewertung_Stammdaten!C$17,Bewertung_Stammdaten!A$17,IF(N30&lt;Bewertung_Stammdaten!C$18,Bewertung_Stammdaten!A$18,IF(N30&lt;Bewertung_Stammdaten!C$19,Bewertung_Stammdaten!A$19,IF(N30&lt;Bewertung_Stammdaten!C$20,Bewertung_Stammdaten!A$20,Bewertung_Stammdaten!A$21))))))))))</f>
        <v>18</v>
      </c>
      <c r="R30" s="32">
        <f ca="1">IF(F30=1,IF(K30&lt;Bewertung_Stammdaten!F$12,Bewertung_Stammdaten!E$12,IF(K30&lt;Bewertung_Stammdaten!F$13,Bewertung_Stammdaten!E$13,IF(K30&lt;Bewertung_Stammdaten!F$14,Bewertung_Stammdaten!E$14,IF(K30&lt;Bewertung_Stammdaten!F$15,Bewertung_Stammdaten!E$15,IF(K30&lt;Bewertung_Stammdaten!F$16,Bewertung_Stammdaten!E$16,IF(K30&lt;Bewertung_Stammdaten!F$17,Bewertung_Stammdaten!E$17,IF(K30&lt;Bewertung_Stammdaten!F$18,Bewertung_Stammdaten!E$18,IF(K30&lt;Bewertung_Stammdaten!F$19,Bewertung_Stammdaten!E$19,IF(K30&lt;Bewertung_Stammdaten!F$20,Bewertung_Stammdaten!E$20,Bewertung_Stammdaten!E$21))))))))),IF(P30&lt;Bewertung_Stammdaten!G$12,Bewertung_Stammdaten!E$12,IF(P30&lt;Bewertung_Stammdaten!G$13,Bewertung_Stammdaten!E$13,IF(P30&lt;Bewertung_Stammdaten!G$14,Bewertung_Stammdaten!E$14,IF(P30&lt;Bewertung_Stammdaten!G$15,Bewertung_Stammdaten!E$15,IF(P30&lt;Bewertung_Stammdaten!G$16,Bewertung_Stammdaten!E$16,IF(P30&lt;Bewertung_Stammdaten!G$17,Bewertung_Stammdaten!E$17,IF(P30&lt;Bewertung_Stammdaten!G$18,Bewertung_Stammdaten!E$18,IF(P30&lt;Bewertung_Stammdaten!G$19,Bewertung_Stammdaten!E$19,IF(P30&lt;Bewertung_Stammdaten!G$20,Bewertung_Stammdaten!E$20,Bewertung_Stammdaten!E$21))))))))))</f>
        <v>10</v>
      </c>
      <c r="S30" s="43"/>
      <c r="T30" s="11">
        <f ca="1">VLOOKUP(A30,Buchwert_je_Aktie!A$3:AK$103,23,FALSE)</f>
        <v>195.5</v>
      </c>
      <c r="U30" s="11">
        <f>VLOOKUP(A30,Buchwert_je_Aktie!A$3:AK$103,19,FALSE)</f>
        <v>149.47692307692307</v>
      </c>
      <c r="V30" s="12">
        <f ca="1">VLOOKUP(A30,Buchwert_je_Aktie!A$3:AK$103,24,FALSE)</f>
        <v>0.30789419514203376</v>
      </c>
      <c r="W30" s="12">
        <f>VLOOKUP(A30,Buchwert_je_Aktie!A$3:AK$103,37,FALSE)</f>
        <v>-0.11307081114118578</v>
      </c>
      <c r="X30" s="16">
        <f t="shared" ca="1" si="5"/>
        <v>173.39465642189819</v>
      </c>
      <c r="Y30" s="12">
        <f t="shared" ca="1" si="6"/>
        <v>0.16000953761047576</v>
      </c>
      <c r="Z30" s="51">
        <f ca="1">IF(V30&lt;Bewertung_Stammdaten!B$25,Bewertung_Stammdaten!A$25,IF(V30&lt;Bewertung_Stammdaten!B$26,Bewertung_Stammdaten!A$26,IF(V30&lt;Bewertung_Stammdaten!B$27,Bewertung_Stammdaten!A$27,IF(V30&lt;Bewertung_Stammdaten!B$28,Bewertung_Stammdaten!A$28,IF(V30&lt;Bewertung_Stammdaten!B$29,Bewertung_Stammdaten!A$29,IF(V30&lt;Bewertung_Stammdaten!B$30,Bewertung_Stammdaten!A$30,IF(V30&lt;Bewertung_Stammdaten!B$31,Bewertung_Stammdaten!A$31,IF(V30&lt;Bewertung_Stammdaten!B$32,Bewertung_Stammdaten!A$32,IF(V30&lt;Bewertung_Stammdaten!B$33,Bewertung_Stammdaten!A$33,Bewertung_Stammdaten!A$34)))))))))</f>
        <v>9</v>
      </c>
      <c r="AA30" s="51">
        <f>IF(W30&lt;Bewertung_Stammdaten!F$25,Bewertung_Stammdaten!E$25,IF(W30&lt;Bewertung_Stammdaten!F$26,Bewertung_Stammdaten!E$26,IF(W30&lt;Bewertung_Stammdaten!F$27,Bewertung_Stammdaten!E$27,IF(W30&lt;Bewertung_Stammdaten!F$28,Bewertung_Stammdaten!E$28,IF(W30&lt;Bewertung_Stammdaten!F$29,Bewertung_Stammdaten!E$29,IF(W30&lt;Bewertung_Stammdaten!F$30,Bewertung_Stammdaten!E$30,IF(W30&lt;Bewertung_Stammdaten!F$31,Bewertung_Stammdaten!E$31,IF(W30&lt;Bewertung_Stammdaten!F$32,Bewertung_Stammdaten!E$32,IF(W30&lt;Bewertung_Stammdaten!F$33,Bewertung_Stammdaten!E$33,Bewertung_Stammdaten!E$34)))))))))</f>
        <v>7.5</v>
      </c>
      <c r="AB30" s="51">
        <f ca="1">IF(Y30&lt;Bewertung_Stammdaten!J$25,Bewertung_Stammdaten!I$25,IF(Y30&lt;Bewertung_Stammdaten!J$26,Bewertung_Stammdaten!I$26,IF(Y30&lt;Bewertung_Stammdaten!J$27,Bewertung_Stammdaten!I$27,IF(Y30&lt;Bewertung_Stammdaten!J$28,Bewertung_Stammdaten!I$28,IF(Y30&lt;Bewertung_Stammdaten!J$29,Bewertung_Stammdaten!I$29,IF(Y30&lt;Bewertung_Stammdaten!J$30,Bewertung_Stammdaten!I$30,IF(Y30&lt;Bewertung_Stammdaten!J$31,Bewertung_Stammdaten!I$31,IF(Y30&lt;Bewertung_Stammdaten!J$32,Bewertung_Stammdaten!I$32,IF(Y30&lt;Bewertung_Stammdaten!J$33,Bewertung_Stammdaten!I$33,Bewertung_Stammdaten!I$34)))))))))</f>
        <v>4</v>
      </c>
      <c r="AC30" s="43"/>
      <c r="AD30" s="14">
        <f ca="1">VLOOKUP(A30,Ergebnis_je_Aktie_verwässert!A$3:AK$103,23,FALSE)</f>
        <v>16.89</v>
      </c>
      <c r="AE30" s="14">
        <f>VLOOKUP(A30,Ergebnis_je_Aktie_verwässert!A$3:AK$103,19,FALSE)</f>
        <v>15.406923076923077</v>
      </c>
      <c r="AF30" s="12">
        <f ca="1">VLOOKUP(A30,Ergebnis_je_Aktie_verwässert!A$3:AK$103,24,FALSE)</f>
        <v>9.6260422387538069E-2</v>
      </c>
      <c r="AG30" s="40">
        <f>VLOOKUP(A30,Ergebnis_je_Aktie_verwässert!A$3:AK$103,37,FALSE)</f>
        <v>-0.58212290502793285</v>
      </c>
      <c r="AH30" s="16">
        <f t="shared" ca="1" si="7"/>
        <v>7.0579441340782143</v>
      </c>
      <c r="AI30" s="12">
        <f t="shared" ca="1" si="8"/>
        <v>-0.54189787935984435</v>
      </c>
      <c r="AJ30" s="32">
        <f ca="1">IF(AF30&lt;Bewertung_Stammdaten!B$38,Bewertung_Stammdaten!A$38,IF(AF30&lt;Bewertung_Stammdaten!B$39,Bewertung_Stammdaten!A$39,IF(AF30&lt;Bewertung_Stammdaten!B$40,Bewertung_Stammdaten!A$40,IF(AF30&lt;Bewertung_Stammdaten!B$41,Bewertung_Stammdaten!A$41,IF(AF30&lt;Bewertung_Stammdaten!B$42,Bewertung_Stammdaten!A$42,IF(AF30&lt;Bewertung_Stammdaten!B$43,Bewertung_Stammdaten!A$43,IF(AF30&lt;Bewertung_Stammdaten!B$44,Bewertung_Stammdaten!A$44,IF(AF30&lt;Bewertung_Stammdaten!B$45,Bewertung_Stammdaten!A$45,IF(AF30&lt;Bewertung_Stammdaten!B$46,Bewertung_Stammdaten!A$46,Bewertung_Stammdaten!A$47)))))))))</f>
        <v>8</v>
      </c>
      <c r="AK30" s="32">
        <f>IF(AG30&lt;Bewertung_Stammdaten!F$38,Bewertung_Stammdaten!E$38,IF(AG30&lt;Bewertung_Stammdaten!F$39,Bewertung_Stammdaten!E$39,IF(AG30&lt;Bewertung_Stammdaten!F$40,Bewertung_Stammdaten!E$40,IF(AG30&lt;Bewertung_Stammdaten!F$41,Bewertung_Stammdaten!E$41,IF(AG30&lt;Bewertung_Stammdaten!F$42,Bewertung_Stammdaten!E$42,IF(AG30&lt;Bewertung_Stammdaten!F$43,Bewertung_Stammdaten!E$43,IF(AG30&lt;Bewertung_Stammdaten!F$44,Bewertung_Stammdaten!E$44,IF(AG30&lt;Bewertung_Stammdaten!F$45,Bewertung_Stammdaten!E$45,IF(AG30&lt;Bewertung_Stammdaten!F$46,Bewertung_Stammdaten!E$46,Bewertung_Stammdaten!E$47)))))))))</f>
        <v>3</v>
      </c>
      <c r="AL30" s="32">
        <f ca="1">IF(AI30&lt;Bewertung_Stammdaten!J$38,Bewertung_Stammdaten!I$38,IF(AI30&lt;Bewertung_Stammdaten!J$39,Bewertung_Stammdaten!I$39,IF(AI30&lt;Bewertung_Stammdaten!J$40,Bewertung_Stammdaten!I$40,IF(AI30&lt;Bewertung_Stammdaten!J$41,Bewertung_Stammdaten!I$41,IF(AI30&lt;Bewertung_Stammdaten!J$42,Bewertung_Stammdaten!I$42,IF(AI30&lt;Bewertung_Stammdaten!J$43,Bewertung_Stammdaten!I$43,IF(AI30&lt;Bewertung_Stammdaten!J$44,Bewertung_Stammdaten!I$44,IF(AI30&lt;Bewertung_Stammdaten!J$45,Bewertung_Stammdaten!I$45,IF(AI30&lt;Bewertung_Stammdaten!J$46,Bewertung_Stammdaten!I$46,Bewertung_Stammdaten!I$47)))))))))</f>
        <v>1</v>
      </c>
      <c r="AM30" s="43"/>
      <c r="AN30" s="14">
        <f ca="1">VLOOKUP(A30,Dividende_je_Aktie!A$3:AM$103,24,FALSE)</f>
        <v>8.5380000000000003</v>
      </c>
      <c r="AO30" s="14">
        <f>VLOOKUP(A30,Dividende_je_Aktie!A$3:AM$103,20,FALSE)</f>
        <v>6.6628571428571428</v>
      </c>
      <c r="AP30" s="12">
        <f ca="1">VLOOKUP(A30,Dividende_je_Aktie!A$3:AM$103,25,FALSE)</f>
        <v>0.28143224699828484</v>
      </c>
      <c r="AQ30" s="40">
        <f>VLOOKUP(A30,Dividende_je_Aktie!A$3:AM$103,39,FALSE)</f>
        <v>0</v>
      </c>
      <c r="AR30" s="16">
        <f t="shared" ca="1" si="9"/>
        <v>8.5380000000000003</v>
      </c>
      <c r="AS30" s="12">
        <f t="shared" ca="1" si="10"/>
        <v>0.28143224699828484</v>
      </c>
      <c r="AT30" s="32">
        <f ca="1">IF(AP30&lt;Bewertung_Stammdaten!B$51,Bewertung_Stammdaten!A$51,IF(AP30&lt;Bewertung_Stammdaten!B$52,Bewertung_Stammdaten!A$52,IF(AP30&lt;Bewertung_Stammdaten!B$53,Bewertung_Stammdaten!A$53,IF(AP30&lt;Bewertung_Stammdaten!B$54,Bewertung_Stammdaten!A$54,IF(AP30&lt;Bewertung_Stammdaten!B$55,Bewertung_Stammdaten!A$55,IF(AP30&lt;Bewertung_Stammdaten!B$56,Bewertung_Stammdaten!A$56,IF(AP30&lt;Bewertung_Stammdaten!B$57,Bewertung_Stammdaten!A$57,IF(AP30&lt;Bewertung_Stammdaten!B$58,Bewertung_Stammdaten!A$58,IF(AP30&lt;Bewertung_Stammdaten!B$59,Bewertung_Stammdaten!A$59,Bewertung_Stammdaten!A$60)))))))))</f>
        <v>10</v>
      </c>
      <c r="AU30" s="32">
        <f>IF(AQ30&lt;Bewertung_Stammdaten!F$51,Bewertung_Stammdaten!E$51,IF(AQ30&lt;Bewertung_Stammdaten!F$52,Bewertung_Stammdaten!E$52,IF(AQ30&lt;Bewertung_Stammdaten!F$53,Bewertung_Stammdaten!E$53,IF(AQ30&lt;Bewertung_Stammdaten!F$54,Bewertung_Stammdaten!E$54,IF(AQ30&lt;Bewertung_Stammdaten!F$55,Bewertung_Stammdaten!E$55,IF(AQ30&lt;Bewertung_Stammdaten!F$56,Bewertung_Stammdaten!E$56,IF(AQ30&lt;Bewertung_Stammdaten!F$57,Bewertung_Stammdaten!E$57,IF(AQ30&lt;Bewertung_Stammdaten!F$58,Bewertung_Stammdaten!E$58,IF(AQ30&lt;Bewertung_Stammdaten!F$59,Bewertung_Stammdaten!E$59,Bewertung_Stammdaten!E$60)))))))))</f>
        <v>12</v>
      </c>
      <c r="AV30" s="32">
        <f ca="1">IF(AS30&lt;Bewertung_Stammdaten!J$51,Bewertung_Stammdaten!I$51,IF(AS30&lt;Bewertung_Stammdaten!J$52,Bewertung_Stammdaten!I$52,IF(AS30&lt;Bewertung_Stammdaten!J$53,Bewertung_Stammdaten!I$53,IF(AS30&lt;Bewertung_Stammdaten!J$54,Bewertung_Stammdaten!I$54,IF(AS30&lt;Bewertung_Stammdaten!J$55,Bewertung_Stammdaten!I$55,IF(AS30&lt;Bewertung_Stammdaten!J$56,Bewertung_Stammdaten!I$56,IF(AS30&lt;Bewertung_Stammdaten!J$57,Bewertung_Stammdaten!I$57,IF(AS30&lt;Bewertung_Stammdaten!J$58,Bewertung_Stammdaten!I$58,IF(AS30&lt;Bewertung_Stammdaten!J$59,Bewertung_Stammdaten!I$59,Bewertung_Stammdaten!I$60)))))))))</f>
        <v>7</v>
      </c>
      <c r="AW30" s="43"/>
      <c r="AX30" s="12">
        <f ca="1">VLOOKUP(A30,Dividendenrendite!A$3:R$103,17,FALSE)</f>
        <v>4.8844393592677345E-2</v>
      </c>
      <c r="AY30" s="12">
        <f>VLOOKUP(A30,Dividendenrendite!A$3:R$103,16,FALSE)</f>
        <v>4.7150620193630255E-2</v>
      </c>
      <c r="AZ30" s="12">
        <f ca="1">VLOOKUP(A30,Dividendenrendite!A$3:R$103,18,FALSE)</f>
        <v>3.5922611242257041E-2</v>
      </c>
      <c r="BA30" s="32">
        <f ca="1">IF(AX30&lt;Bewertung_Stammdaten!B$64,Bewertung_Stammdaten!A$64,IF(AX30&lt;Bewertung_Stammdaten!B$65,Bewertung_Stammdaten!A$65,IF(AX30&lt;Bewertung_Stammdaten!B$66,Bewertung_Stammdaten!A$66,IF(AX30&lt;Bewertung_Stammdaten!B$67,Bewertung_Stammdaten!A$67,IF(AX30&lt;Bewertung_Stammdaten!B$68,Bewertung_Stammdaten!A$68,IF(AX30&lt;Bewertung_Stammdaten!B$69,Bewertung_Stammdaten!A$69,IF(AX30&lt;Bewertung_Stammdaten!B$70,Bewertung_Stammdaten!A$70,IF(AX30&lt;Bewertung_Stammdaten!B$71,Bewertung_Stammdaten!A$71,IF(AX30&lt;Bewertung_Stammdaten!B$72,Bewertung_Stammdaten!A$72,Bewertung_Stammdaten!A$73)))))))))</f>
        <v>15</v>
      </c>
      <c r="BB30" s="32">
        <f>IF(AY30&lt;Bewertung_Stammdaten!F$64,Bewertung_Stammdaten!E$64,IF(AY30&lt;Bewertung_Stammdaten!F$65,Bewertung_Stammdaten!E$65,IF(AY30&lt;Bewertung_Stammdaten!F$66,Bewertung_Stammdaten!E$66,IF(AY30&lt;Bewertung_Stammdaten!F$67,Bewertung_Stammdaten!E$67,IF(AY30&lt;Bewertung_Stammdaten!F$68,Bewertung_Stammdaten!E$68,IF(AY30&lt;Bewertung_Stammdaten!F$69,Bewertung_Stammdaten!E$69,IF(AY30&lt;Bewertung_Stammdaten!F$70,Bewertung_Stammdaten!E$70,IF(AY30&lt;Bewertung_Stammdaten!F$71,Bewertung_Stammdaten!E$71,IF(AY30&lt;Bewertung_Stammdaten!F$72,Bewertung_Stammdaten!E$72,Bewertung_Stammdaten!E$73)))))))))</f>
        <v>10</v>
      </c>
      <c r="BC30" s="32">
        <f ca="1">IF(AZ30&lt;Bewertung_Stammdaten!J$64,Bewertung_Stammdaten!I$64,IF(AZ30&lt;Bewertung_Stammdaten!J$65,Bewertung_Stammdaten!I$65,IF(AZ30&lt;Bewertung_Stammdaten!J$66,Bewertung_Stammdaten!I$66,IF(AZ30&lt;Bewertung_Stammdaten!J$67,Bewertung_Stammdaten!I$67,IF(AZ30&lt;Bewertung_Stammdaten!J$68,Bewertung_Stammdaten!I$68,IF(AZ30&lt;Bewertung_Stammdaten!J$69,Bewertung_Stammdaten!I$69,IF(AZ30&lt;Bewertung_Stammdaten!J$70,Bewertung_Stammdaten!I$70,IF(AZ30&lt;Bewertung_Stammdaten!J$71,Bewertung_Stammdaten!I$71,IF(AZ30&lt;Bewertung_Stammdaten!J$72,Bewertung_Stammdaten!I$72,Bewertung_Stammdaten!I$73)))))))))</f>
        <v>3</v>
      </c>
      <c r="BD30" s="43"/>
      <c r="BE30" s="12">
        <f>VLOOKUP(A30,Aktien_im_Umlauf_splitbereinigt!A$3:AB$103,28,FALSE)</f>
        <v>-3.5272348791488328E-2</v>
      </c>
      <c r="BF30" s="12">
        <f>VLOOKUP(A30,Aktien_im_Umlauf_splitbereinigt!A$3:AA$103,26,FALSE)</f>
        <v>-3.119674926087419E-2</v>
      </c>
      <c r="BG30" s="12">
        <f>VLOOKUP(A30,Aktien_im_Umlauf_splitbereinigt!A$3:AA$103,27,FALSE)</f>
        <v>0.13064180169969197</v>
      </c>
      <c r="BH30" s="41">
        <f>IF(BE30&lt;Bewertung_Stammdaten!B$77,Bewertung_Stammdaten!A$77,IF(BE30&lt;Bewertung_Stammdaten!B$78,Bewertung_Stammdaten!A$78,IF(BE30&lt;Bewertung_Stammdaten!B$79,Bewertung_Stammdaten!A$79,IF(BE30&lt;Bewertung_Stammdaten!B$80,Bewertung_Stammdaten!A$80,IF(BE30&lt;Bewertung_Stammdaten!B$81,Bewertung_Stammdaten!A$81,IF(BE30&lt;Bewertung_Stammdaten!B$82,Bewertung_Stammdaten!A$82,IF(BE30&lt;Bewertung_Stammdaten!B$83,Bewertung_Stammdaten!A$83,IF(BE30&lt;Bewertung_Stammdaten!B$84,Bewertung_Stammdaten!A$84,IF(BE30&lt;Bewertung_Stammdaten!B$85,Bewertung_Stammdaten!A$85,Bewertung_Stammdaten!A$86)))))))))</f>
        <v>10</v>
      </c>
      <c r="BI30" s="41">
        <f>IF(BF30&lt;Bewertung_Stammdaten!F$77,Bewertung_Stammdaten!E$77,IF(BF30&lt;Bewertung_Stammdaten!F$78,Bewertung_Stammdaten!E$78,IF(BF30&lt;Bewertung_Stammdaten!F$79,Bewertung_Stammdaten!E$79,IF(BF30&lt;Bewertung_Stammdaten!F$80,Bewertung_Stammdaten!E$80,IF(BF30&lt;Bewertung_Stammdaten!F$81,Bewertung_Stammdaten!E$81,IF(BF30&lt;Bewertung_Stammdaten!F$82,Bewertung_Stammdaten!E$82,IF(BF30&lt;Bewertung_Stammdaten!F$83,Bewertung_Stammdaten!E$83,IF(BF30&lt;Bewertung_Stammdaten!F$84,Bewertung_Stammdaten!E$84,IF(BF30&lt;Bewertung_Stammdaten!F$85,Bewertung_Stammdaten!E$85,Bewertung_Stammdaten!E$86)))))))))</f>
        <v>9</v>
      </c>
      <c r="BJ30" s="41">
        <f>IF(BG30&lt;Bewertung_Stammdaten!J$77,Bewertung_Stammdaten!I$77,IF(BG30&lt;Bewertung_Stammdaten!J$78,Bewertung_Stammdaten!I$78,IF(BG30&lt;Bewertung_Stammdaten!J$79,Bewertung_Stammdaten!I$79,IF(BG30&lt;Bewertung_Stammdaten!J$80,Bewertung_Stammdaten!I$80,IF(BG30&lt;Bewertung_Stammdaten!J$81,Bewertung_Stammdaten!I$81,IF(BG30&lt;Bewertung_Stammdaten!J$82,Bewertung_Stammdaten!I$82,IF(BG30&lt;Bewertung_Stammdaten!J$83,Bewertung_Stammdaten!I$83,IF(BG30&lt;Bewertung_Stammdaten!J$84,Bewertung_Stammdaten!I$84,IF(BG30&lt;Bewertung_Stammdaten!J$85,Bewertung_Stammdaten!I$85,Bewertung_Stammdaten!I$86)))))))))</f>
        <v>3</v>
      </c>
      <c r="BK30" s="43"/>
      <c r="BL30" s="12">
        <f ca="1">VLOOKUP(A30,Ausschüttungsquote!A$3:AL$103,37,FALSE)</f>
        <v>0.50548245614035081</v>
      </c>
      <c r="BM30" s="12">
        <f>VLOOKUP(A30,Ausschüttungsquote!A$3:AL$103,19,FALSE)</f>
        <v>0.72166613122077194</v>
      </c>
      <c r="BN30" s="12">
        <f ca="1">VLOOKUP(A30,Ausschüttungsquote!A$3:AL$103,38,FALSE)</f>
        <v>7.1760007992844432E-2</v>
      </c>
      <c r="BO30" s="32">
        <f ca="1">IF(BL30&lt;Bewertung_Stammdaten!B$90,Bewertung_Stammdaten!A$90,IF(BL30&lt;Bewertung_Stammdaten!B$91,Bewertung_Stammdaten!A$91,IF(BL30&lt;Bewertung_Stammdaten!B$92,Bewertung_Stammdaten!A$92,IF(BL30&lt;Bewertung_Stammdaten!B$93,Bewertung_Stammdaten!A$93,IF(BL30&lt;Bewertung_Stammdaten!B$94,Bewertung_Stammdaten!A$94,IF(BL30&lt;Bewertung_Stammdaten!B$95,Bewertung_Stammdaten!A$95,IF(BL30&lt;Bewertung_Stammdaten!B$96,Bewertung_Stammdaten!A$96,IF(BL30&lt;Bewertung_Stammdaten!B$97,Bewertung_Stammdaten!A$97,IF(BL30&lt;Bewertung_Stammdaten!B$98,Bewertung_Stammdaten!A$98,Bewertung_Stammdaten!A$99)))))))))</f>
        <v>7</v>
      </c>
      <c r="BP30" s="41">
        <f>IF(BM30&lt;Bewertung_Stammdaten!F$90,Bewertung_Stammdaten!E$90,IF(BM30&lt;Bewertung_Stammdaten!F$91,Bewertung_Stammdaten!E$91,IF(BM30&lt;Bewertung_Stammdaten!F$92,Bewertung_Stammdaten!E$92,IF(BM30&lt;Bewertung_Stammdaten!F$93,Bewertung_Stammdaten!E$93,IF(BM30&lt;Bewertung_Stammdaten!F$94,Bewertung_Stammdaten!E$94,IF(BM30&lt;Bewertung_Stammdaten!F$95,Bewertung_Stammdaten!E$95,IF(BM30&lt;Bewertung_Stammdaten!F$96,Bewertung_Stammdaten!E$96,IF(BM30&lt;Bewertung_Stammdaten!F$97,Bewertung_Stammdaten!E$97,IF(BM30&lt;Bewertung_Stammdaten!F$98,Bewertung_Stammdaten!E$98,Bewertung_Stammdaten!E$99)))))))))</f>
        <v>3</v>
      </c>
      <c r="BQ30" s="32">
        <f ca="1">IF(BN30&lt;Bewertung_Stammdaten!J$90,Bewertung_Stammdaten!I$90,IF(BN30&lt;Bewertung_Stammdaten!J$91,Bewertung_Stammdaten!I$91,IF(BN30&lt;Bewertung_Stammdaten!J$92,Bewertung_Stammdaten!I$92,IF(BN30&lt;Bewertung_Stammdaten!J$93,Bewertung_Stammdaten!I$93,IF(BN30&lt;Bewertung_Stammdaten!J$94,Bewertung_Stammdaten!I$94,IF(BN30&lt;Bewertung_Stammdaten!J$95,Bewertung_Stammdaten!I$95,IF(BN30&lt;Bewertung_Stammdaten!J$96,Bewertung_Stammdaten!I$96,IF(BN30&lt;Bewertung_Stammdaten!J$97,Bewertung_Stammdaten!I$97,IF(BN30&lt;Bewertung_Stammdaten!J$98,Bewertung_Stammdaten!I$98,Bewertung_Stammdaten!I$99)))))))))</f>
        <v>4</v>
      </c>
    </row>
    <row r="31" spans="1:69">
      <c r="A31" s="38" t="s">
        <v>54</v>
      </c>
      <c r="B31" s="38" t="s">
        <v>55</v>
      </c>
      <c r="C31" s="38" t="s">
        <v>283</v>
      </c>
      <c r="D31" s="32">
        <f t="shared" ca="1" si="0"/>
        <v>158.5</v>
      </c>
      <c r="E31" s="43"/>
      <c r="F31" s="60">
        <v>1</v>
      </c>
      <c r="G31" s="11">
        <f ca="1">VLOOKUP(A31,KGV!A$3:R$103,17,FALSE)</f>
        <v>18.83425143483402</v>
      </c>
      <c r="H31" s="11">
        <f>VLOOKUP(A31,KGV!A$3:R$103,16,FALSE)</f>
        <v>15.759358288770052</v>
      </c>
      <c r="I31" s="12">
        <f ca="1">VLOOKUP(A31,KGV!A$3:R$103,18,FALSE)</f>
        <v>0.1951153777787451</v>
      </c>
      <c r="J31" s="16">
        <f t="shared" ca="1" si="1"/>
        <v>21.740771717987418</v>
      </c>
      <c r="K31" s="12">
        <f t="shared" ca="1" si="2"/>
        <v>0.37954676323842795</v>
      </c>
      <c r="L31" s="11">
        <f ca="1">VLOOKUP(A31,KBV!A$3:R$103,17,FALSE)</f>
        <v>5.2024005523394763</v>
      </c>
      <c r="M31" s="11">
        <f>VLOOKUP(A31,KBV!A$3:R$103,16,FALSE)</f>
        <v>4.4596622889305815</v>
      </c>
      <c r="N31" s="12">
        <f ca="1">VLOOKUP(A31,KBV!A$3:R$103,18,FALSE)</f>
        <v>0.16654585376396347</v>
      </c>
      <c r="O31" s="16">
        <f t="shared" ca="1" si="3"/>
        <v>6.2522825915164191</v>
      </c>
      <c r="P31" s="12">
        <f t="shared" ca="1" si="4"/>
        <v>0.40196323991512473</v>
      </c>
      <c r="Q31" s="32">
        <f ca="1">IF(F31=1,IF(I31&lt;Bewertung_Stammdaten!B$12,Bewertung_Stammdaten!A$12,IF(I31&lt;Bewertung_Stammdaten!B$13,Bewertung_Stammdaten!A$13,IF(I31&lt;Bewertung_Stammdaten!B$14,Bewertung_Stammdaten!A$14,IF(I31&lt;Bewertung_Stammdaten!B$15,Bewertung_Stammdaten!A$15,IF(I31&lt;Bewertung_Stammdaten!B$16,Bewertung_Stammdaten!A$16,IF(I31&lt;Bewertung_Stammdaten!B$17,Bewertung_Stammdaten!A$17,IF(I31&lt;Bewertung_Stammdaten!B$18,Bewertung_Stammdaten!A$18,IF(I31&lt;Bewertung_Stammdaten!B$19,Bewertung_Stammdaten!A$19,IF(I31&lt;Bewertung_Stammdaten!B$20,Bewertung_Stammdaten!A$20,Bewertung_Stammdaten!A$21))))))))),IF(N31&lt;Bewertung_Stammdaten!C$12,Bewertung_Stammdaten!A$12,IF(N31&lt;Bewertung_Stammdaten!C$13,Bewertung_Stammdaten!A$13,IF(N31&lt;Bewertung_Stammdaten!C$14,Bewertung_Stammdaten!A$14,IF(N31&lt;Bewertung_Stammdaten!C$15,Bewertung_Stammdaten!A$15,IF(N31&lt;Bewertung_Stammdaten!C$16,Bewertung_Stammdaten!A$16,IF(N31&lt;Bewertung_Stammdaten!C$17,Bewertung_Stammdaten!A$17,IF(N31&lt;Bewertung_Stammdaten!C$18,Bewertung_Stammdaten!A$18,IF(N31&lt;Bewertung_Stammdaten!C$19,Bewertung_Stammdaten!A$19,IF(N31&lt;Bewertung_Stammdaten!C$20,Bewertung_Stammdaten!A$20,Bewertung_Stammdaten!A$21))))))))))</f>
        <v>18</v>
      </c>
      <c r="R31" s="32">
        <f ca="1">IF(F31=1,IF(K31&lt;Bewertung_Stammdaten!F$12,Bewertung_Stammdaten!E$12,IF(K31&lt;Bewertung_Stammdaten!F$13,Bewertung_Stammdaten!E$13,IF(K31&lt;Bewertung_Stammdaten!F$14,Bewertung_Stammdaten!E$14,IF(K31&lt;Bewertung_Stammdaten!F$15,Bewertung_Stammdaten!E$15,IF(K31&lt;Bewertung_Stammdaten!F$16,Bewertung_Stammdaten!E$16,IF(K31&lt;Bewertung_Stammdaten!F$17,Bewertung_Stammdaten!E$17,IF(K31&lt;Bewertung_Stammdaten!F$18,Bewertung_Stammdaten!E$18,IF(K31&lt;Bewertung_Stammdaten!F$19,Bewertung_Stammdaten!E$19,IF(K31&lt;Bewertung_Stammdaten!F$20,Bewertung_Stammdaten!E$20,Bewertung_Stammdaten!E$21))))))))),IF(P31&lt;Bewertung_Stammdaten!G$12,Bewertung_Stammdaten!E$12,IF(P31&lt;Bewertung_Stammdaten!G$13,Bewertung_Stammdaten!E$13,IF(P31&lt;Bewertung_Stammdaten!G$14,Bewertung_Stammdaten!E$14,IF(P31&lt;Bewertung_Stammdaten!G$15,Bewertung_Stammdaten!E$15,IF(P31&lt;Bewertung_Stammdaten!G$16,Bewertung_Stammdaten!E$16,IF(P31&lt;Bewertung_Stammdaten!G$17,Bewertung_Stammdaten!E$17,IF(P31&lt;Bewertung_Stammdaten!G$18,Bewertung_Stammdaten!E$18,IF(P31&lt;Bewertung_Stammdaten!G$19,Bewertung_Stammdaten!E$19,IF(P31&lt;Bewertung_Stammdaten!G$20,Bewertung_Stammdaten!E$20,Bewertung_Stammdaten!E$21))))))))))</f>
        <v>5</v>
      </c>
      <c r="S31" s="43"/>
      <c r="T31" s="11">
        <f ca="1">VLOOKUP(A31,Buchwert_je_Aktie!A$3:AK$103,23,FALSE)</f>
        <v>10.460555555555556</v>
      </c>
      <c r="U31" s="11">
        <f>VLOOKUP(A31,Buchwert_je_Aktie!A$3:AK$103,19,FALSE)</f>
        <v>7.596153846153844</v>
      </c>
      <c r="V31" s="12">
        <f ca="1">VLOOKUP(A31,Buchwert_je_Aktie!A$3:AK$103,24,FALSE)</f>
        <v>0.37708579465541536</v>
      </c>
      <c r="W31" s="12">
        <f>VLOOKUP(A31,Buchwert_je_Aktie!A$3:AK$103,37,FALSE)</f>
        <v>-0.16791979949874691</v>
      </c>
      <c r="X31" s="16">
        <f t="shared" ca="1" si="5"/>
        <v>8.7040211640211638</v>
      </c>
      <c r="Y31" s="12">
        <f t="shared" ca="1" si="6"/>
        <v>0.14584582412430547</v>
      </c>
      <c r="Z31" s="51">
        <f ca="1">IF(V31&lt;Bewertung_Stammdaten!B$25,Bewertung_Stammdaten!A$25,IF(V31&lt;Bewertung_Stammdaten!B$26,Bewertung_Stammdaten!A$26,IF(V31&lt;Bewertung_Stammdaten!B$27,Bewertung_Stammdaten!A$27,IF(V31&lt;Bewertung_Stammdaten!B$28,Bewertung_Stammdaten!A$28,IF(V31&lt;Bewertung_Stammdaten!B$29,Bewertung_Stammdaten!A$29,IF(V31&lt;Bewertung_Stammdaten!B$30,Bewertung_Stammdaten!A$30,IF(V31&lt;Bewertung_Stammdaten!B$31,Bewertung_Stammdaten!A$31,IF(V31&lt;Bewertung_Stammdaten!B$32,Bewertung_Stammdaten!A$32,IF(V31&lt;Bewertung_Stammdaten!B$33,Bewertung_Stammdaten!A$33,Bewertung_Stammdaten!A$34)))))))))</f>
        <v>9</v>
      </c>
      <c r="AA31" s="51">
        <f>IF(W31&lt;Bewertung_Stammdaten!F$25,Bewertung_Stammdaten!E$25,IF(W31&lt;Bewertung_Stammdaten!F$26,Bewertung_Stammdaten!E$26,IF(W31&lt;Bewertung_Stammdaten!F$27,Bewertung_Stammdaten!E$27,IF(W31&lt;Bewertung_Stammdaten!F$28,Bewertung_Stammdaten!E$28,IF(W31&lt;Bewertung_Stammdaten!F$29,Bewertung_Stammdaten!E$29,IF(W31&lt;Bewertung_Stammdaten!F$30,Bewertung_Stammdaten!E$30,IF(W31&lt;Bewertung_Stammdaten!F$31,Bewertung_Stammdaten!E$31,IF(W31&lt;Bewertung_Stammdaten!F$32,Bewertung_Stammdaten!E$32,IF(W31&lt;Bewertung_Stammdaten!F$33,Bewertung_Stammdaten!E$33,Bewertung_Stammdaten!E$34)))))))))</f>
        <v>6</v>
      </c>
      <c r="AB31" s="51">
        <f ca="1">IF(Y31&lt;Bewertung_Stammdaten!J$25,Bewertung_Stammdaten!I$25,IF(Y31&lt;Bewertung_Stammdaten!J$26,Bewertung_Stammdaten!I$26,IF(Y31&lt;Bewertung_Stammdaten!J$27,Bewertung_Stammdaten!I$27,IF(Y31&lt;Bewertung_Stammdaten!J$28,Bewertung_Stammdaten!I$28,IF(Y31&lt;Bewertung_Stammdaten!J$29,Bewertung_Stammdaten!I$29,IF(Y31&lt;Bewertung_Stammdaten!J$30,Bewertung_Stammdaten!I$30,IF(Y31&lt;Bewertung_Stammdaten!J$31,Bewertung_Stammdaten!I$31,IF(Y31&lt;Bewertung_Stammdaten!J$32,Bewertung_Stammdaten!I$32,IF(Y31&lt;Bewertung_Stammdaten!J$33,Bewertung_Stammdaten!I$33,Bewertung_Stammdaten!I$34)))))))))</f>
        <v>4</v>
      </c>
      <c r="AC31" s="43"/>
      <c r="AD31" s="14">
        <f ca="1">VLOOKUP(A31,Ergebnis_je_Aktie_verwässert!A$3:AK$103,23,FALSE)</f>
        <v>2.889416666666667</v>
      </c>
      <c r="AE31" s="14">
        <f>VLOOKUP(A31,Ergebnis_je_Aktie_verwässert!A$3:AK$103,19,FALSE)</f>
        <v>2.3600000000000003</v>
      </c>
      <c r="AF31" s="12">
        <f ca="1">VLOOKUP(A31,Ergebnis_je_Aktie_verwässert!A$3:AK$103,24,FALSE)</f>
        <v>0.2243290960451978</v>
      </c>
      <c r="AG31" s="40">
        <f>VLOOKUP(A31,Ergebnis_je_Aktie_verwässert!A$3:AK$103,37,FALSE)</f>
        <v>-0.13368983957219249</v>
      </c>
      <c r="AH31" s="16">
        <f t="shared" ca="1" si="7"/>
        <v>2.5031310160427811</v>
      </c>
      <c r="AI31" s="12">
        <f t="shared" ca="1" si="8"/>
        <v>6.064873561134787E-2</v>
      </c>
      <c r="AJ31" s="32">
        <f ca="1">IF(AF31&lt;Bewertung_Stammdaten!B$38,Bewertung_Stammdaten!A$38,IF(AF31&lt;Bewertung_Stammdaten!B$39,Bewertung_Stammdaten!A$39,IF(AF31&lt;Bewertung_Stammdaten!B$40,Bewertung_Stammdaten!A$40,IF(AF31&lt;Bewertung_Stammdaten!B$41,Bewertung_Stammdaten!A$41,IF(AF31&lt;Bewertung_Stammdaten!B$42,Bewertung_Stammdaten!A$42,IF(AF31&lt;Bewertung_Stammdaten!B$43,Bewertung_Stammdaten!A$43,IF(AF31&lt;Bewertung_Stammdaten!B$44,Bewertung_Stammdaten!A$44,IF(AF31&lt;Bewertung_Stammdaten!B$45,Bewertung_Stammdaten!A$45,IF(AF31&lt;Bewertung_Stammdaten!B$46,Bewertung_Stammdaten!A$46,Bewertung_Stammdaten!A$47)))))))))</f>
        <v>12</v>
      </c>
      <c r="AK31" s="32">
        <f>IF(AG31&lt;Bewertung_Stammdaten!F$38,Bewertung_Stammdaten!E$38,IF(AG31&lt;Bewertung_Stammdaten!F$39,Bewertung_Stammdaten!E$39,IF(AG31&lt;Bewertung_Stammdaten!F$40,Bewertung_Stammdaten!E$40,IF(AG31&lt;Bewertung_Stammdaten!F$41,Bewertung_Stammdaten!E$41,IF(AG31&lt;Bewertung_Stammdaten!F$42,Bewertung_Stammdaten!E$42,IF(AG31&lt;Bewertung_Stammdaten!F$43,Bewertung_Stammdaten!E$43,IF(AG31&lt;Bewertung_Stammdaten!F$44,Bewertung_Stammdaten!E$44,IF(AG31&lt;Bewertung_Stammdaten!F$45,Bewertung_Stammdaten!E$45,IF(AG31&lt;Bewertung_Stammdaten!F$46,Bewertung_Stammdaten!E$46,Bewertung_Stammdaten!E$47)))))))))</f>
        <v>9</v>
      </c>
      <c r="AL31" s="32">
        <f ca="1">IF(AI31&lt;Bewertung_Stammdaten!J$38,Bewertung_Stammdaten!I$38,IF(AI31&lt;Bewertung_Stammdaten!J$39,Bewertung_Stammdaten!I$39,IF(AI31&lt;Bewertung_Stammdaten!J$40,Bewertung_Stammdaten!I$40,IF(AI31&lt;Bewertung_Stammdaten!J$41,Bewertung_Stammdaten!I$41,IF(AI31&lt;Bewertung_Stammdaten!J$42,Bewertung_Stammdaten!I$42,IF(AI31&lt;Bewertung_Stammdaten!J$43,Bewertung_Stammdaten!I$43,IF(AI31&lt;Bewertung_Stammdaten!J$44,Bewertung_Stammdaten!I$44,IF(AI31&lt;Bewertung_Stammdaten!J$45,Bewertung_Stammdaten!I$45,IF(AI31&lt;Bewertung_Stammdaten!J$46,Bewertung_Stammdaten!I$46,Bewertung_Stammdaten!I$47)))))))))</f>
        <v>5</v>
      </c>
      <c r="AM31" s="43"/>
      <c r="AN31" s="14">
        <f ca="1">VLOOKUP(A31,Dividende_je_Aktie!A$3:AM$103,24,FALSE)</f>
        <v>1.514361111111111</v>
      </c>
      <c r="AO31" s="14">
        <f>VLOOKUP(A31,Dividende_je_Aktie!A$3:AM$103,20,FALSE)</f>
        <v>0.84857142857142853</v>
      </c>
      <c r="AP31" s="12">
        <f ca="1">VLOOKUP(A31,Dividende_je_Aktie!A$3:AM$103,25,FALSE)</f>
        <v>0.78460063598952479</v>
      </c>
      <c r="AQ31" s="40">
        <f>VLOOKUP(A31,Dividende_je_Aktie!A$3:AM$103,39,FALSE)</f>
        <v>0</v>
      </c>
      <c r="AR31" s="16">
        <f t="shared" ca="1" si="9"/>
        <v>1.514361111111111</v>
      </c>
      <c r="AS31" s="12">
        <f t="shared" ca="1" si="10"/>
        <v>0.78460063598952479</v>
      </c>
      <c r="AT31" s="32">
        <f ca="1">IF(AP31&lt;Bewertung_Stammdaten!B$51,Bewertung_Stammdaten!A$51,IF(AP31&lt;Bewertung_Stammdaten!B$52,Bewertung_Stammdaten!A$52,IF(AP31&lt;Bewertung_Stammdaten!B$53,Bewertung_Stammdaten!A$53,IF(AP31&lt;Bewertung_Stammdaten!B$54,Bewertung_Stammdaten!A$54,IF(AP31&lt;Bewertung_Stammdaten!B$55,Bewertung_Stammdaten!A$55,IF(AP31&lt;Bewertung_Stammdaten!B$56,Bewertung_Stammdaten!A$56,IF(AP31&lt;Bewertung_Stammdaten!B$57,Bewertung_Stammdaten!A$57,IF(AP31&lt;Bewertung_Stammdaten!B$58,Bewertung_Stammdaten!A$58,IF(AP31&lt;Bewertung_Stammdaten!B$59,Bewertung_Stammdaten!A$59,Bewertung_Stammdaten!A$60)))))))))</f>
        <v>20</v>
      </c>
      <c r="AU31" s="32">
        <f>IF(AQ31&lt;Bewertung_Stammdaten!F$51,Bewertung_Stammdaten!E$51,IF(AQ31&lt;Bewertung_Stammdaten!F$52,Bewertung_Stammdaten!E$52,IF(AQ31&lt;Bewertung_Stammdaten!F$53,Bewertung_Stammdaten!E$53,IF(AQ31&lt;Bewertung_Stammdaten!F$54,Bewertung_Stammdaten!E$54,IF(AQ31&lt;Bewertung_Stammdaten!F$55,Bewertung_Stammdaten!E$55,IF(AQ31&lt;Bewertung_Stammdaten!F$56,Bewertung_Stammdaten!E$56,IF(AQ31&lt;Bewertung_Stammdaten!F$57,Bewertung_Stammdaten!E$57,IF(AQ31&lt;Bewertung_Stammdaten!F$58,Bewertung_Stammdaten!E$58,IF(AQ31&lt;Bewertung_Stammdaten!F$59,Bewertung_Stammdaten!E$59,Bewertung_Stammdaten!E$60)))))))))</f>
        <v>12</v>
      </c>
      <c r="AV31" s="32">
        <f ca="1">IF(AS31&lt;Bewertung_Stammdaten!J$51,Bewertung_Stammdaten!I$51,IF(AS31&lt;Bewertung_Stammdaten!J$52,Bewertung_Stammdaten!I$52,IF(AS31&lt;Bewertung_Stammdaten!J$53,Bewertung_Stammdaten!I$53,IF(AS31&lt;Bewertung_Stammdaten!J$54,Bewertung_Stammdaten!I$54,IF(AS31&lt;Bewertung_Stammdaten!J$55,Bewertung_Stammdaten!I$55,IF(AS31&lt;Bewertung_Stammdaten!J$56,Bewertung_Stammdaten!I$56,IF(AS31&lt;Bewertung_Stammdaten!J$57,Bewertung_Stammdaten!I$57,IF(AS31&lt;Bewertung_Stammdaten!J$58,Bewertung_Stammdaten!I$58,IF(AS31&lt;Bewertung_Stammdaten!J$59,Bewertung_Stammdaten!I$59,Bewertung_Stammdaten!I$60)))))))))</f>
        <v>10</v>
      </c>
      <c r="AW31" s="43"/>
      <c r="AX31" s="12">
        <f ca="1">VLOOKUP(A31,Dividendenrendite!A$3:R$103,17,FALSE)</f>
        <v>2.782728980358528E-2</v>
      </c>
      <c r="AY31" s="12">
        <f>VLOOKUP(A31,Dividendenrendite!A$3:R$103,16,FALSE)</f>
        <v>2.2254138482206916E-2</v>
      </c>
      <c r="AZ31" s="12">
        <f ca="1">VLOOKUP(A31,Dividendenrendite!A$3:R$103,18,FALSE)</f>
        <v>0.25043213089710581</v>
      </c>
      <c r="BA31" s="32">
        <f ca="1">IF(AX31&lt;Bewertung_Stammdaten!B$64,Bewertung_Stammdaten!A$64,IF(AX31&lt;Bewertung_Stammdaten!B$65,Bewertung_Stammdaten!A$65,IF(AX31&lt;Bewertung_Stammdaten!B$66,Bewertung_Stammdaten!A$66,IF(AX31&lt;Bewertung_Stammdaten!B$67,Bewertung_Stammdaten!A$67,IF(AX31&lt;Bewertung_Stammdaten!B$68,Bewertung_Stammdaten!A$68,IF(AX31&lt;Bewertung_Stammdaten!B$69,Bewertung_Stammdaten!A$69,IF(AX31&lt;Bewertung_Stammdaten!B$70,Bewertung_Stammdaten!A$70,IF(AX31&lt;Bewertung_Stammdaten!B$71,Bewertung_Stammdaten!A$71,IF(AX31&lt;Bewertung_Stammdaten!B$72,Bewertung_Stammdaten!A$72,Bewertung_Stammdaten!A$73)))))))))</f>
        <v>9</v>
      </c>
      <c r="BB31" s="32">
        <f>IF(AY31&lt;Bewertung_Stammdaten!F$64,Bewertung_Stammdaten!E$64,IF(AY31&lt;Bewertung_Stammdaten!F$65,Bewertung_Stammdaten!E$65,IF(AY31&lt;Bewertung_Stammdaten!F$66,Bewertung_Stammdaten!E$66,IF(AY31&lt;Bewertung_Stammdaten!F$67,Bewertung_Stammdaten!E$67,IF(AY31&lt;Bewertung_Stammdaten!F$68,Bewertung_Stammdaten!E$68,IF(AY31&lt;Bewertung_Stammdaten!F$69,Bewertung_Stammdaten!E$69,IF(AY31&lt;Bewertung_Stammdaten!F$70,Bewertung_Stammdaten!E$70,IF(AY31&lt;Bewertung_Stammdaten!F$71,Bewertung_Stammdaten!E$71,IF(AY31&lt;Bewertung_Stammdaten!F$72,Bewertung_Stammdaten!E$72,Bewertung_Stammdaten!E$73)))))))))</f>
        <v>5</v>
      </c>
      <c r="BC31" s="32">
        <f ca="1">IF(AZ31&lt;Bewertung_Stammdaten!J$64,Bewertung_Stammdaten!I$64,IF(AZ31&lt;Bewertung_Stammdaten!J$65,Bewertung_Stammdaten!I$65,IF(AZ31&lt;Bewertung_Stammdaten!J$66,Bewertung_Stammdaten!I$66,IF(AZ31&lt;Bewertung_Stammdaten!J$67,Bewertung_Stammdaten!I$67,IF(AZ31&lt;Bewertung_Stammdaten!J$68,Bewertung_Stammdaten!I$68,IF(AZ31&lt;Bewertung_Stammdaten!J$69,Bewertung_Stammdaten!I$69,IF(AZ31&lt;Bewertung_Stammdaten!J$70,Bewertung_Stammdaten!I$70,IF(AZ31&lt;Bewertung_Stammdaten!J$71,Bewertung_Stammdaten!I$71,IF(AZ31&lt;Bewertung_Stammdaten!J$72,Bewertung_Stammdaten!I$72,Bewertung_Stammdaten!I$73)))))))))</f>
        <v>5</v>
      </c>
      <c r="BD31" s="43"/>
      <c r="BE31" s="12">
        <f>VLOOKUP(A31,Aktien_im_Umlauf_splitbereinigt!A$3:AB$103,28,FALSE)</f>
        <v>-2.5731278067726682E-2</v>
      </c>
      <c r="BF31" s="12">
        <f>VLOOKUP(A31,Aktien_im_Umlauf_splitbereinigt!A$3:AA$103,26,FALSE)</f>
        <v>-2.8202628941055109E-2</v>
      </c>
      <c r="BG31" s="12">
        <f>VLOOKUP(A31,Aktien_im_Umlauf_splitbereinigt!A$3:AA$103,27,FALSE)</f>
        <v>-8.762838664770134E-2</v>
      </c>
      <c r="BH31" s="41">
        <f>IF(BE31&lt;Bewertung_Stammdaten!B$77,Bewertung_Stammdaten!A$77,IF(BE31&lt;Bewertung_Stammdaten!B$78,Bewertung_Stammdaten!A$78,IF(BE31&lt;Bewertung_Stammdaten!B$79,Bewertung_Stammdaten!A$79,IF(BE31&lt;Bewertung_Stammdaten!B$80,Bewertung_Stammdaten!A$80,IF(BE31&lt;Bewertung_Stammdaten!B$81,Bewertung_Stammdaten!A$81,IF(BE31&lt;Bewertung_Stammdaten!B$82,Bewertung_Stammdaten!A$82,IF(BE31&lt;Bewertung_Stammdaten!B$83,Bewertung_Stammdaten!A$83,IF(BE31&lt;Bewertung_Stammdaten!B$84,Bewertung_Stammdaten!A$84,IF(BE31&lt;Bewertung_Stammdaten!B$85,Bewertung_Stammdaten!A$85,Bewertung_Stammdaten!A$86)))))))))</f>
        <v>8</v>
      </c>
      <c r="BI31" s="41">
        <f>IF(BF31&lt;Bewertung_Stammdaten!F$77,Bewertung_Stammdaten!E$77,IF(BF31&lt;Bewertung_Stammdaten!F$78,Bewertung_Stammdaten!E$78,IF(BF31&lt;Bewertung_Stammdaten!F$79,Bewertung_Stammdaten!E$79,IF(BF31&lt;Bewertung_Stammdaten!F$80,Bewertung_Stammdaten!E$80,IF(BF31&lt;Bewertung_Stammdaten!F$81,Bewertung_Stammdaten!E$81,IF(BF31&lt;Bewertung_Stammdaten!F$82,Bewertung_Stammdaten!E$82,IF(BF31&lt;Bewertung_Stammdaten!F$83,Bewertung_Stammdaten!E$83,IF(BF31&lt;Bewertung_Stammdaten!F$84,Bewertung_Stammdaten!E$84,IF(BF31&lt;Bewertung_Stammdaten!F$85,Bewertung_Stammdaten!E$85,Bewertung_Stammdaten!E$86)))))))))</f>
        <v>8</v>
      </c>
      <c r="BJ31" s="41">
        <f>IF(BG31&lt;Bewertung_Stammdaten!J$77,Bewertung_Stammdaten!I$77,IF(BG31&lt;Bewertung_Stammdaten!J$78,Bewertung_Stammdaten!I$78,IF(BG31&lt;Bewertung_Stammdaten!J$79,Bewertung_Stammdaten!I$79,IF(BG31&lt;Bewertung_Stammdaten!J$80,Bewertung_Stammdaten!I$80,IF(BG31&lt;Bewertung_Stammdaten!J$81,Bewertung_Stammdaten!I$81,IF(BG31&lt;Bewertung_Stammdaten!J$82,Bewertung_Stammdaten!I$82,IF(BG31&lt;Bewertung_Stammdaten!J$83,Bewertung_Stammdaten!I$83,IF(BG31&lt;Bewertung_Stammdaten!J$84,Bewertung_Stammdaten!I$84,IF(BG31&lt;Bewertung_Stammdaten!J$85,Bewertung_Stammdaten!I$85,Bewertung_Stammdaten!I$86)))))))))</f>
        <v>2.5</v>
      </c>
      <c r="BK31" s="43"/>
      <c r="BL31" s="12">
        <f ca="1">VLOOKUP(A31,Ausschüttungsquote!A$3:AL$103,37,FALSE)</f>
        <v>0.5256012050323059</v>
      </c>
      <c r="BM31" s="12">
        <f>VLOOKUP(A31,Ausschüttungsquote!A$3:AL$103,19,FALSE)</f>
        <v>0.73447229151897497</v>
      </c>
      <c r="BN31" s="12">
        <f ca="1">VLOOKUP(A31,Ausschüttungsquote!A$3:AL$103,38,FALSE)</f>
        <v>0.45905637919319076</v>
      </c>
      <c r="BO31" s="32">
        <f ca="1">IF(BL31&lt;Bewertung_Stammdaten!B$90,Bewertung_Stammdaten!A$90,IF(BL31&lt;Bewertung_Stammdaten!B$91,Bewertung_Stammdaten!A$91,IF(BL31&lt;Bewertung_Stammdaten!B$92,Bewertung_Stammdaten!A$92,IF(BL31&lt;Bewertung_Stammdaten!B$93,Bewertung_Stammdaten!A$93,IF(BL31&lt;Bewertung_Stammdaten!B$94,Bewertung_Stammdaten!A$94,IF(BL31&lt;Bewertung_Stammdaten!B$95,Bewertung_Stammdaten!A$95,IF(BL31&lt;Bewertung_Stammdaten!B$96,Bewertung_Stammdaten!A$96,IF(BL31&lt;Bewertung_Stammdaten!B$97,Bewertung_Stammdaten!A$97,IF(BL31&lt;Bewertung_Stammdaten!B$98,Bewertung_Stammdaten!A$98,Bewertung_Stammdaten!A$99)))))))))</f>
        <v>7</v>
      </c>
      <c r="BP31" s="41">
        <f>IF(BM31&lt;Bewertung_Stammdaten!F$90,Bewertung_Stammdaten!E$90,IF(BM31&lt;Bewertung_Stammdaten!F$91,Bewertung_Stammdaten!E$91,IF(BM31&lt;Bewertung_Stammdaten!F$92,Bewertung_Stammdaten!E$92,IF(BM31&lt;Bewertung_Stammdaten!F$93,Bewertung_Stammdaten!E$93,IF(BM31&lt;Bewertung_Stammdaten!F$94,Bewertung_Stammdaten!E$94,IF(BM31&lt;Bewertung_Stammdaten!F$95,Bewertung_Stammdaten!E$95,IF(BM31&lt;Bewertung_Stammdaten!F$96,Bewertung_Stammdaten!E$96,IF(BM31&lt;Bewertung_Stammdaten!F$97,Bewertung_Stammdaten!E$97,IF(BM31&lt;Bewertung_Stammdaten!F$98,Bewertung_Stammdaten!E$98,Bewertung_Stammdaten!E$99)))))))))</f>
        <v>3</v>
      </c>
      <c r="BQ31" s="32">
        <f ca="1">IF(BN31&lt;Bewertung_Stammdaten!J$90,Bewertung_Stammdaten!I$90,IF(BN31&lt;Bewertung_Stammdaten!J$91,Bewertung_Stammdaten!I$91,IF(BN31&lt;Bewertung_Stammdaten!J$92,Bewertung_Stammdaten!I$92,IF(BN31&lt;Bewertung_Stammdaten!J$93,Bewertung_Stammdaten!I$93,IF(BN31&lt;Bewertung_Stammdaten!J$94,Bewertung_Stammdaten!I$94,IF(BN31&lt;Bewertung_Stammdaten!J$95,Bewertung_Stammdaten!I$95,IF(BN31&lt;Bewertung_Stammdaten!J$96,Bewertung_Stammdaten!I$96,IF(BN31&lt;Bewertung_Stammdaten!J$97,Bewertung_Stammdaten!I$97,IF(BN31&lt;Bewertung_Stammdaten!J$98,Bewertung_Stammdaten!I$98,Bewertung_Stammdaten!I$99)))))))))</f>
        <v>1</v>
      </c>
    </row>
    <row r="32" spans="1:69">
      <c r="A32" s="38" t="s">
        <v>252</v>
      </c>
      <c r="B32" s="38" t="s">
        <v>253</v>
      </c>
      <c r="C32" s="38" t="s">
        <v>282</v>
      </c>
      <c r="D32" s="32">
        <f t="shared" ca="1" si="0"/>
        <v>152.5</v>
      </c>
      <c r="E32" s="43"/>
      <c r="F32" s="60">
        <v>1</v>
      </c>
      <c r="G32" s="11">
        <f ca="1">VLOOKUP(A32,KGV!A$3:R$103,17,FALSE)</f>
        <v>20.013394092040709</v>
      </c>
      <c r="H32" s="11">
        <f>VLOOKUP(A32,KGV!A$3:R$103,16,FALSE)</f>
        <v>16.671232876712327</v>
      </c>
      <c r="I32" s="12">
        <f ca="1">VLOOKUP(A32,KGV!A$3:R$103,18,FALSE)</f>
        <v>0.20047474833111911</v>
      </c>
      <c r="J32" s="16">
        <f t="shared" ca="1" si="1"/>
        <v>22.507644987784655</v>
      </c>
      <c r="K32" s="12">
        <f t="shared" ca="1" si="2"/>
        <v>0.35008881192134744</v>
      </c>
      <c r="L32" s="11">
        <f ca="1">VLOOKUP(A32,KBV!A$3:R$103,17,FALSE)</f>
        <v>1.985685086344497</v>
      </c>
      <c r="M32" s="11">
        <f>VLOOKUP(A32,KBV!A$3:R$103,16,FALSE)</f>
        <v>2.4006001500375094</v>
      </c>
      <c r="N32" s="12">
        <f ca="1">VLOOKUP(A32,KBV!A$3:R$103,18,FALSE)</f>
        <v>-0.17283805621962045</v>
      </c>
      <c r="O32" s="16">
        <f t="shared" ca="1" si="3"/>
        <v>1.9984959578693</v>
      </c>
      <c r="P32" s="12">
        <f t="shared" ca="1" si="4"/>
        <v>-0.16750152755006975</v>
      </c>
      <c r="Q32" s="32">
        <f ca="1">IF(F32=1,IF(I32&lt;Bewertung_Stammdaten!B$12,Bewertung_Stammdaten!A$12,IF(I32&lt;Bewertung_Stammdaten!B$13,Bewertung_Stammdaten!A$13,IF(I32&lt;Bewertung_Stammdaten!B$14,Bewertung_Stammdaten!A$14,IF(I32&lt;Bewertung_Stammdaten!B$15,Bewertung_Stammdaten!A$15,IF(I32&lt;Bewertung_Stammdaten!B$16,Bewertung_Stammdaten!A$16,IF(I32&lt;Bewertung_Stammdaten!B$17,Bewertung_Stammdaten!A$17,IF(I32&lt;Bewertung_Stammdaten!B$18,Bewertung_Stammdaten!A$18,IF(I32&lt;Bewertung_Stammdaten!B$19,Bewertung_Stammdaten!A$19,IF(I32&lt;Bewertung_Stammdaten!B$20,Bewertung_Stammdaten!A$20,Bewertung_Stammdaten!A$21))))))))),IF(N32&lt;Bewertung_Stammdaten!C$12,Bewertung_Stammdaten!A$12,IF(N32&lt;Bewertung_Stammdaten!C$13,Bewertung_Stammdaten!A$13,IF(N32&lt;Bewertung_Stammdaten!C$14,Bewertung_Stammdaten!A$14,IF(N32&lt;Bewertung_Stammdaten!C$15,Bewertung_Stammdaten!A$15,IF(N32&lt;Bewertung_Stammdaten!C$16,Bewertung_Stammdaten!A$16,IF(N32&lt;Bewertung_Stammdaten!C$17,Bewertung_Stammdaten!A$17,IF(N32&lt;Bewertung_Stammdaten!C$18,Bewertung_Stammdaten!A$18,IF(N32&lt;Bewertung_Stammdaten!C$19,Bewertung_Stammdaten!A$19,IF(N32&lt;Bewertung_Stammdaten!C$20,Bewertung_Stammdaten!A$20,Bewertung_Stammdaten!A$21))))))))))</f>
        <v>12</v>
      </c>
      <c r="R32" s="32">
        <f ca="1">IF(F32=1,IF(K32&lt;Bewertung_Stammdaten!F$12,Bewertung_Stammdaten!E$12,IF(K32&lt;Bewertung_Stammdaten!F$13,Bewertung_Stammdaten!E$13,IF(K32&lt;Bewertung_Stammdaten!F$14,Bewertung_Stammdaten!E$14,IF(K32&lt;Bewertung_Stammdaten!F$15,Bewertung_Stammdaten!E$15,IF(K32&lt;Bewertung_Stammdaten!F$16,Bewertung_Stammdaten!E$16,IF(K32&lt;Bewertung_Stammdaten!F$17,Bewertung_Stammdaten!E$17,IF(K32&lt;Bewertung_Stammdaten!F$18,Bewertung_Stammdaten!E$18,IF(K32&lt;Bewertung_Stammdaten!F$19,Bewertung_Stammdaten!E$19,IF(K32&lt;Bewertung_Stammdaten!F$20,Bewertung_Stammdaten!E$20,Bewertung_Stammdaten!E$21))))))))),IF(P32&lt;Bewertung_Stammdaten!G$12,Bewertung_Stammdaten!E$12,IF(P32&lt;Bewertung_Stammdaten!G$13,Bewertung_Stammdaten!E$13,IF(P32&lt;Bewertung_Stammdaten!G$14,Bewertung_Stammdaten!E$14,IF(P32&lt;Bewertung_Stammdaten!G$15,Bewertung_Stammdaten!E$15,IF(P32&lt;Bewertung_Stammdaten!G$16,Bewertung_Stammdaten!E$16,IF(P32&lt;Bewertung_Stammdaten!G$17,Bewertung_Stammdaten!E$17,IF(P32&lt;Bewertung_Stammdaten!G$18,Bewertung_Stammdaten!E$18,IF(P32&lt;Bewertung_Stammdaten!G$19,Bewertung_Stammdaten!E$19,IF(P32&lt;Bewertung_Stammdaten!G$20,Bewertung_Stammdaten!E$20,Bewertung_Stammdaten!E$21))))))))))</f>
        <v>5</v>
      </c>
      <c r="S32" s="43"/>
      <c r="T32" s="11">
        <f ca="1">VLOOKUP(A32,Buchwert_je_Aktie!A$3:AK$103,23,FALSE)</f>
        <v>38.460277777777776</v>
      </c>
      <c r="U32" s="11">
        <f>VLOOKUP(A32,Buchwert_je_Aktie!A$3:AK$103,19,FALSE)</f>
        <v>21.214615384615385</v>
      </c>
      <c r="V32" s="12">
        <f ca="1">VLOOKUP(A32,Buchwert_je_Aktie!A$3:AK$103,24,FALSE)</f>
        <v>0.81291421411621556</v>
      </c>
      <c r="W32" s="12">
        <f>VLOOKUP(A32,Buchwert_je_Aktie!A$3:AK$103,37,FALSE)</f>
        <v>-6.4102564102562765E-3</v>
      </c>
      <c r="X32" s="16">
        <f t="shared" ca="1" si="5"/>
        <v>38.213737535612537</v>
      </c>
      <c r="Y32" s="12">
        <f t="shared" ca="1" si="6"/>
        <v>0.80129296915393233</v>
      </c>
      <c r="Z32" s="51">
        <f ca="1">IF(V32&lt;Bewertung_Stammdaten!B$25,Bewertung_Stammdaten!A$25,IF(V32&lt;Bewertung_Stammdaten!B$26,Bewertung_Stammdaten!A$26,IF(V32&lt;Bewertung_Stammdaten!B$27,Bewertung_Stammdaten!A$27,IF(V32&lt;Bewertung_Stammdaten!B$28,Bewertung_Stammdaten!A$28,IF(V32&lt;Bewertung_Stammdaten!B$29,Bewertung_Stammdaten!A$29,IF(V32&lt;Bewertung_Stammdaten!B$30,Bewertung_Stammdaten!A$30,IF(V32&lt;Bewertung_Stammdaten!B$31,Bewertung_Stammdaten!A$31,IF(V32&lt;Bewertung_Stammdaten!B$32,Bewertung_Stammdaten!A$32,IF(V32&lt;Bewertung_Stammdaten!B$33,Bewertung_Stammdaten!A$33,Bewertung_Stammdaten!A$34)))))))))</f>
        <v>15</v>
      </c>
      <c r="AA32" s="51">
        <f>IF(W32&lt;Bewertung_Stammdaten!F$25,Bewertung_Stammdaten!E$25,IF(W32&lt;Bewertung_Stammdaten!F$26,Bewertung_Stammdaten!E$26,IF(W32&lt;Bewertung_Stammdaten!F$27,Bewertung_Stammdaten!E$27,IF(W32&lt;Bewertung_Stammdaten!F$28,Bewertung_Stammdaten!E$28,IF(W32&lt;Bewertung_Stammdaten!F$29,Bewertung_Stammdaten!E$29,IF(W32&lt;Bewertung_Stammdaten!F$30,Bewertung_Stammdaten!E$30,IF(W32&lt;Bewertung_Stammdaten!F$31,Bewertung_Stammdaten!E$31,IF(W32&lt;Bewertung_Stammdaten!F$32,Bewertung_Stammdaten!E$32,IF(W32&lt;Bewertung_Stammdaten!F$33,Bewertung_Stammdaten!E$33,Bewertung_Stammdaten!E$34)))))))))</f>
        <v>10.5</v>
      </c>
      <c r="AB32" s="51">
        <f ca="1">IF(Y32&lt;Bewertung_Stammdaten!J$25,Bewertung_Stammdaten!I$25,IF(Y32&lt;Bewertung_Stammdaten!J$26,Bewertung_Stammdaten!I$26,IF(Y32&lt;Bewertung_Stammdaten!J$27,Bewertung_Stammdaten!I$27,IF(Y32&lt;Bewertung_Stammdaten!J$28,Bewertung_Stammdaten!I$28,IF(Y32&lt;Bewertung_Stammdaten!J$29,Bewertung_Stammdaten!I$29,IF(Y32&lt;Bewertung_Stammdaten!J$30,Bewertung_Stammdaten!I$30,IF(Y32&lt;Bewertung_Stammdaten!J$31,Bewertung_Stammdaten!I$31,IF(Y32&lt;Bewertung_Stammdaten!J$32,Bewertung_Stammdaten!I$32,IF(Y32&lt;Bewertung_Stammdaten!J$33,Bewertung_Stammdaten!I$33,Bewertung_Stammdaten!I$34)))))))))</f>
        <v>10</v>
      </c>
      <c r="AC32" s="43"/>
      <c r="AD32" s="14">
        <f ca="1">VLOOKUP(A32,Ergebnis_je_Aktie_verwässert!A$3:AK$103,23,FALSE)</f>
        <v>3.8159444444444444</v>
      </c>
      <c r="AE32" s="14">
        <f>VLOOKUP(A32,Ergebnis_je_Aktie_verwässert!A$3:AK$103,19,FALSE)</f>
        <v>3.2907692307692309</v>
      </c>
      <c r="AF32" s="12">
        <f ca="1">VLOOKUP(A32,Ergebnis_je_Aktie_verwässert!A$3:AK$103,24,FALSE)</f>
        <v>0.15959041088774595</v>
      </c>
      <c r="AG32" s="40">
        <f>VLOOKUP(A32,Ergebnis_je_Aktie_verwässert!A$3:AK$103,37,FALSE)</f>
        <v>-0.1108179419525066</v>
      </c>
      <c r="AH32" s="16">
        <f t="shared" ca="1" si="7"/>
        <v>3.3930693345060097</v>
      </c>
      <c r="AI32" s="12">
        <f t="shared" ca="1" si="8"/>
        <v>3.1086988045304409E-2</v>
      </c>
      <c r="AJ32" s="32">
        <f ca="1">IF(AF32&lt;Bewertung_Stammdaten!B$38,Bewertung_Stammdaten!A$38,IF(AF32&lt;Bewertung_Stammdaten!B$39,Bewertung_Stammdaten!A$39,IF(AF32&lt;Bewertung_Stammdaten!B$40,Bewertung_Stammdaten!A$40,IF(AF32&lt;Bewertung_Stammdaten!B$41,Bewertung_Stammdaten!A$41,IF(AF32&lt;Bewertung_Stammdaten!B$42,Bewertung_Stammdaten!A$42,IF(AF32&lt;Bewertung_Stammdaten!B$43,Bewertung_Stammdaten!A$43,IF(AF32&lt;Bewertung_Stammdaten!B$44,Bewertung_Stammdaten!A$44,IF(AF32&lt;Bewertung_Stammdaten!B$45,Bewertung_Stammdaten!A$45,IF(AF32&lt;Bewertung_Stammdaten!B$46,Bewertung_Stammdaten!A$46,Bewertung_Stammdaten!A$47)))))))))</f>
        <v>10</v>
      </c>
      <c r="AK32" s="32">
        <f>IF(AG32&lt;Bewertung_Stammdaten!F$38,Bewertung_Stammdaten!E$38,IF(AG32&lt;Bewertung_Stammdaten!F$39,Bewertung_Stammdaten!E$39,IF(AG32&lt;Bewertung_Stammdaten!F$40,Bewertung_Stammdaten!E$40,IF(AG32&lt;Bewertung_Stammdaten!F$41,Bewertung_Stammdaten!E$41,IF(AG32&lt;Bewertung_Stammdaten!F$42,Bewertung_Stammdaten!E$42,IF(AG32&lt;Bewertung_Stammdaten!F$43,Bewertung_Stammdaten!E$43,IF(AG32&lt;Bewertung_Stammdaten!F$44,Bewertung_Stammdaten!E$44,IF(AG32&lt;Bewertung_Stammdaten!F$45,Bewertung_Stammdaten!E$45,IF(AG32&lt;Bewertung_Stammdaten!F$46,Bewertung_Stammdaten!E$46,Bewertung_Stammdaten!E$47)))))))))</f>
        <v>9</v>
      </c>
      <c r="AL32" s="32">
        <f ca="1">IF(AI32&lt;Bewertung_Stammdaten!J$38,Bewertung_Stammdaten!I$38,IF(AI32&lt;Bewertung_Stammdaten!J$39,Bewertung_Stammdaten!I$39,IF(AI32&lt;Bewertung_Stammdaten!J$40,Bewertung_Stammdaten!I$40,IF(AI32&lt;Bewertung_Stammdaten!J$41,Bewertung_Stammdaten!I$41,IF(AI32&lt;Bewertung_Stammdaten!J$42,Bewertung_Stammdaten!I$42,IF(AI32&lt;Bewertung_Stammdaten!J$43,Bewertung_Stammdaten!I$43,IF(AI32&lt;Bewertung_Stammdaten!J$44,Bewertung_Stammdaten!I$44,IF(AI32&lt;Bewertung_Stammdaten!J$45,Bewertung_Stammdaten!I$45,IF(AI32&lt;Bewertung_Stammdaten!J$46,Bewertung_Stammdaten!I$46,Bewertung_Stammdaten!I$47)))))))))</f>
        <v>4</v>
      </c>
      <c r="AM32" s="43"/>
      <c r="AN32" s="14">
        <f ca="1">VLOOKUP(A32,Dividende_je_Aktie!A$3:AM$103,24,FALSE)</f>
        <v>1.7326666666666668</v>
      </c>
      <c r="AO32" s="14">
        <f>VLOOKUP(A32,Dividende_je_Aktie!A$3:AM$103,20,FALSE)</f>
        <v>0.97928571428571431</v>
      </c>
      <c r="AP32" s="12">
        <f ca="1">VLOOKUP(A32,Dividende_je_Aktie!A$3:AM$103,25,FALSE)</f>
        <v>0.76931680038901051</v>
      </c>
      <c r="AQ32" s="40">
        <f>VLOOKUP(A32,Dividende_je_Aktie!A$3:AM$103,39,FALSE)</f>
        <v>7.2164948453608213E-2</v>
      </c>
      <c r="AR32" s="16">
        <f t="shared" ca="1" si="9"/>
        <v>1.7326666666666668</v>
      </c>
      <c r="AS32" s="12">
        <f t="shared" ca="1" si="10"/>
        <v>0.76931680038901051</v>
      </c>
      <c r="AT32" s="32">
        <f ca="1">IF(AP32&lt;Bewertung_Stammdaten!B$51,Bewertung_Stammdaten!A$51,IF(AP32&lt;Bewertung_Stammdaten!B$52,Bewertung_Stammdaten!A$52,IF(AP32&lt;Bewertung_Stammdaten!B$53,Bewertung_Stammdaten!A$53,IF(AP32&lt;Bewertung_Stammdaten!B$54,Bewertung_Stammdaten!A$54,IF(AP32&lt;Bewertung_Stammdaten!B$55,Bewertung_Stammdaten!A$55,IF(AP32&lt;Bewertung_Stammdaten!B$56,Bewertung_Stammdaten!A$56,IF(AP32&lt;Bewertung_Stammdaten!B$57,Bewertung_Stammdaten!A$57,IF(AP32&lt;Bewertung_Stammdaten!B$58,Bewertung_Stammdaten!A$58,IF(AP32&lt;Bewertung_Stammdaten!B$59,Bewertung_Stammdaten!A$59,Bewertung_Stammdaten!A$60)))))))))</f>
        <v>20</v>
      </c>
      <c r="AU32" s="32">
        <f>IF(AQ32&lt;Bewertung_Stammdaten!F$51,Bewertung_Stammdaten!E$51,IF(AQ32&lt;Bewertung_Stammdaten!F$52,Bewertung_Stammdaten!E$52,IF(AQ32&lt;Bewertung_Stammdaten!F$53,Bewertung_Stammdaten!E$53,IF(AQ32&lt;Bewertung_Stammdaten!F$54,Bewertung_Stammdaten!E$54,IF(AQ32&lt;Bewertung_Stammdaten!F$55,Bewertung_Stammdaten!E$55,IF(AQ32&lt;Bewertung_Stammdaten!F$56,Bewertung_Stammdaten!E$56,IF(AQ32&lt;Bewertung_Stammdaten!F$57,Bewertung_Stammdaten!E$57,IF(AQ32&lt;Bewertung_Stammdaten!F$58,Bewertung_Stammdaten!E$58,IF(AQ32&lt;Bewertung_Stammdaten!F$59,Bewertung_Stammdaten!E$59,Bewertung_Stammdaten!E$60)))))))))</f>
        <v>12</v>
      </c>
      <c r="AV32" s="32">
        <f ca="1">IF(AS32&lt;Bewertung_Stammdaten!J$51,Bewertung_Stammdaten!I$51,IF(AS32&lt;Bewertung_Stammdaten!J$52,Bewertung_Stammdaten!I$52,IF(AS32&lt;Bewertung_Stammdaten!J$53,Bewertung_Stammdaten!I$53,IF(AS32&lt;Bewertung_Stammdaten!J$54,Bewertung_Stammdaten!I$54,IF(AS32&lt;Bewertung_Stammdaten!J$55,Bewertung_Stammdaten!I$55,IF(AS32&lt;Bewertung_Stammdaten!J$56,Bewertung_Stammdaten!I$56,IF(AS32&lt;Bewertung_Stammdaten!J$57,Bewertung_Stammdaten!I$57,IF(AS32&lt;Bewertung_Stammdaten!J$58,Bewertung_Stammdaten!I$58,IF(AS32&lt;Bewertung_Stammdaten!J$59,Bewertung_Stammdaten!I$59,Bewertung_Stammdaten!I$60)))))))))</f>
        <v>10</v>
      </c>
      <c r="AW32" s="43"/>
      <c r="AX32" s="12">
        <f ca="1">VLOOKUP(A32,Dividendenrendite!A$3:R$103,17,FALSE)</f>
        <v>2.2687791890358345E-2</v>
      </c>
      <c r="AY32" s="12">
        <f>VLOOKUP(A32,Dividendenrendite!A$3:R$103,16,FALSE)</f>
        <v>1.723487611577644E-2</v>
      </c>
      <c r="AZ32" s="12">
        <f ca="1">VLOOKUP(A32,Dividendenrendite!A$3:R$103,18,FALSE)</f>
        <v>0.31638845199417598</v>
      </c>
      <c r="BA32" s="32">
        <f ca="1">IF(AX32&lt;Bewertung_Stammdaten!B$64,Bewertung_Stammdaten!A$64,IF(AX32&lt;Bewertung_Stammdaten!B$65,Bewertung_Stammdaten!A$65,IF(AX32&lt;Bewertung_Stammdaten!B$66,Bewertung_Stammdaten!A$66,IF(AX32&lt;Bewertung_Stammdaten!B$67,Bewertung_Stammdaten!A$67,IF(AX32&lt;Bewertung_Stammdaten!B$68,Bewertung_Stammdaten!A$68,IF(AX32&lt;Bewertung_Stammdaten!B$69,Bewertung_Stammdaten!A$69,IF(AX32&lt;Bewertung_Stammdaten!B$70,Bewertung_Stammdaten!A$70,IF(AX32&lt;Bewertung_Stammdaten!B$71,Bewertung_Stammdaten!A$71,IF(AX32&lt;Bewertung_Stammdaten!B$72,Bewertung_Stammdaten!A$72,Bewertung_Stammdaten!A$73)))))))))</f>
        <v>7.5</v>
      </c>
      <c r="BB32" s="32">
        <f>IF(AY32&lt;Bewertung_Stammdaten!F$64,Bewertung_Stammdaten!E$64,IF(AY32&lt;Bewertung_Stammdaten!F$65,Bewertung_Stammdaten!E$65,IF(AY32&lt;Bewertung_Stammdaten!F$66,Bewertung_Stammdaten!E$66,IF(AY32&lt;Bewertung_Stammdaten!F$67,Bewertung_Stammdaten!E$67,IF(AY32&lt;Bewertung_Stammdaten!F$68,Bewertung_Stammdaten!E$68,IF(AY32&lt;Bewertung_Stammdaten!F$69,Bewertung_Stammdaten!E$69,IF(AY32&lt;Bewertung_Stammdaten!F$70,Bewertung_Stammdaten!E$70,IF(AY32&lt;Bewertung_Stammdaten!F$71,Bewertung_Stammdaten!E$71,IF(AY32&lt;Bewertung_Stammdaten!F$72,Bewertung_Stammdaten!E$72,Bewertung_Stammdaten!E$73)))))))))</f>
        <v>4</v>
      </c>
      <c r="BC32" s="32">
        <f ca="1">IF(AZ32&lt;Bewertung_Stammdaten!J$64,Bewertung_Stammdaten!I$64,IF(AZ32&lt;Bewertung_Stammdaten!J$65,Bewertung_Stammdaten!I$65,IF(AZ32&lt;Bewertung_Stammdaten!J$66,Bewertung_Stammdaten!I$66,IF(AZ32&lt;Bewertung_Stammdaten!J$67,Bewertung_Stammdaten!I$67,IF(AZ32&lt;Bewertung_Stammdaten!J$68,Bewertung_Stammdaten!I$68,IF(AZ32&lt;Bewertung_Stammdaten!J$69,Bewertung_Stammdaten!I$69,IF(AZ32&lt;Bewertung_Stammdaten!J$70,Bewertung_Stammdaten!I$70,IF(AZ32&lt;Bewertung_Stammdaten!J$71,Bewertung_Stammdaten!I$71,IF(AZ32&lt;Bewertung_Stammdaten!J$72,Bewertung_Stammdaten!I$72,Bewertung_Stammdaten!I$73)))))))))</f>
        <v>5</v>
      </c>
      <c r="BD32" s="43"/>
      <c r="BE32" s="12">
        <f>VLOOKUP(A32,Aktien_im_Umlauf_splitbereinigt!A$3:AB$103,28,FALSE)</f>
        <v>0.42342342342342332</v>
      </c>
      <c r="BF32" s="12">
        <f>VLOOKUP(A32,Aktien_im_Umlauf_splitbereinigt!A$3:AA$103,26,FALSE)</f>
        <v>2.3440078370554885E-2</v>
      </c>
      <c r="BG32" s="12">
        <f>VLOOKUP(A32,Aktien_im_Umlauf_splitbereinigt!A$3:AA$103,27,FALSE)</f>
        <v>-99.999989999999997</v>
      </c>
      <c r="BH32" s="41">
        <f>IF(BE32&lt;Bewertung_Stammdaten!B$77,Bewertung_Stammdaten!A$77,IF(BE32&lt;Bewertung_Stammdaten!B$78,Bewertung_Stammdaten!A$78,IF(BE32&lt;Bewertung_Stammdaten!B$79,Bewertung_Stammdaten!A$79,IF(BE32&lt;Bewertung_Stammdaten!B$80,Bewertung_Stammdaten!A$80,IF(BE32&lt;Bewertung_Stammdaten!B$81,Bewertung_Stammdaten!A$81,IF(BE32&lt;Bewertung_Stammdaten!B$82,Bewertung_Stammdaten!A$82,IF(BE32&lt;Bewertung_Stammdaten!B$83,Bewertung_Stammdaten!A$83,IF(BE32&lt;Bewertung_Stammdaten!B$84,Bewertung_Stammdaten!A$84,IF(BE32&lt;Bewertung_Stammdaten!B$85,Bewertung_Stammdaten!A$85,Bewertung_Stammdaten!A$86)))))))))</f>
        <v>1</v>
      </c>
      <c r="BI32" s="41">
        <f>IF(BF32&lt;Bewertung_Stammdaten!F$77,Bewertung_Stammdaten!E$77,IF(BF32&lt;Bewertung_Stammdaten!F$78,Bewertung_Stammdaten!E$78,IF(BF32&lt;Bewertung_Stammdaten!F$79,Bewertung_Stammdaten!E$79,IF(BF32&lt;Bewertung_Stammdaten!F$80,Bewertung_Stammdaten!E$80,IF(BF32&lt;Bewertung_Stammdaten!F$81,Bewertung_Stammdaten!E$81,IF(BF32&lt;Bewertung_Stammdaten!F$82,Bewertung_Stammdaten!E$82,IF(BF32&lt;Bewertung_Stammdaten!F$83,Bewertung_Stammdaten!E$83,IF(BF32&lt;Bewertung_Stammdaten!F$84,Bewertung_Stammdaten!E$84,IF(BF32&lt;Bewertung_Stammdaten!F$85,Bewertung_Stammdaten!E$85,Bewertung_Stammdaten!E$86)))))))))</f>
        <v>1</v>
      </c>
      <c r="BJ32" s="41">
        <f>IF(BG32&lt;Bewertung_Stammdaten!J$77,Bewertung_Stammdaten!I$77,IF(BG32&lt;Bewertung_Stammdaten!J$78,Bewertung_Stammdaten!I$78,IF(BG32&lt;Bewertung_Stammdaten!J$79,Bewertung_Stammdaten!I$79,IF(BG32&lt;Bewertung_Stammdaten!J$80,Bewertung_Stammdaten!I$80,IF(BG32&lt;Bewertung_Stammdaten!J$81,Bewertung_Stammdaten!I$81,IF(BG32&lt;Bewertung_Stammdaten!J$82,Bewertung_Stammdaten!I$82,IF(BG32&lt;Bewertung_Stammdaten!J$83,Bewertung_Stammdaten!I$83,IF(BG32&lt;Bewertung_Stammdaten!J$84,Bewertung_Stammdaten!I$84,IF(BG32&lt;Bewertung_Stammdaten!J$85,Bewertung_Stammdaten!I$85,Bewertung_Stammdaten!I$86)))))))))</f>
        <v>0.5</v>
      </c>
      <c r="BK32" s="43"/>
      <c r="BL32" s="12">
        <f ca="1">VLOOKUP(A32,Ausschüttungsquote!A$3:AL$103,37,FALSE)</f>
        <v>0.45402685343725552</v>
      </c>
      <c r="BM32" s="12">
        <f>VLOOKUP(A32,Ausschüttungsquote!A$3:AL$103,19,FALSE)</f>
        <v>0.54059242163258725</v>
      </c>
      <c r="BN32" s="12">
        <f ca="1">VLOOKUP(A32,Ausschüttungsquote!A$3:AL$103,38,FALSE)</f>
        <v>0.51799245920804893</v>
      </c>
      <c r="BO32" s="32">
        <f ca="1">IF(BL32&lt;Bewertung_Stammdaten!B$90,Bewertung_Stammdaten!A$90,IF(BL32&lt;Bewertung_Stammdaten!B$91,Bewertung_Stammdaten!A$91,IF(BL32&lt;Bewertung_Stammdaten!B$92,Bewertung_Stammdaten!A$92,IF(BL32&lt;Bewertung_Stammdaten!B$93,Bewertung_Stammdaten!A$93,IF(BL32&lt;Bewertung_Stammdaten!B$94,Bewertung_Stammdaten!A$94,IF(BL32&lt;Bewertung_Stammdaten!B$95,Bewertung_Stammdaten!A$95,IF(BL32&lt;Bewertung_Stammdaten!B$96,Bewertung_Stammdaten!A$96,IF(BL32&lt;Bewertung_Stammdaten!B$97,Bewertung_Stammdaten!A$97,IF(BL32&lt;Bewertung_Stammdaten!B$98,Bewertung_Stammdaten!A$98,Bewertung_Stammdaten!A$99)))))))))</f>
        <v>8</v>
      </c>
      <c r="BP32" s="41">
        <f>IF(BM32&lt;Bewertung_Stammdaten!F$90,Bewertung_Stammdaten!E$90,IF(BM32&lt;Bewertung_Stammdaten!F$91,Bewertung_Stammdaten!E$91,IF(BM32&lt;Bewertung_Stammdaten!F$92,Bewertung_Stammdaten!E$92,IF(BM32&lt;Bewertung_Stammdaten!F$93,Bewertung_Stammdaten!E$93,IF(BM32&lt;Bewertung_Stammdaten!F$94,Bewertung_Stammdaten!E$94,IF(BM32&lt;Bewertung_Stammdaten!F$95,Bewertung_Stammdaten!E$95,IF(BM32&lt;Bewertung_Stammdaten!F$96,Bewertung_Stammdaten!E$96,IF(BM32&lt;Bewertung_Stammdaten!F$97,Bewertung_Stammdaten!E$97,IF(BM32&lt;Bewertung_Stammdaten!F$98,Bewertung_Stammdaten!E$98,Bewertung_Stammdaten!E$99)))))))))</f>
        <v>7</v>
      </c>
      <c r="BQ32" s="32">
        <f ca="1">IF(BN32&lt;Bewertung_Stammdaten!J$90,Bewertung_Stammdaten!I$90,IF(BN32&lt;Bewertung_Stammdaten!J$91,Bewertung_Stammdaten!I$91,IF(BN32&lt;Bewertung_Stammdaten!J$92,Bewertung_Stammdaten!I$92,IF(BN32&lt;Bewertung_Stammdaten!J$93,Bewertung_Stammdaten!I$93,IF(BN32&lt;Bewertung_Stammdaten!J$94,Bewertung_Stammdaten!I$94,IF(BN32&lt;Bewertung_Stammdaten!J$95,Bewertung_Stammdaten!I$95,IF(BN32&lt;Bewertung_Stammdaten!J$96,Bewertung_Stammdaten!I$96,IF(BN32&lt;Bewertung_Stammdaten!J$97,Bewertung_Stammdaten!I$97,IF(BN32&lt;Bewertung_Stammdaten!J$98,Bewertung_Stammdaten!I$98,Bewertung_Stammdaten!I$99)))))))))</f>
        <v>1</v>
      </c>
    </row>
    <row r="33" spans="1:69">
      <c r="A33" s="38" t="s">
        <v>10</v>
      </c>
      <c r="B33" s="38" t="s">
        <v>11</v>
      </c>
      <c r="C33" s="38" t="s">
        <v>283</v>
      </c>
      <c r="D33" s="32">
        <f t="shared" ca="1" si="0"/>
        <v>150</v>
      </c>
      <c r="E33" s="43"/>
      <c r="F33" s="60">
        <v>1</v>
      </c>
      <c r="G33" s="11">
        <f ca="1">VLOOKUP(A33,KGV!A$3:R$103,17,FALSE)</f>
        <v>11.499282639885221</v>
      </c>
      <c r="H33" s="11">
        <f>VLOOKUP(A33,KGV!A$3:R$103,16,FALSE)</f>
        <v>12.761519607843137</v>
      </c>
      <c r="I33" s="12">
        <f ca="1">VLOOKUP(A33,KGV!A$3:R$103,18,FALSE)</f>
        <v>-9.8909613176643485E-2</v>
      </c>
      <c r="J33" s="16">
        <f t="shared" ca="1" si="1"/>
        <v>99</v>
      </c>
      <c r="K33" s="12">
        <f t="shared" ca="1" si="2"/>
        <v>6.7576968137207825</v>
      </c>
      <c r="L33" s="11">
        <f ca="1">VLOOKUP(A33,KBV!A$3:R$103,17,FALSE)</f>
        <v>2.3956361462588425</v>
      </c>
      <c r="M33" s="11">
        <f>VLOOKUP(A33,KBV!A$3:R$103,16,FALSE)</f>
        <v>2.195069667738478</v>
      </c>
      <c r="N33" s="12">
        <f ca="1">VLOOKUP(A33,KBV!A$3:R$103,18,FALSE)</f>
        <v>9.137134983374029E-2</v>
      </c>
      <c r="O33" s="16">
        <f t="shared" ca="1" si="3"/>
        <v>3.391657975228902</v>
      </c>
      <c r="P33" s="12">
        <f t="shared" ca="1" si="4"/>
        <v>0.54512543500418231</v>
      </c>
      <c r="Q33" s="32">
        <f ca="1">IF(F33=1,IF(I33&lt;Bewertung_Stammdaten!B$12,Bewertung_Stammdaten!A$12,IF(I33&lt;Bewertung_Stammdaten!B$13,Bewertung_Stammdaten!A$13,IF(I33&lt;Bewertung_Stammdaten!B$14,Bewertung_Stammdaten!A$14,IF(I33&lt;Bewertung_Stammdaten!B$15,Bewertung_Stammdaten!A$15,IF(I33&lt;Bewertung_Stammdaten!B$16,Bewertung_Stammdaten!A$16,IF(I33&lt;Bewertung_Stammdaten!B$17,Bewertung_Stammdaten!A$17,IF(I33&lt;Bewertung_Stammdaten!B$18,Bewertung_Stammdaten!A$18,IF(I33&lt;Bewertung_Stammdaten!B$19,Bewertung_Stammdaten!A$19,IF(I33&lt;Bewertung_Stammdaten!B$20,Bewertung_Stammdaten!A$20,Bewertung_Stammdaten!A$21))))))))),IF(N33&lt;Bewertung_Stammdaten!C$12,Bewertung_Stammdaten!A$12,IF(N33&lt;Bewertung_Stammdaten!C$13,Bewertung_Stammdaten!A$13,IF(N33&lt;Bewertung_Stammdaten!C$14,Bewertung_Stammdaten!A$14,IF(N33&lt;Bewertung_Stammdaten!C$15,Bewertung_Stammdaten!A$15,IF(N33&lt;Bewertung_Stammdaten!C$16,Bewertung_Stammdaten!A$16,IF(N33&lt;Bewertung_Stammdaten!C$17,Bewertung_Stammdaten!A$17,IF(N33&lt;Bewertung_Stammdaten!C$18,Bewertung_Stammdaten!A$18,IF(N33&lt;Bewertung_Stammdaten!C$19,Bewertung_Stammdaten!A$19,IF(N33&lt;Bewertung_Stammdaten!C$20,Bewertung_Stammdaten!A$20,Bewertung_Stammdaten!A$21))))))))))</f>
        <v>48</v>
      </c>
      <c r="R33" s="32">
        <f ca="1">IF(F33=1,IF(K33&lt;Bewertung_Stammdaten!F$12,Bewertung_Stammdaten!E$12,IF(K33&lt;Bewertung_Stammdaten!F$13,Bewertung_Stammdaten!E$13,IF(K33&lt;Bewertung_Stammdaten!F$14,Bewertung_Stammdaten!E$14,IF(K33&lt;Bewertung_Stammdaten!F$15,Bewertung_Stammdaten!E$15,IF(K33&lt;Bewertung_Stammdaten!F$16,Bewertung_Stammdaten!E$16,IF(K33&lt;Bewertung_Stammdaten!F$17,Bewertung_Stammdaten!E$17,IF(K33&lt;Bewertung_Stammdaten!F$18,Bewertung_Stammdaten!E$18,IF(K33&lt;Bewertung_Stammdaten!F$19,Bewertung_Stammdaten!E$19,IF(K33&lt;Bewertung_Stammdaten!F$20,Bewertung_Stammdaten!E$20,Bewertung_Stammdaten!E$21))))))))),IF(P33&lt;Bewertung_Stammdaten!G$12,Bewertung_Stammdaten!E$12,IF(P33&lt;Bewertung_Stammdaten!G$13,Bewertung_Stammdaten!E$13,IF(P33&lt;Bewertung_Stammdaten!G$14,Bewertung_Stammdaten!E$14,IF(P33&lt;Bewertung_Stammdaten!G$15,Bewertung_Stammdaten!E$15,IF(P33&lt;Bewertung_Stammdaten!G$16,Bewertung_Stammdaten!E$16,IF(P33&lt;Bewertung_Stammdaten!G$17,Bewertung_Stammdaten!E$17,IF(P33&lt;Bewertung_Stammdaten!G$18,Bewertung_Stammdaten!E$18,IF(P33&lt;Bewertung_Stammdaten!G$19,Bewertung_Stammdaten!E$19,IF(P33&lt;Bewertung_Stammdaten!G$20,Bewertung_Stammdaten!E$20,Bewertung_Stammdaten!E$21))))))))))</f>
        <v>2.5</v>
      </c>
      <c r="S33" s="43"/>
      <c r="T33" s="11">
        <f ca="1">VLOOKUP(A33,Buchwert_je_Aktie!A$3:AK$103,23,FALSE)</f>
        <v>10.037000000000001</v>
      </c>
      <c r="U33" s="11">
        <f>VLOOKUP(A33,Buchwert_je_Aktie!A$3:AK$103,19,FALSE)</f>
        <v>9.008461538461539</v>
      </c>
      <c r="V33" s="12">
        <f ca="1">VLOOKUP(A33,Buchwert_je_Aktie!A$3:AK$103,24,FALSE)</f>
        <v>0.11417470753991976</v>
      </c>
      <c r="W33" s="12">
        <f>VLOOKUP(A33,Buchwert_je_Aktie!A$3:AK$103,37,FALSE)</f>
        <v>-0.29366812227074235</v>
      </c>
      <c r="X33" s="16">
        <f t="shared" ca="1" si="5"/>
        <v>7.0894530567685594</v>
      </c>
      <c r="Y33" s="12">
        <f t="shared" ca="1" si="6"/>
        <v>-0.21302288670488201</v>
      </c>
      <c r="Z33" s="51">
        <f ca="1">IF(V33&lt;Bewertung_Stammdaten!B$25,Bewertung_Stammdaten!A$25,IF(V33&lt;Bewertung_Stammdaten!B$26,Bewertung_Stammdaten!A$26,IF(V33&lt;Bewertung_Stammdaten!B$27,Bewertung_Stammdaten!A$27,IF(V33&lt;Bewertung_Stammdaten!B$28,Bewertung_Stammdaten!A$28,IF(V33&lt;Bewertung_Stammdaten!B$29,Bewertung_Stammdaten!A$29,IF(V33&lt;Bewertung_Stammdaten!B$30,Bewertung_Stammdaten!A$30,IF(V33&lt;Bewertung_Stammdaten!B$31,Bewertung_Stammdaten!A$31,IF(V33&lt;Bewertung_Stammdaten!B$32,Bewertung_Stammdaten!A$32,IF(V33&lt;Bewertung_Stammdaten!B$33,Bewertung_Stammdaten!A$33,Bewertung_Stammdaten!A$34)))))))))</f>
        <v>6</v>
      </c>
      <c r="AA33" s="51">
        <f>IF(W33&lt;Bewertung_Stammdaten!F$25,Bewertung_Stammdaten!E$25,IF(W33&lt;Bewertung_Stammdaten!F$26,Bewertung_Stammdaten!E$26,IF(W33&lt;Bewertung_Stammdaten!F$27,Bewertung_Stammdaten!E$27,IF(W33&lt;Bewertung_Stammdaten!F$28,Bewertung_Stammdaten!E$28,IF(W33&lt;Bewertung_Stammdaten!F$29,Bewertung_Stammdaten!E$29,IF(W33&lt;Bewertung_Stammdaten!F$30,Bewertung_Stammdaten!E$30,IF(W33&lt;Bewertung_Stammdaten!F$31,Bewertung_Stammdaten!E$31,IF(W33&lt;Bewertung_Stammdaten!F$32,Bewertung_Stammdaten!E$32,IF(W33&lt;Bewertung_Stammdaten!F$33,Bewertung_Stammdaten!E$33,Bewertung_Stammdaten!E$34)))))))))</f>
        <v>3</v>
      </c>
      <c r="AB33" s="51">
        <f ca="1">IF(Y33&lt;Bewertung_Stammdaten!J$25,Bewertung_Stammdaten!I$25,IF(Y33&lt;Bewertung_Stammdaten!J$26,Bewertung_Stammdaten!I$26,IF(Y33&lt;Bewertung_Stammdaten!J$27,Bewertung_Stammdaten!I$27,IF(Y33&lt;Bewertung_Stammdaten!J$28,Bewertung_Stammdaten!I$28,IF(Y33&lt;Bewertung_Stammdaten!J$29,Bewertung_Stammdaten!I$29,IF(Y33&lt;Bewertung_Stammdaten!J$30,Bewertung_Stammdaten!I$30,IF(Y33&lt;Bewertung_Stammdaten!J$31,Bewertung_Stammdaten!I$31,IF(Y33&lt;Bewertung_Stammdaten!J$32,Bewertung_Stammdaten!I$32,IF(Y33&lt;Bewertung_Stammdaten!J$33,Bewertung_Stammdaten!I$33,Bewertung_Stammdaten!I$34)))))))))</f>
        <v>1</v>
      </c>
      <c r="AC33" s="43"/>
      <c r="AD33" s="14">
        <f ca="1">VLOOKUP(A33,Ergebnis_je_Aktie_verwässert!A$3:AK$103,23,FALSE)</f>
        <v>2.0910000000000002</v>
      </c>
      <c r="AE33" s="14">
        <f>VLOOKUP(A33,Ergebnis_je_Aktie_verwässert!A$3:AK$103,19,FALSE)</f>
        <v>1.3384615384615386</v>
      </c>
      <c r="AF33" s="12">
        <f ca="1">VLOOKUP(A33,Ergebnis_je_Aktie_verwässert!A$3:AK$103,24,FALSE)</f>
        <v>0.5622413793103449</v>
      </c>
      <c r="AG33" s="40">
        <f>VLOOKUP(A33,Ergebnis_je_Aktie_verwässert!A$3:AK$103,37,FALSE)</f>
        <v>-2.2173913043478262</v>
      </c>
      <c r="AH33" s="16">
        <f t="shared" ca="1" si="7"/>
        <v>-2.5455652173913048</v>
      </c>
      <c r="AI33" s="12">
        <f t="shared" ca="1" si="8"/>
        <v>-2.9018590704647678</v>
      </c>
      <c r="AJ33" s="32">
        <f ca="1">IF(AF33&lt;Bewertung_Stammdaten!B$38,Bewertung_Stammdaten!A$38,IF(AF33&lt;Bewertung_Stammdaten!B$39,Bewertung_Stammdaten!A$39,IF(AF33&lt;Bewertung_Stammdaten!B$40,Bewertung_Stammdaten!A$40,IF(AF33&lt;Bewertung_Stammdaten!B$41,Bewertung_Stammdaten!A$41,IF(AF33&lt;Bewertung_Stammdaten!B$42,Bewertung_Stammdaten!A$42,IF(AF33&lt;Bewertung_Stammdaten!B$43,Bewertung_Stammdaten!A$43,IF(AF33&lt;Bewertung_Stammdaten!B$44,Bewertung_Stammdaten!A$44,IF(AF33&lt;Bewertung_Stammdaten!B$45,Bewertung_Stammdaten!A$45,IF(AF33&lt;Bewertung_Stammdaten!B$46,Bewertung_Stammdaten!A$46,Bewertung_Stammdaten!A$47)))))))))</f>
        <v>18</v>
      </c>
      <c r="AK33" s="32">
        <f>IF(AG33&lt;Bewertung_Stammdaten!F$38,Bewertung_Stammdaten!E$38,IF(AG33&lt;Bewertung_Stammdaten!F$39,Bewertung_Stammdaten!E$39,IF(AG33&lt;Bewertung_Stammdaten!F$40,Bewertung_Stammdaten!E$40,IF(AG33&lt;Bewertung_Stammdaten!F$41,Bewertung_Stammdaten!E$41,IF(AG33&lt;Bewertung_Stammdaten!F$42,Bewertung_Stammdaten!E$42,IF(AG33&lt;Bewertung_Stammdaten!F$43,Bewertung_Stammdaten!E$43,IF(AG33&lt;Bewertung_Stammdaten!F$44,Bewertung_Stammdaten!E$44,IF(AG33&lt;Bewertung_Stammdaten!F$45,Bewertung_Stammdaten!E$45,IF(AG33&lt;Bewertung_Stammdaten!F$46,Bewertung_Stammdaten!E$46,Bewertung_Stammdaten!E$47)))))))))</f>
        <v>1.5</v>
      </c>
      <c r="AL33" s="32">
        <f ca="1">IF(AI33&lt;Bewertung_Stammdaten!J$38,Bewertung_Stammdaten!I$38,IF(AI33&lt;Bewertung_Stammdaten!J$39,Bewertung_Stammdaten!I$39,IF(AI33&lt;Bewertung_Stammdaten!J$40,Bewertung_Stammdaten!I$40,IF(AI33&lt;Bewertung_Stammdaten!J$41,Bewertung_Stammdaten!I$41,IF(AI33&lt;Bewertung_Stammdaten!J$42,Bewertung_Stammdaten!I$42,IF(AI33&lt;Bewertung_Stammdaten!J$43,Bewertung_Stammdaten!I$43,IF(AI33&lt;Bewertung_Stammdaten!J$44,Bewertung_Stammdaten!I$44,IF(AI33&lt;Bewertung_Stammdaten!J$45,Bewertung_Stammdaten!I$45,IF(AI33&lt;Bewertung_Stammdaten!J$46,Bewertung_Stammdaten!I$46,Bewertung_Stammdaten!I$47)))))))))</f>
        <v>1</v>
      </c>
      <c r="AM33" s="43"/>
      <c r="AN33" s="14">
        <f ca="1">VLOOKUP(A33,Dividende_je_Aktie!A$3:AM$103,24,FALSE)</f>
        <v>0.98699999999999988</v>
      </c>
      <c r="AO33" s="14">
        <f>VLOOKUP(A33,Dividende_je_Aktie!A$3:AM$103,20,FALSE)</f>
        <v>0.81071428571428572</v>
      </c>
      <c r="AP33" s="12">
        <f ca="1">VLOOKUP(A33,Dividende_je_Aktie!A$3:AM$103,25,FALSE)</f>
        <v>0.21744493392070474</v>
      </c>
      <c r="AQ33" s="40">
        <f>VLOOKUP(A33,Dividende_je_Aktie!A$3:AM$103,39,FALSE)</f>
        <v>-0.33333333333333337</v>
      </c>
      <c r="AR33" s="16">
        <f t="shared" ca="1" si="9"/>
        <v>0.65799999999999992</v>
      </c>
      <c r="AS33" s="12">
        <f t="shared" ca="1" si="10"/>
        <v>-0.18837004405286351</v>
      </c>
      <c r="AT33" s="32">
        <f ca="1">IF(AP33&lt;Bewertung_Stammdaten!B$51,Bewertung_Stammdaten!A$51,IF(AP33&lt;Bewertung_Stammdaten!B$52,Bewertung_Stammdaten!A$52,IF(AP33&lt;Bewertung_Stammdaten!B$53,Bewertung_Stammdaten!A$53,IF(AP33&lt;Bewertung_Stammdaten!B$54,Bewertung_Stammdaten!A$54,IF(AP33&lt;Bewertung_Stammdaten!B$55,Bewertung_Stammdaten!A$55,IF(AP33&lt;Bewertung_Stammdaten!B$56,Bewertung_Stammdaten!A$56,IF(AP33&lt;Bewertung_Stammdaten!B$57,Bewertung_Stammdaten!A$57,IF(AP33&lt;Bewertung_Stammdaten!B$58,Bewertung_Stammdaten!A$58,IF(AP33&lt;Bewertung_Stammdaten!B$59,Bewertung_Stammdaten!A$59,Bewertung_Stammdaten!A$60)))))))))</f>
        <v>10</v>
      </c>
      <c r="AU33" s="32">
        <f>IF(AQ33&lt;Bewertung_Stammdaten!F$51,Bewertung_Stammdaten!E$51,IF(AQ33&lt;Bewertung_Stammdaten!F$52,Bewertung_Stammdaten!E$52,IF(AQ33&lt;Bewertung_Stammdaten!F$53,Bewertung_Stammdaten!E$53,IF(AQ33&lt;Bewertung_Stammdaten!F$54,Bewertung_Stammdaten!E$54,IF(AQ33&lt;Bewertung_Stammdaten!F$55,Bewertung_Stammdaten!E$55,IF(AQ33&lt;Bewertung_Stammdaten!F$56,Bewertung_Stammdaten!E$56,IF(AQ33&lt;Bewertung_Stammdaten!F$57,Bewertung_Stammdaten!E$57,IF(AQ33&lt;Bewertung_Stammdaten!F$58,Bewertung_Stammdaten!E$58,IF(AQ33&lt;Bewertung_Stammdaten!F$59,Bewertung_Stammdaten!E$59,Bewertung_Stammdaten!E$60)))))))))</f>
        <v>6</v>
      </c>
      <c r="AV33" s="32">
        <f ca="1">IF(AS33&lt;Bewertung_Stammdaten!J$51,Bewertung_Stammdaten!I$51,IF(AS33&lt;Bewertung_Stammdaten!J$52,Bewertung_Stammdaten!I$52,IF(AS33&lt;Bewertung_Stammdaten!J$53,Bewertung_Stammdaten!I$53,IF(AS33&lt;Bewertung_Stammdaten!J$54,Bewertung_Stammdaten!I$54,IF(AS33&lt;Bewertung_Stammdaten!J$55,Bewertung_Stammdaten!I$55,IF(AS33&lt;Bewertung_Stammdaten!J$56,Bewertung_Stammdaten!I$56,IF(AS33&lt;Bewertung_Stammdaten!J$57,Bewertung_Stammdaten!I$57,IF(AS33&lt;Bewertung_Stammdaten!J$58,Bewertung_Stammdaten!I$58,IF(AS33&lt;Bewertung_Stammdaten!J$59,Bewertung_Stammdaten!I$59,Bewertung_Stammdaten!I$60)))))))))</f>
        <v>2</v>
      </c>
      <c r="AW33" s="43"/>
      <c r="AX33" s="12">
        <f ca="1">VLOOKUP(A33,Dividendenrendite!A$3:R$103,17,FALSE)</f>
        <v>4.104803493449781E-2</v>
      </c>
      <c r="AY33" s="12">
        <f>VLOOKUP(A33,Dividendenrendite!A$3:R$103,16,FALSE)</f>
        <v>4.0800190741535486E-2</v>
      </c>
      <c r="AZ33" s="12">
        <f ca="1">VLOOKUP(A33,Dividendenrendite!A$3:R$103,18,FALSE)</f>
        <v>6.0745841736964401E-3</v>
      </c>
      <c r="BA33" s="32">
        <f ca="1">IF(AX33&lt;Bewertung_Stammdaten!B$64,Bewertung_Stammdaten!A$64,IF(AX33&lt;Bewertung_Stammdaten!B$65,Bewertung_Stammdaten!A$65,IF(AX33&lt;Bewertung_Stammdaten!B$66,Bewertung_Stammdaten!A$66,IF(AX33&lt;Bewertung_Stammdaten!B$67,Bewertung_Stammdaten!A$67,IF(AX33&lt;Bewertung_Stammdaten!B$68,Bewertung_Stammdaten!A$68,IF(AX33&lt;Bewertung_Stammdaten!B$69,Bewertung_Stammdaten!A$69,IF(AX33&lt;Bewertung_Stammdaten!B$70,Bewertung_Stammdaten!A$70,IF(AX33&lt;Bewertung_Stammdaten!B$71,Bewertung_Stammdaten!A$71,IF(AX33&lt;Bewertung_Stammdaten!B$72,Bewertung_Stammdaten!A$72,Bewertung_Stammdaten!A$73)))))))))</f>
        <v>13.5</v>
      </c>
      <c r="BB33" s="32">
        <f>IF(AY33&lt;Bewertung_Stammdaten!F$64,Bewertung_Stammdaten!E$64,IF(AY33&lt;Bewertung_Stammdaten!F$65,Bewertung_Stammdaten!E$65,IF(AY33&lt;Bewertung_Stammdaten!F$66,Bewertung_Stammdaten!E$66,IF(AY33&lt;Bewertung_Stammdaten!F$67,Bewertung_Stammdaten!E$67,IF(AY33&lt;Bewertung_Stammdaten!F$68,Bewertung_Stammdaten!E$68,IF(AY33&lt;Bewertung_Stammdaten!F$69,Bewertung_Stammdaten!E$69,IF(AY33&lt;Bewertung_Stammdaten!F$70,Bewertung_Stammdaten!E$70,IF(AY33&lt;Bewertung_Stammdaten!F$71,Bewertung_Stammdaten!E$71,IF(AY33&lt;Bewertung_Stammdaten!F$72,Bewertung_Stammdaten!E$72,Bewertung_Stammdaten!E$73)))))))))</f>
        <v>9</v>
      </c>
      <c r="BC33" s="32">
        <f ca="1">IF(AZ33&lt;Bewertung_Stammdaten!J$64,Bewertung_Stammdaten!I$64,IF(AZ33&lt;Bewertung_Stammdaten!J$65,Bewertung_Stammdaten!I$65,IF(AZ33&lt;Bewertung_Stammdaten!J$66,Bewertung_Stammdaten!I$66,IF(AZ33&lt;Bewertung_Stammdaten!J$67,Bewertung_Stammdaten!I$67,IF(AZ33&lt;Bewertung_Stammdaten!J$68,Bewertung_Stammdaten!I$68,IF(AZ33&lt;Bewertung_Stammdaten!J$69,Bewertung_Stammdaten!I$69,IF(AZ33&lt;Bewertung_Stammdaten!J$70,Bewertung_Stammdaten!I$70,IF(AZ33&lt;Bewertung_Stammdaten!J$71,Bewertung_Stammdaten!I$71,IF(AZ33&lt;Bewertung_Stammdaten!J$72,Bewertung_Stammdaten!I$72,Bewertung_Stammdaten!I$73)))))))))</f>
        <v>3</v>
      </c>
      <c r="BD33" s="43"/>
      <c r="BE33" s="12">
        <f>VLOOKUP(A33,Aktien_im_Umlauf_splitbereinigt!A$3:AB$103,28,FALSE)</f>
        <v>1.6515276630884035E-3</v>
      </c>
      <c r="BF33" s="12">
        <f>VLOOKUP(A33,Aktien_im_Umlauf_splitbereinigt!A$3:AA$103,26,FALSE)</f>
        <v>1.6669289189630287E-3</v>
      </c>
      <c r="BG33" s="12">
        <f>VLOOKUP(A33,Aktien_im_Umlauf_splitbereinigt!A$3:AA$103,27,FALSE)</f>
        <v>-99.999989999999997</v>
      </c>
      <c r="BH33" s="41">
        <f>IF(BE33&lt;Bewertung_Stammdaten!B$77,Bewertung_Stammdaten!A$77,IF(BE33&lt;Bewertung_Stammdaten!B$78,Bewertung_Stammdaten!A$78,IF(BE33&lt;Bewertung_Stammdaten!B$79,Bewertung_Stammdaten!A$79,IF(BE33&lt;Bewertung_Stammdaten!B$80,Bewertung_Stammdaten!A$80,IF(BE33&lt;Bewertung_Stammdaten!B$81,Bewertung_Stammdaten!A$81,IF(BE33&lt;Bewertung_Stammdaten!B$82,Bewertung_Stammdaten!A$82,IF(BE33&lt;Bewertung_Stammdaten!B$83,Bewertung_Stammdaten!A$83,IF(BE33&lt;Bewertung_Stammdaten!B$84,Bewertung_Stammdaten!A$84,IF(BE33&lt;Bewertung_Stammdaten!B$85,Bewertung_Stammdaten!A$85,Bewertung_Stammdaten!A$86)))))))))</f>
        <v>2</v>
      </c>
      <c r="BI33" s="41">
        <f>IF(BF33&lt;Bewertung_Stammdaten!F$77,Bewertung_Stammdaten!E$77,IF(BF33&lt;Bewertung_Stammdaten!F$78,Bewertung_Stammdaten!E$78,IF(BF33&lt;Bewertung_Stammdaten!F$79,Bewertung_Stammdaten!E$79,IF(BF33&lt;Bewertung_Stammdaten!F$80,Bewertung_Stammdaten!E$80,IF(BF33&lt;Bewertung_Stammdaten!F$81,Bewertung_Stammdaten!E$81,IF(BF33&lt;Bewertung_Stammdaten!F$82,Bewertung_Stammdaten!E$82,IF(BF33&lt;Bewertung_Stammdaten!F$83,Bewertung_Stammdaten!E$83,IF(BF33&lt;Bewertung_Stammdaten!F$84,Bewertung_Stammdaten!E$84,IF(BF33&lt;Bewertung_Stammdaten!F$85,Bewertung_Stammdaten!E$85,Bewertung_Stammdaten!E$86)))))))))</f>
        <v>2</v>
      </c>
      <c r="BJ33" s="41">
        <f>IF(BG33&lt;Bewertung_Stammdaten!J$77,Bewertung_Stammdaten!I$77,IF(BG33&lt;Bewertung_Stammdaten!J$78,Bewertung_Stammdaten!I$78,IF(BG33&lt;Bewertung_Stammdaten!J$79,Bewertung_Stammdaten!I$79,IF(BG33&lt;Bewertung_Stammdaten!J$80,Bewertung_Stammdaten!I$80,IF(BG33&lt;Bewertung_Stammdaten!J$81,Bewertung_Stammdaten!I$81,IF(BG33&lt;Bewertung_Stammdaten!J$82,Bewertung_Stammdaten!I$82,IF(BG33&lt;Bewertung_Stammdaten!J$83,Bewertung_Stammdaten!I$83,IF(BG33&lt;Bewertung_Stammdaten!J$84,Bewertung_Stammdaten!I$84,IF(BG33&lt;Bewertung_Stammdaten!J$85,Bewertung_Stammdaten!I$85,Bewertung_Stammdaten!I$86)))))))))</f>
        <v>0.5</v>
      </c>
      <c r="BK33" s="43"/>
      <c r="BL33" s="12">
        <f ca="1">VLOOKUP(A33,Ausschüttungsquote!A$3:AL$103,37,FALSE)</f>
        <v>0.47194570135746605</v>
      </c>
      <c r="BM33" s="12">
        <f>VLOOKUP(A33,Ausschüttungsquote!A$3:AL$103,19,FALSE)</f>
        <v>0.70140596058540949</v>
      </c>
      <c r="BN33" s="12">
        <f ca="1">VLOOKUP(A33,Ausschüttungsquote!A$3:AL$103,38,FALSE)</f>
        <v>-0.32714329806440579</v>
      </c>
      <c r="BO33" s="32">
        <f ca="1">IF(BL33&lt;Bewertung_Stammdaten!B$90,Bewertung_Stammdaten!A$90,IF(BL33&lt;Bewertung_Stammdaten!B$91,Bewertung_Stammdaten!A$91,IF(BL33&lt;Bewertung_Stammdaten!B$92,Bewertung_Stammdaten!A$92,IF(BL33&lt;Bewertung_Stammdaten!B$93,Bewertung_Stammdaten!A$93,IF(BL33&lt;Bewertung_Stammdaten!B$94,Bewertung_Stammdaten!A$94,IF(BL33&lt;Bewertung_Stammdaten!B$95,Bewertung_Stammdaten!A$95,IF(BL33&lt;Bewertung_Stammdaten!B$96,Bewertung_Stammdaten!A$96,IF(BL33&lt;Bewertung_Stammdaten!B$97,Bewertung_Stammdaten!A$97,IF(BL33&lt;Bewertung_Stammdaten!B$98,Bewertung_Stammdaten!A$98,Bewertung_Stammdaten!A$99)))))))))</f>
        <v>8</v>
      </c>
      <c r="BP33" s="41">
        <f>IF(BM33&lt;Bewertung_Stammdaten!F$90,Bewertung_Stammdaten!E$90,IF(BM33&lt;Bewertung_Stammdaten!F$91,Bewertung_Stammdaten!E$91,IF(BM33&lt;Bewertung_Stammdaten!F$92,Bewertung_Stammdaten!E$92,IF(BM33&lt;Bewertung_Stammdaten!F$93,Bewertung_Stammdaten!E$93,IF(BM33&lt;Bewertung_Stammdaten!F$94,Bewertung_Stammdaten!E$94,IF(BM33&lt;Bewertung_Stammdaten!F$95,Bewertung_Stammdaten!E$95,IF(BM33&lt;Bewertung_Stammdaten!F$96,Bewertung_Stammdaten!E$96,IF(BM33&lt;Bewertung_Stammdaten!F$97,Bewertung_Stammdaten!E$97,IF(BM33&lt;Bewertung_Stammdaten!F$98,Bewertung_Stammdaten!E$98,Bewertung_Stammdaten!E$99)))))))))</f>
        <v>3</v>
      </c>
      <c r="BQ33" s="32">
        <f ca="1">IF(BN33&lt;Bewertung_Stammdaten!J$90,Bewertung_Stammdaten!I$90,IF(BN33&lt;Bewertung_Stammdaten!J$91,Bewertung_Stammdaten!I$91,IF(BN33&lt;Bewertung_Stammdaten!J$92,Bewertung_Stammdaten!I$92,IF(BN33&lt;Bewertung_Stammdaten!J$93,Bewertung_Stammdaten!I$93,IF(BN33&lt;Bewertung_Stammdaten!J$94,Bewertung_Stammdaten!I$94,IF(BN33&lt;Bewertung_Stammdaten!J$95,Bewertung_Stammdaten!I$95,IF(BN33&lt;Bewertung_Stammdaten!J$96,Bewertung_Stammdaten!I$96,IF(BN33&lt;Bewertung_Stammdaten!J$97,Bewertung_Stammdaten!I$97,IF(BN33&lt;Bewertung_Stammdaten!J$98,Bewertung_Stammdaten!I$98,Bewertung_Stammdaten!I$99)))))))))</f>
        <v>10</v>
      </c>
    </row>
    <row r="34" spans="1:69">
      <c r="A34" s="55" t="s">
        <v>269</v>
      </c>
      <c r="B34" s="55" t="s">
        <v>271</v>
      </c>
      <c r="C34" s="38" t="s">
        <v>282</v>
      </c>
      <c r="D34" s="32">
        <f t="shared" ca="1" si="0"/>
        <v>152</v>
      </c>
      <c r="E34" s="43"/>
      <c r="F34" s="60">
        <v>1</v>
      </c>
      <c r="G34" s="11">
        <f ca="1">VLOOKUP(A34,KGV!A$3:R$103,17,FALSE)</f>
        <v>16.695005313496281</v>
      </c>
      <c r="H34" s="11">
        <f>VLOOKUP(A34,KGV!A$3:R$103,16,FALSE)</f>
        <v>13.413020277481325</v>
      </c>
      <c r="I34" s="12">
        <f ca="1">VLOOKUP(A34,KGV!A$3:R$103,18,FALSE)</f>
        <v>0.24468650371944745</v>
      </c>
      <c r="J34" s="16">
        <f t="shared" ca="1" si="1"/>
        <v>19.807633422792197</v>
      </c>
      <c r="K34" s="12">
        <f t="shared" ca="1" si="2"/>
        <v>0.47674669932815772</v>
      </c>
      <c r="L34" s="11">
        <f ca="1">VLOOKUP(A34,KBV!A$3:R$103,17,FALSE)</f>
        <v>2.9398830409356727</v>
      </c>
      <c r="M34" s="11">
        <f>VLOOKUP(A34,KBV!A$3:R$103,16,FALSE)</f>
        <v>2.5596741344195522</v>
      </c>
      <c r="N34" s="12">
        <f ca="1">VLOOKUP(A34,KBV!A$3:R$103,18,FALSE)</f>
        <v>0.1485380116959063</v>
      </c>
      <c r="O34" s="16">
        <f t="shared" ca="1" si="3"/>
        <v>2.9398830409356727</v>
      </c>
      <c r="P34" s="12">
        <f t="shared" ca="1" si="4"/>
        <v>0.1485380116959063</v>
      </c>
      <c r="Q34" s="32">
        <f ca="1">IF(F34=1,IF(I34&lt;Bewertung_Stammdaten!B$12,Bewertung_Stammdaten!A$12,IF(I34&lt;Bewertung_Stammdaten!B$13,Bewertung_Stammdaten!A$13,IF(I34&lt;Bewertung_Stammdaten!B$14,Bewertung_Stammdaten!A$14,IF(I34&lt;Bewertung_Stammdaten!B$15,Bewertung_Stammdaten!A$15,IF(I34&lt;Bewertung_Stammdaten!B$16,Bewertung_Stammdaten!A$16,IF(I34&lt;Bewertung_Stammdaten!B$17,Bewertung_Stammdaten!A$17,IF(I34&lt;Bewertung_Stammdaten!B$18,Bewertung_Stammdaten!A$18,IF(I34&lt;Bewertung_Stammdaten!B$19,Bewertung_Stammdaten!A$19,IF(I34&lt;Bewertung_Stammdaten!B$20,Bewertung_Stammdaten!A$20,Bewertung_Stammdaten!A$21))))))))),IF(N34&lt;Bewertung_Stammdaten!C$12,Bewertung_Stammdaten!A$12,IF(N34&lt;Bewertung_Stammdaten!C$13,Bewertung_Stammdaten!A$13,IF(N34&lt;Bewertung_Stammdaten!C$14,Bewertung_Stammdaten!A$14,IF(N34&lt;Bewertung_Stammdaten!C$15,Bewertung_Stammdaten!A$15,IF(N34&lt;Bewertung_Stammdaten!C$16,Bewertung_Stammdaten!A$16,IF(N34&lt;Bewertung_Stammdaten!C$17,Bewertung_Stammdaten!A$17,IF(N34&lt;Bewertung_Stammdaten!C$18,Bewertung_Stammdaten!A$18,IF(N34&lt;Bewertung_Stammdaten!C$19,Bewertung_Stammdaten!A$19,IF(N34&lt;Bewertung_Stammdaten!C$20,Bewertung_Stammdaten!A$20,Bewertung_Stammdaten!A$21))))))))))</f>
        <v>12</v>
      </c>
      <c r="R34" s="32">
        <f ca="1">IF(F34=1,IF(K34&lt;Bewertung_Stammdaten!F$12,Bewertung_Stammdaten!E$12,IF(K34&lt;Bewertung_Stammdaten!F$13,Bewertung_Stammdaten!E$13,IF(K34&lt;Bewertung_Stammdaten!F$14,Bewertung_Stammdaten!E$14,IF(K34&lt;Bewertung_Stammdaten!F$15,Bewertung_Stammdaten!E$15,IF(K34&lt;Bewertung_Stammdaten!F$16,Bewertung_Stammdaten!E$16,IF(K34&lt;Bewertung_Stammdaten!F$17,Bewertung_Stammdaten!E$17,IF(K34&lt;Bewertung_Stammdaten!F$18,Bewertung_Stammdaten!E$18,IF(K34&lt;Bewertung_Stammdaten!F$19,Bewertung_Stammdaten!E$19,IF(K34&lt;Bewertung_Stammdaten!F$20,Bewertung_Stammdaten!E$20,Bewertung_Stammdaten!E$21))))))))),IF(P34&lt;Bewertung_Stammdaten!G$12,Bewertung_Stammdaten!E$12,IF(P34&lt;Bewertung_Stammdaten!G$13,Bewertung_Stammdaten!E$13,IF(P34&lt;Bewertung_Stammdaten!G$14,Bewertung_Stammdaten!E$14,IF(P34&lt;Bewertung_Stammdaten!G$15,Bewertung_Stammdaten!E$15,IF(P34&lt;Bewertung_Stammdaten!G$16,Bewertung_Stammdaten!E$16,IF(P34&lt;Bewertung_Stammdaten!G$17,Bewertung_Stammdaten!E$17,IF(P34&lt;Bewertung_Stammdaten!G$18,Bewertung_Stammdaten!E$18,IF(P34&lt;Bewertung_Stammdaten!G$19,Bewertung_Stammdaten!E$19,IF(P34&lt;Bewertung_Stammdaten!G$20,Bewertung_Stammdaten!E$20,Bewertung_Stammdaten!E$21))))))))))</f>
        <v>2.5</v>
      </c>
      <c r="S34" s="43"/>
      <c r="T34" s="11">
        <f ca="1">VLOOKUP(A34,Buchwert_je_Aktie!A$3:AK$103,23,FALSE)</f>
        <v>42.75</v>
      </c>
      <c r="U34" s="11">
        <f>VLOOKUP(A34,Buchwert_je_Aktie!A$3:AK$103,19,FALSE)</f>
        <v>30.481538461538459</v>
      </c>
      <c r="V34" s="12">
        <f ca="1">VLOOKUP(A34,Buchwert_je_Aktie!A$3:AK$103,24,FALSE)</f>
        <v>0.40248826528037163</v>
      </c>
      <c r="W34" s="12">
        <f>VLOOKUP(A34,Buchwert_je_Aktie!A$3:AK$103,37,FALSE)</f>
        <v>3.2129742962056174E-2</v>
      </c>
      <c r="X34" s="16">
        <f t="shared" ca="1" si="5"/>
        <v>42.75</v>
      </c>
      <c r="Y34" s="12">
        <f t="shared" ca="1" si="6"/>
        <v>0.40248826528037163</v>
      </c>
      <c r="Z34" s="51">
        <f ca="1">IF(V34&lt;Bewertung_Stammdaten!B$25,Bewertung_Stammdaten!A$25,IF(V34&lt;Bewertung_Stammdaten!B$26,Bewertung_Stammdaten!A$26,IF(V34&lt;Bewertung_Stammdaten!B$27,Bewertung_Stammdaten!A$27,IF(V34&lt;Bewertung_Stammdaten!B$28,Bewertung_Stammdaten!A$28,IF(V34&lt;Bewertung_Stammdaten!B$29,Bewertung_Stammdaten!A$29,IF(V34&lt;Bewertung_Stammdaten!B$30,Bewertung_Stammdaten!A$30,IF(V34&lt;Bewertung_Stammdaten!B$31,Bewertung_Stammdaten!A$31,IF(V34&lt;Bewertung_Stammdaten!B$32,Bewertung_Stammdaten!A$32,IF(V34&lt;Bewertung_Stammdaten!B$33,Bewertung_Stammdaten!A$33,Bewertung_Stammdaten!A$34)))))))))</f>
        <v>10.5</v>
      </c>
      <c r="AA34" s="51">
        <f>IF(W34&lt;Bewertung_Stammdaten!F$25,Bewertung_Stammdaten!E$25,IF(W34&lt;Bewertung_Stammdaten!F$26,Bewertung_Stammdaten!E$26,IF(W34&lt;Bewertung_Stammdaten!F$27,Bewertung_Stammdaten!E$27,IF(W34&lt;Bewertung_Stammdaten!F$28,Bewertung_Stammdaten!E$28,IF(W34&lt;Bewertung_Stammdaten!F$29,Bewertung_Stammdaten!E$29,IF(W34&lt;Bewertung_Stammdaten!F$30,Bewertung_Stammdaten!E$30,IF(W34&lt;Bewertung_Stammdaten!F$31,Bewertung_Stammdaten!E$31,IF(W34&lt;Bewertung_Stammdaten!F$32,Bewertung_Stammdaten!E$32,IF(W34&lt;Bewertung_Stammdaten!F$33,Bewertung_Stammdaten!E$33,Bewertung_Stammdaten!E$34)))))))))</f>
        <v>12</v>
      </c>
      <c r="AB34" s="51">
        <f ca="1">IF(Y34&lt;Bewertung_Stammdaten!J$25,Bewertung_Stammdaten!I$25,IF(Y34&lt;Bewertung_Stammdaten!J$26,Bewertung_Stammdaten!I$26,IF(Y34&lt;Bewertung_Stammdaten!J$27,Bewertung_Stammdaten!I$27,IF(Y34&lt;Bewertung_Stammdaten!J$28,Bewertung_Stammdaten!I$28,IF(Y34&lt;Bewertung_Stammdaten!J$29,Bewertung_Stammdaten!I$29,IF(Y34&lt;Bewertung_Stammdaten!J$30,Bewertung_Stammdaten!I$30,IF(Y34&lt;Bewertung_Stammdaten!J$31,Bewertung_Stammdaten!I$31,IF(Y34&lt;Bewertung_Stammdaten!J$32,Bewertung_Stammdaten!I$32,IF(Y34&lt;Bewertung_Stammdaten!J$33,Bewertung_Stammdaten!I$33,Bewertung_Stammdaten!I$34)))))))))</f>
        <v>7</v>
      </c>
      <c r="AC34" s="43"/>
      <c r="AD34" s="14">
        <f ca="1">VLOOKUP(A34,Ergebnis_je_Aktie_verwässert!A$3:AK$103,23,FALSE)</f>
        <v>7.5279999999999996</v>
      </c>
      <c r="AE34" s="14">
        <f>VLOOKUP(A34,Ergebnis_je_Aktie_verwässert!A$3:AK$103,19,FALSE)</f>
        <v>5.2946153846153852</v>
      </c>
      <c r="AF34" s="12">
        <f ca="1">VLOOKUP(A34,Ergebnis_je_Aktie_verwässert!A$3:AK$103,24,FALSE)</f>
        <v>0.42182187999418841</v>
      </c>
      <c r="AG34" s="40">
        <f>VLOOKUP(A34,Ergebnis_je_Aktie_verwässert!A$3:AK$103,37,FALSE)</f>
        <v>-0.15714285714285714</v>
      </c>
      <c r="AH34" s="16">
        <f t="shared" ca="1" si="7"/>
        <v>6.3450285714285712</v>
      </c>
      <c r="AI34" s="12">
        <f t="shared" ca="1" si="8"/>
        <v>0.19839272742367298</v>
      </c>
      <c r="AJ34" s="32">
        <f ca="1">IF(AF34&lt;Bewertung_Stammdaten!B$38,Bewertung_Stammdaten!A$38,IF(AF34&lt;Bewertung_Stammdaten!B$39,Bewertung_Stammdaten!A$39,IF(AF34&lt;Bewertung_Stammdaten!B$40,Bewertung_Stammdaten!A$40,IF(AF34&lt;Bewertung_Stammdaten!B$41,Bewertung_Stammdaten!A$41,IF(AF34&lt;Bewertung_Stammdaten!B$42,Bewertung_Stammdaten!A$42,IF(AF34&lt;Bewertung_Stammdaten!B$43,Bewertung_Stammdaten!A$43,IF(AF34&lt;Bewertung_Stammdaten!B$44,Bewertung_Stammdaten!A$44,IF(AF34&lt;Bewertung_Stammdaten!B$45,Bewertung_Stammdaten!A$45,IF(AF34&lt;Bewertung_Stammdaten!B$46,Bewertung_Stammdaten!A$46,Bewertung_Stammdaten!A$47)))))))))</f>
        <v>16</v>
      </c>
      <c r="AK34" s="32">
        <f>IF(AG34&lt;Bewertung_Stammdaten!F$38,Bewertung_Stammdaten!E$38,IF(AG34&lt;Bewertung_Stammdaten!F$39,Bewertung_Stammdaten!E$39,IF(AG34&lt;Bewertung_Stammdaten!F$40,Bewertung_Stammdaten!E$40,IF(AG34&lt;Bewertung_Stammdaten!F$41,Bewertung_Stammdaten!E$41,IF(AG34&lt;Bewertung_Stammdaten!F$42,Bewertung_Stammdaten!E$42,IF(AG34&lt;Bewertung_Stammdaten!F$43,Bewertung_Stammdaten!E$43,IF(AG34&lt;Bewertung_Stammdaten!F$44,Bewertung_Stammdaten!E$44,IF(AG34&lt;Bewertung_Stammdaten!F$45,Bewertung_Stammdaten!E$45,IF(AG34&lt;Bewertung_Stammdaten!F$46,Bewertung_Stammdaten!E$46,Bewertung_Stammdaten!E$47)))))))))</f>
        <v>9</v>
      </c>
      <c r="AL34" s="32">
        <f ca="1">IF(AI34&lt;Bewertung_Stammdaten!J$38,Bewertung_Stammdaten!I$38,IF(AI34&lt;Bewertung_Stammdaten!J$39,Bewertung_Stammdaten!I$39,IF(AI34&lt;Bewertung_Stammdaten!J$40,Bewertung_Stammdaten!I$40,IF(AI34&lt;Bewertung_Stammdaten!J$41,Bewertung_Stammdaten!I$41,IF(AI34&lt;Bewertung_Stammdaten!J$42,Bewertung_Stammdaten!I$42,IF(AI34&lt;Bewertung_Stammdaten!J$43,Bewertung_Stammdaten!I$43,IF(AI34&lt;Bewertung_Stammdaten!J$44,Bewertung_Stammdaten!I$44,IF(AI34&lt;Bewertung_Stammdaten!J$45,Bewertung_Stammdaten!I$45,IF(AI34&lt;Bewertung_Stammdaten!J$46,Bewertung_Stammdaten!I$46,Bewertung_Stammdaten!I$47)))))))))</f>
        <v>6</v>
      </c>
      <c r="AM34" s="43"/>
      <c r="AN34" s="14">
        <f ca="1">VLOOKUP(A34,Dividende_je_Aktie!A$3:AM$103,24,FALSE)</f>
        <v>1.601</v>
      </c>
      <c r="AO34" s="14">
        <f>VLOOKUP(A34,Dividende_je_Aktie!A$3:AM$103,20,FALSE)</f>
        <v>0.75821428571428551</v>
      </c>
      <c r="AP34" s="12">
        <f ca="1">VLOOKUP(A34,Dividende_je_Aktie!A$3:AM$103,25,FALSE)</f>
        <v>1.1115402731983046</v>
      </c>
      <c r="AQ34" s="40">
        <f>VLOOKUP(A34,Dividende_je_Aktie!A$3:AM$103,39,FALSE)</f>
        <v>-0.38953488372093015</v>
      </c>
      <c r="AR34" s="16">
        <f t="shared" ca="1" si="9"/>
        <v>0.97735465116279086</v>
      </c>
      <c r="AS34" s="12">
        <f t="shared" ca="1" si="10"/>
        <v>0.28902167840594206</v>
      </c>
      <c r="AT34" s="32">
        <f ca="1">IF(AP34&lt;Bewertung_Stammdaten!B$51,Bewertung_Stammdaten!A$51,IF(AP34&lt;Bewertung_Stammdaten!B$52,Bewertung_Stammdaten!A$52,IF(AP34&lt;Bewertung_Stammdaten!B$53,Bewertung_Stammdaten!A$53,IF(AP34&lt;Bewertung_Stammdaten!B$54,Bewertung_Stammdaten!A$54,IF(AP34&lt;Bewertung_Stammdaten!B$55,Bewertung_Stammdaten!A$55,IF(AP34&lt;Bewertung_Stammdaten!B$56,Bewertung_Stammdaten!A$56,IF(AP34&lt;Bewertung_Stammdaten!B$57,Bewertung_Stammdaten!A$57,IF(AP34&lt;Bewertung_Stammdaten!B$58,Bewertung_Stammdaten!A$58,IF(AP34&lt;Bewertung_Stammdaten!B$59,Bewertung_Stammdaten!A$59,Bewertung_Stammdaten!A$60)))))))))</f>
        <v>20</v>
      </c>
      <c r="AU34" s="32">
        <f>IF(AQ34&lt;Bewertung_Stammdaten!F$51,Bewertung_Stammdaten!E$51,IF(AQ34&lt;Bewertung_Stammdaten!F$52,Bewertung_Stammdaten!E$52,IF(AQ34&lt;Bewertung_Stammdaten!F$53,Bewertung_Stammdaten!E$53,IF(AQ34&lt;Bewertung_Stammdaten!F$54,Bewertung_Stammdaten!E$54,IF(AQ34&lt;Bewertung_Stammdaten!F$55,Bewertung_Stammdaten!E$55,IF(AQ34&lt;Bewertung_Stammdaten!F$56,Bewertung_Stammdaten!E$56,IF(AQ34&lt;Bewertung_Stammdaten!F$57,Bewertung_Stammdaten!E$57,IF(AQ34&lt;Bewertung_Stammdaten!F$58,Bewertung_Stammdaten!E$58,IF(AQ34&lt;Bewertung_Stammdaten!F$59,Bewertung_Stammdaten!E$59,Bewertung_Stammdaten!E$60)))))))))</f>
        <v>6</v>
      </c>
      <c r="AV34" s="32">
        <f ca="1">IF(AS34&lt;Bewertung_Stammdaten!J$51,Bewertung_Stammdaten!I$51,IF(AS34&lt;Bewertung_Stammdaten!J$52,Bewertung_Stammdaten!I$52,IF(AS34&lt;Bewertung_Stammdaten!J$53,Bewertung_Stammdaten!I$53,IF(AS34&lt;Bewertung_Stammdaten!J$54,Bewertung_Stammdaten!I$54,IF(AS34&lt;Bewertung_Stammdaten!J$55,Bewertung_Stammdaten!I$55,IF(AS34&lt;Bewertung_Stammdaten!J$56,Bewertung_Stammdaten!I$56,IF(AS34&lt;Bewertung_Stammdaten!J$57,Bewertung_Stammdaten!I$57,IF(AS34&lt;Bewertung_Stammdaten!J$58,Bewertung_Stammdaten!I$58,IF(AS34&lt;Bewertung_Stammdaten!J$59,Bewertung_Stammdaten!I$59,Bewertung_Stammdaten!I$60)))))))))</f>
        <v>7</v>
      </c>
      <c r="AW34" s="43"/>
      <c r="AX34" s="12">
        <f ca="1">VLOOKUP(A34,Dividendenrendite!A$3:R$103,17,FALSE)</f>
        <v>1.2738701464035645E-2</v>
      </c>
      <c r="AY34" s="12">
        <f>VLOOKUP(A34,Dividendenrendite!A$3:R$103,16,FALSE)</f>
        <v>8.5692323803196208E-3</v>
      </c>
      <c r="AZ34" s="12">
        <f ca="1">VLOOKUP(A34,Dividendenrendite!A$3:R$103,18,FALSE)</f>
        <v>0.4865627279862037</v>
      </c>
      <c r="BA34" s="32">
        <f ca="1">IF(AX34&lt;Bewertung_Stammdaten!B$64,Bewertung_Stammdaten!A$64,IF(AX34&lt;Bewertung_Stammdaten!B$65,Bewertung_Stammdaten!A$65,IF(AX34&lt;Bewertung_Stammdaten!B$66,Bewertung_Stammdaten!A$66,IF(AX34&lt;Bewertung_Stammdaten!B$67,Bewertung_Stammdaten!A$67,IF(AX34&lt;Bewertung_Stammdaten!B$68,Bewertung_Stammdaten!A$68,IF(AX34&lt;Bewertung_Stammdaten!B$69,Bewertung_Stammdaten!A$69,IF(AX34&lt;Bewertung_Stammdaten!B$70,Bewertung_Stammdaten!A$70,IF(AX34&lt;Bewertung_Stammdaten!B$71,Bewertung_Stammdaten!A$71,IF(AX34&lt;Bewertung_Stammdaten!B$72,Bewertung_Stammdaten!A$72,Bewertung_Stammdaten!A$73)))))))))</f>
        <v>4.5</v>
      </c>
      <c r="BB34" s="32">
        <f>IF(AY34&lt;Bewertung_Stammdaten!F$64,Bewertung_Stammdaten!E$64,IF(AY34&lt;Bewertung_Stammdaten!F$65,Bewertung_Stammdaten!E$65,IF(AY34&lt;Bewertung_Stammdaten!F$66,Bewertung_Stammdaten!E$66,IF(AY34&lt;Bewertung_Stammdaten!F$67,Bewertung_Stammdaten!E$67,IF(AY34&lt;Bewertung_Stammdaten!F$68,Bewertung_Stammdaten!E$68,IF(AY34&lt;Bewertung_Stammdaten!F$69,Bewertung_Stammdaten!E$69,IF(AY34&lt;Bewertung_Stammdaten!F$70,Bewertung_Stammdaten!E$70,IF(AY34&lt;Bewertung_Stammdaten!F$71,Bewertung_Stammdaten!E$71,IF(AY34&lt;Bewertung_Stammdaten!F$72,Bewertung_Stammdaten!E$72,Bewertung_Stammdaten!E$73)))))))))</f>
        <v>2</v>
      </c>
      <c r="BC34" s="32">
        <f ca="1">IF(AZ34&lt;Bewertung_Stammdaten!J$64,Bewertung_Stammdaten!I$64,IF(AZ34&lt;Bewertung_Stammdaten!J$65,Bewertung_Stammdaten!I$65,IF(AZ34&lt;Bewertung_Stammdaten!J$66,Bewertung_Stammdaten!I$66,IF(AZ34&lt;Bewertung_Stammdaten!J$67,Bewertung_Stammdaten!I$67,IF(AZ34&lt;Bewertung_Stammdaten!J$68,Bewertung_Stammdaten!I$68,IF(AZ34&lt;Bewertung_Stammdaten!J$69,Bewertung_Stammdaten!I$69,IF(AZ34&lt;Bewertung_Stammdaten!J$70,Bewertung_Stammdaten!I$70,IF(AZ34&lt;Bewertung_Stammdaten!J$71,Bewertung_Stammdaten!I$71,IF(AZ34&lt;Bewertung_Stammdaten!J$72,Bewertung_Stammdaten!I$72,Bewertung_Stammdaten!I$73)))))))))</f>
        <v>5</v>
      </c>
      <c r="BD34" s="43"/>
      <c r="BE34" s="12">
        <f>VLOOKUP(A34,Aktien_im_Umlauf_splitbereinigt!A$3:AB$103,28,FALSE)</f>
        <v>-1.0482180293500676E-3</v>
      </c>
      <c r="BF34" s="12">
        <f>VLOOKUP(A34,Aktien_im_Umlauf_splitbereinigt!A$3:AA$103,26,FALSE)</f>
        <v>-3.4603005175032023E-2</v>
      </c>
      <c r="BG34" s="12">
        <f>VLOOKUP(A34,Aktien_im_Umlauf_splitbereinigt!A$3:AA$103,27,FALSE)</f>
        <v>-0.96970731229707141</v>
      </c>
      <c r="BH34" s="41">
        <f>IF(BE34&lt;Bewertung_Stammdaten!B$77,Bewertung_Stammdaten!A$77,IF(BE34&lt;Bewertung_Stammdaten!B$78,Bewertung_Stammdaten!A$78,IF(BE34&lt;Bewertung_Stammdaten!B$79,Bewertung_Stammdaten!A$79,IF(BE34&lt;Bewertung_Stammdaten!B$80,Bewertung_Stammdaten!A$80,IF(BE34&lt;Bewertung_Stammdaten!B$81,Bewertung_Stammdaten!A$81,IF(BE34&lt;Bewertung_Stammdaten!B$82,Bewertung_Stammdaten!A$82,IF(BE34&lt;Bewertung_Stammdaten!B$83,Bewertung_Stammdaten!A$83,IF(BE34&lt;Bewertung_Stammdaten!B$84,Bewertung_Stammdaten!A$84,IF(BE34&lt;Bewertung_Stammdaten!B$85,Bewertung_Stammdaten!A$85,Bewertung_Stammdaten!A$86)))))))))</f>
        <v>3</v>
      </c>
      <c r="BI34" s="41">
        <f>IF(BF34&lt;Bewertung_Stammdaten!F$77,Bewertung_Stammdaten!E$77,IF(BF34&lt;Bewertung_Stammdaten!F$78,Bewertung_Stammdaten!E$78,IF(BF34&lt;Bewertung_Stammdaten!F$79,Bewertung_Stammdaten!E$79,IF(BF34&lt;Bewertung_Stammdaten!F$80,Bewertung_Stammdaten!E$80,IF(BF34&lt;Bewertung_Stammdaten!F$81,Bewertung_Stammdaten!E$81,IF(BF34&lt;Bewertung_Stammdaten!F$82,Bewertung_Stammdaten!E$82,IF(BF34&lt;Bewertung_Stammdaten!F$83,Bewertung_Stammdaten!E$83,IF(BF34&lt;Bewertung_Stammdaten!F$84,Bewertung_Stammdaten!E$84,IF(BF34&lt;Bewertung_Stammdaten!F$85,Bewertung_Stammdaten!E$85,Bewertung_Stammdaten!E$86)))))))))</f>
        <v>9</v>
      </c>
      <c r="BJ34" s="41">
        <f>IF(BG34&lt;Bewertung_Stammdaten!J$77,Bewertung_Stammdaten!I$77,IF(BG34&lt;Bewertung_Stammdaten!J$78,Bewertung_Stammdaten!I$78,IF(BG34&lt;Bewertung_Stammdaten!J$79,Bewertung_Stammdaten!I$79,IF(BG34&lt;Bewertung_Stammdaten!J$80,Bewertung_Stammdaten!I$80,IF(BG34&lt;Bewertung_Stammdaten!J$81,Bewertung_Stammdaten!I$81,IF(BG34&lt;Bewertung_Stammdaten!J$82,Bewertung_Stammdaten!I$82,IF(BG34&lt;Bewertung_Stammdaten!J$83,Bewertung_Stammdaten!I$83,IF(BG34&lt;Bewertung_Stammdaten!J$84,Bewertung_Stammdaten!I$84,IF(BG34&lt;Bewertung_Stammdaten!J$85,Bewertung_Stammdaten!I$85,Bewertung_Stammdaten!I$86)))))))))</f>
        <v>1.5</v>
      </c>
      <c r="BK34" s="43"/>
      <c r="BL34" s="12">
        <f ca="1">VLOOKUP(A34,Ausschüttungsquote!A$3:AL$103,37,FALSE)</f>
        <v>0.21287963278195843</v>
      </c>
      <c r="BM34" s="12">
        <f>VLOOKUP(A34,Ausschüttungsquote!A$3:AL$103,19,FALSE)</f>
        <v>0.47661381852465018</v>
      </c>
      <c r="BN34" s="12">
        <f ca="1">VLOOKUP(A34,Ausschüttungsquote!A$3:AL$103,38,FALSE)</f>
        <v>0.62458701145223916</v>
      </c>
      <c r="BO34" s="32">
        <f ca="1">IF(BL34&lt;Bewertung_Stammdaten!B$90,Bewertung_Stammdaten!A$90,IF(BL34&lt;Bewertung_Stammdaten!B$91,Bewertung_Stammdaten!A$91,IF(BL34&lt;Bewertung_Stammdaten!B$92,Bewertung_Stammdaten!A$92,IF(BL34&lt;Bewertung_Stammdaten!B$93,Bewertung_Stammdaten!A$93,IF(BL34&lt;Bewertung_Stammdaten!B$94,Bewertung_Stammdaten!A$94,IF(BL34&lt;Bewertung_Stammdaten!B$95,Bewertung_Stammdaten!A$95,IF(BL34&lt;Bewertung_Stammdaten!B$96,Bewertung_Stammdaten!A$96,IF(BL34&lt;Bewertung_Stammdaten!B$97,Bewertung_Stammdaten!A$97,IF(BL34&lt;Bewertung_Stammdaten!B$98,Bewertung_Stammdaten!A$98,Bewertung_Stammdaten!A$99)))))))))</f>
        <v>10</v>
      </c>
      <c r="BP34" s="41">
        <f>IF(BM34&lt;Bewertung_Stammdaten!F$90,Bewertung_Stammdaten!E$90,IF(BM34&lt;Bewertung_Stammdaten!F$91,Bewertung_Stammdaten!E$91,IF(BM34&lt;Bewertung_Stammdaten!F$92,Bewertung_Stammdaten!E$92,IF(BM34&lt;Bewertung_Stammdaten!F$93,Bewertung_Stammdaten!E$93,IF(BM34&lt;Bewertung_Stammdaten!F$94,Bewertung_Stammdaten!E$94,IF(BM34&lt;Bewertung_Stammdaten!F$95,Bewertung_Stammdaten!E$95,IF(BM34&lt;Bewertung_Stammdaten!F$96,Bewertung_Stammdaten!E$96,IF(BM34&lt;Bewertung_Stammdaten!F$97,Bewertung_Stammdaten!E$97,IF(BM34&lt;Bewertung_Stammdaten!F$98,Bewertung_Stammdaten!E$98,Bewertung_Stammdaten!E$99)))))))))</f>
        <v>8</v>
      </c>
      <c r="BQ34" s="32">
        <f ca="1">IF(BN34&lt;Bewertung_Stammdaten!J$90,Bewertung_Stammdaten!I$90,IF(BN34&lt;Bewertung_Stammdaten!J$91,Bewertung_Stammdaten!I$91,IF(BN34&lt;Bewertung_Stammdaten!J$92,Bewertung_Stammdaten!I$92,IF(BN34&lt;Bewertung_Stammdaten!J$93,Bewertung_Stammdaten!I$93,IF(BN34&lt;Bewertung_Stammdaten!J$94,Bewertung_Stammdaten!I$94,IF(BN34&lt;Bewertung_Stammdaten!J$95,Bewertung_Stammdaten!I$95,IF(BN34&lt;Bewertung_Stammdaten!J$96,Bewertung_Stammdaten!I$96,IF(BN34&lt;Bewertung_Stammdaten!J$97,Bewertung_Stammdaten!I$97,IF(BN34&lt;Bewertung_Stammdaten!J$98,Bewertung_Stammdaten!I$98,Bewertung_Stammdaten!I$99)))))))))</f>
        <v>1</v>
      </c>
    </row>
    <row r="35" spans="1:69">
      <c r="A35" s="38" t="s">
        <v>83</v>
      </c>
      <c r="B35" s="38" t="s">
        <v>84</v>
      </c>
      <c r="C35" s="38" t="s">
        <v>282</v>
      </c>
      <c r="D35" s="32">
        <f t="shared" ref="D35:D67" ca="1" si="11">SUM(Q35:R35,Z35:AB35,AJ35:AL35,BA35:BC35,BH35:BJ35,BO35:BQ35,AT35:AV35)</f>
        <v>145.5</v>
      </c>
      <c r="E35" s="43"/>
      <c r="F35" s="60">
        <v>1</v>
      </c>
      <c r="G35" s="11">
        <f ca="1">VLOOKUP(A35,KGV!A$3:R$103,17,FALSE)</f>
        <v>20.150236830857686</v>
      </c>
      <c r="H35" s="11">
        <f>VLOOKUP(A35,KGV!A$3:R$103,16,FALSE)</f>
        <v>16.536363636363635</v>
      </c>
      <c r="I35" s="12">
        <f ca="1">VLOOKUP(A35,KGV!A$3:R$103,18,FALSE)</f>
        <v>0.21854098482371942</v>
      </c>
      <c r="J35" s="16">
        <f t="shared" ref="J35:J67" ca="1" si="12">IF(AG35&gt;0,G35,IF(G35/(1+AG35)&lt;0,99,G35/(1+AG35)))</f>
        <v>21.753815887554211</v>
      </c>
      <c r="K35" s="12">
        <f t="shared" ref="K35:K66" ca="1" si="13">(J35/H35)-1</f>
        <v>0.31551387995105196</v>
      </c>
      <c r="L35" s="11">
        <f ca="1">VLOOKUP(A35,KBV!A$3:R$103,17,FALSE)</f>
        <v>5.1883286725410231</v>
      </c>
      <c r="M35" s="11">
        <f>VLOOKUP(A35,KBV!A$3:R$103,16,FALSE)</f>
        <v>6.2709359605911335</v>
      </c>
      <c r="N35" s="12">
        <f ca="1">VLOOKUP(A35,KBV!A$3:R$103,18,FALSE)</f>
        <v>-0.17263886840076381</v>
      </c>
      <c r="O35" s="16">
        <f t="shared" ref="O35:O67" ca="1" si="14">IF(W35&gt;0,L35,IF(L35/(1+W35)&lt;0,99,L35/(1+W35)))</f>
        <v>5.6889568777862101</v>
      </c>
      <c r="P35" s="12">
        <f t="shared" ref="P35:P66" ca="1" si="15">(O35/M35)-1</f>
        <v>-9.280577675522339E-2</v>
      </c>
      <c r="Q35" s="32">
        <f ca="1">IF(F35=1,IF(I35&lt;Bewertung_Stammdaten!B$12,Bewertung_Stammdaten!A$12,IF(I35&lt;Bewertung_Stammdaten!B$13,Bewertung_Stammdaten!A$13,IF(I35&lt;Bewertung_Stammdaten!B$14,Bewertung_Stammdaten!A$14,IF(I35&lt;Bewertung_Stammdaten!B$15,Bewertung_Stammdaten!A$15,IF(I35&lt;Bewertung_Stammdaten!B$16,Bewertung_Stammdaten!A$16,IF(I35&lt;Bewertung_Stammdaten!B$17,Bewertung_Stammdaten!A$17,IF(I35&lt;Bewertung_Stammdaten!B$18,Bewertung_Stammdaten!A$18,IF(I35&lt;Bewertung_Stammdaten!B$19,Bewertung_Stammdaten!A$19,IF(I35&lt;Bewertung_Stammdaten!B$20,Bewertung_Stammdaten!A$20,Bewertung_Stammdaten!A$21))))))))),IF(N35&lt;Bewertung_Stammdaten!C$12,Bewertung_Stammdaten!A$12,IF(N35&lt;Bewertung_Stammdaten!C$13,Bewertung_Stammdaten!A$13,IF(N35&lt;Bewertung_Stammdaten!C$14,Bewertung_Stammdaten!A$14,IF(N35&lt;Bewertung_Stammdaten!C$15,Bewertung_Stammdaten!A$15,IF(N35&lt;Bewertung_Stammdaten!C$16,Bewertung_Stammdaten!A$16,IF(N35&lt;Bewertung_Stammdaten!C$17,Bewertung_Stammdaten!A$17,IF(N35&lt;Bewertung_Stammdaten!C$18,Bewertung_Stammdaten!A$18,IF(N35&lt;Bewertung_Stammdaten!C$19,Bewertung_Stammdaten!A$19,IF(N35&lt;Bewertung_Stammdaten!C$20,Bewertung_Stammdaten!A$20,Bewertung_Stammdaten!A$21))))))))))</f>
        <v>12</v>
      </c>
      <c r="R35" s="32">
        <f ca="1">IF(F35=1,IF(K35&lt;Bewertung_Stammdaten!F$12,Bewertung_Stammdaten!E$12,IF(K35&lt;Bewertung_Stammdaten!F$13,Bewertung_Stammdaten!E$13,IF(K35&lt;Bewertung_Stammdaten!F$14,Bewertung_Stammdaten!E$14,IF(K35&lt;Bewertung_Stammdaten!F$15,Bewertung_Stammdaten!E$15,IF(K35&lt;Bewertung_Stammdaten!F$16,Bewertung_Stammdaten!E$16,IF(K35&lt;Bewertung_Stammdaten!F$17,Bewertung_Stammdaten!E$17,IF(K35&lt;Bewertung_Stammdaten!F$18,Bewertung_Stammdaten!E$18,IF(K35&lt;Bewertung_Stammdaten!F$19,Bewertung_Stammdaten!E$19,IF(K35&lt;Bewertung_Stammdaten!F$20,Bewertung_Stammdaten!E$20,Bewertung_Stammdaten!E$21))))))))),IF(P35&lt;Bewertung_Stammdaten!G$12,Bewertung_Stammdaten!E$12,IF(P35&lt;Bewertung_Stammdaten!G$13,Bewertung_Stammdaten!E$13,IF(P35&lt;Bewertung_Stammdaten!G$14,Bewertung_Stammdaten!E$14,IF(P35&lt;Bewertung_Stammdaten!G$15,Bewertung_Stammdaten!E$15,IF(P35&lt;Bewertung_Stammdaten!G$16,Bewertung_Stammdaten!E$16,IF(P35&lt;Bewertung_Stammdaten!G$17,Bewertung_Stammdaten!E$17,IF(P35&lt;Bewertung_Stammdaten!G$18,Bewertung_Stammdaten!E$18,IF(P35&lt;Bewertung_Stammdaten!G$19,Bewertung_Stammdaten!E$19,IF(P35&lt;Bewertung_Stammdaten!G$20,Bewertung_Stammdaten!E$20,Bewertung_Stammdaten!E$21))))))))))</f>
        <v>7.5</v>
      </c>
      <c r="S35" s="43"/>
      <c r="T35" s="11">
        <f ca="1">VLOOKUP(A35,Buchwert_je_Aktie!A$3:AK$103,23,FALSE)</f>
        <v>3.6851944444444449</v>
      </c>
      <c r="U35" s="11">
        <f>VLOOKUP(A35,Buchwert_je_Aktie!A$3:AK$103,19,FALSE)</f>
        <v>2.2753846153846151</v>
      </c>
      <c r="V35" s="12">
        <f ca="1">VLOOKUP(A35,Buchwert_je_Aktie!A$3:AK$103,24,FALSE)</f>
        <v>0.61959187889715306</v>
      </c>
      <c r="W35" s="12">
        <f>VLOOKUP(A35,Buchwert_je_Aktie!A$3:AK$103,37,FALSE)</f>
        <v>-8.8000000000000078E-2</v>
      </c>
      <c r="X35" s="16">
        <f t="shared" ref="X35:X66" ca="1" si="16">IF(W35&gt;0,T35,IF(T35&lt;0,ABS(T35)*(1+W35),T35*(1+W35)))</f>
        <v>3.3608973333333334</v>
      </c>
      <c r="Y35" s="12">
        <f t="shared" ref="Y35:Y66" ca="1" si="17">IF(U35&gt;0,(X35/U35)-1,-99.99999)</f>
        <v>0.47706779355420359</v>
      </c>
      <c r="Z35" s="51">
        <f ca="1">IF(V35&lt;Bewertung_Stammdaten!B$25,Bewertung_Stammdaten!A$25,IF(V35&lt;Bewertung_Stammdaten!B$26,Bewertung_Stammdaten!A$26,IF(V35&lt;Bewertung_Stammdaten!B$27,Bewertung_Stammdaten!A$27,IF(V35&lt;Bewertung_Stammdaten!B$28,Bewertung_Stammdaten!A$28,IF(V35&lt;Bewertung_Stammdaten!B$29,Bewertung_Stammdaten!A$29,IF(V35&lt;Bewertung_Stammdaten!B$30,Bewertung_Stammdaten!A$30,IF(V35&lt;Bewertung_Stammdaten!B$31,Bewertung_Stammdaten!A$31,IF(V35&lt;Bewertung_Stammdaten!B$32,Bewertung_Stammdaten!A$32,IF(V35&lt;Bewertung_Stammdaten!B$33,Bewertung_Stammdaten!A$33,Bewertung_Stammdaten!A$34)))))))))</f>
        <v>13.5</v>
      </c>
      <c r="AA35" s="51">
        <f>IF(W35&lt;Bewertung_Stammdaten!F$25,Bewertung_Stammdaten!E$25,IF(W35&lt;Bewertung_Stammdaten!F$26,Bewertung_Stammdaten!E$26,IF(W35&lt;Bewertung_Stammdaten!F$27,Bewertung_Stammdaten!E$27,IF(W35&lt;Bewertung_Stammdaten!F$28,Bewertung_Stammdaten!E$28,IF(W35&lt;Bewertung_Stammdaten!F$29,Bewertung_Stammdaten!E$29,IF(W35&lt;Bewertung_Stammdaten!F$30,Bewertung_Stammdaten!E$30,IF(W35&lt;Bewertung_Stammdaten!F$31,Bewertung_Stammdaten!E$31,IF(W35&lt;Bewertung_Stammdaten!F$32,Bewertung_Stammdaten!E$32,IF(W35&lt;Bewertung_Stammdaten!F$33,Bewertung_Stammdaten!E$33,Bewertung_Stammdaten!E$34)))))))))</f>
        <v>9</v>
      </c>
      <c r="AB35" s="51">
        <f ca="1">IF(Y35&lt;Bewertung_Stammdaten!J$25,Bewertung_Stammdaten!I$25,IF(Y35&lt;Bewertung_Stammdaten!J$26,Bewertung_Stammdaten!I$26,IF(Y35&lt;Bewertung_Stammdaten!J$27,Bewertung_Stammdaten!I$27,IF(Y35&lt;Bewertung_Stammdaten!J$28,Bewertung_Stammdaten!I$28,IF(Y35&lt;Bewertung_Stammdaten!J$29,Bewertung_Stammdaten!I$29,IF(Y35&lt;Bewertung_Stammdaten!J$30,Bewertung_Stammdaten!I$30,IF(Y35&lt;Bewertung_Stammdaten!J$31,Bewertung_Stammdaten!I$31,IF(Y35&lt;Bewertung_Stammdaten!J$32,Bewertung_Stammdaten!I$32,IF(Y35&lt;Bewertung_Stammdaten!J$33,Bewertung_Stammdaten!I$33,Bewertung_Stammdaten!I$34)))))))))</f>
        <v>7</v>
      </c>
      <c r="AC35" s="43"/>
      <c r="AD35" s="14">
        <f ca="1">VLOOKUP(A35,Ergebnis_je_Aktie_verwässert!A$3:AK$103,23,FALSE)</f>
        <v>0.94887222222222223</v>
      </c>
      <c r="AE35" s="14">
        <f>VLOOKUP(A35,Ergebnis_je_Aktie_verwässert!A$3:AK$103,19,FALSE)</f>
        <v>0.81015384615384634</v>
      </c>
      <c r="AF35" s="12">
        <f ca="1">VLOOKUP(A35,Ergebnis_je_Aktie_verwässert!A$3:AK$103,24,FALSE)</f>
        <v>0.17122473308857633</v>
      </c>
      <c r="AG35" s="40">
        <f>VLOOKUP(A35,Ergebnis_je_Aktie_verwässert!A$3:AK$103,37,FALSE)</f>
        <v>-7.3714839961202649E-2</v>
      </c>
      <c r="AH35" s="16">
        <f t="shared" ref="AH35:AH66" ca="1" si="18">IF(AG35&gt;0,AD35,AD35*(1+AG35))</f>
        <v>0.87892625821748038</v>
      </c>
      <c r="AI35" s="12">
        <f t="shared" ref="AI35:AI66" ca="1" si="19">IF(AE35&gt;0,(AH35/AE35)-1,-99.99999)</f>
        <v>8.4888089330349636E-2</v>
      </c>
      <c r="AJ35" s="32">
        <f ca="1">IF(AF35&lt;Bewertung_Stammdaten!B$38,Bewertung_Stammdaten!A$38,IF(AF35&lt;Bewertung_Stammdaten!B$39,Bewertung_Stammdaten!A$39,IF(AF35&lt;Bewertung_Stammdaten!B$40,Bewertung_Stammdaten!A$40,IF(AF35&lt;Bewertung_Stammdaten!B$41,Bewertung_Stammdaten!A$41,IF(AF35&lt;Bewertung_Stammdaten!B$42,Bewertung_Stammdaten!A$42,IF(AF35&lt;Bewertung_Stammdaten!B$43,Bewertung_Stammdaten!A$43,IF(AF35&lt;Bewertung_Stammdaten!B$44,Bewertung_Stammdaten!A$44,IF(AF35&lt;Bewertung_Stammdaten!B$45,Bewertung_Stammdaten!A$45,IF(AF35&lt;Bewertung_Stammdaten!B$46,Bewertung_Stammdaten!A$46,Bewertung_Stammdaten!A$47)))))))))</f>
        <v>10</v>
      </c>
      <c r="AK35" s="32">
        <f>IF(AG35&lt;Bewertung_Stammdaten!F$38,Bewertung_Stammdaten!E$38,IF(AG35&lt;Bewertung_Stammdaten!F$39,Bewertung_Stammdaten!E$39,IF(AG35&lt;Bewertung_Stammdaten!F$40,Bewertung_Stammdaten!E$40,IF(AG35&lt;Bewertung_Stammdaten!F$41,Bewertung_Stammdaten!E$41,IF(AG35&lt;Bewertung_Stammdaten!F$42,Bewertung_Stammdaten!E$42,IF(AG35&lt;Bewertung_Stammdaten!F$43,Bewertung_Stammdaten!E$43,IF(AG35&lt;Bewertung_Stammdaten!F$44,Bewertung_Stammdaten!E$44,IF(AG35&lt;Bewertung_Stammdaten!F$45,Bewertung_Stammdaten!E$45,IF(AG35&lt;Bewertung_Stammdaten!F$46,Bewertung_Stammdaten!E$46,Bewertung_Stammdaten!E$47)))))))))</f>
        <v>10.5</v>
      </c>
      <c r="AL35" s="32">
        <f ca="1">IF(AI35&lt;Bewertung_Stammdaten!J$38,Bewertung_Stammdaten!I$38,IF(AI35&lt;Bewertung_Stammdaten!J$39,Bewertung_Stammdaten!I$39,IF(AI35&lt;Bewertung_Stammdaten!J$40,Bewertung_Stammdaten!I$40,IF(AI35&lt;Bewertung_Stammdaten!J$41,Bewertung_Stammdaten!I$41,IF(AI35&lt;Bewertung_Stammdaten!J$42,Bewertung_Stammdaten!I$42,IF(AI35&lt;Bewertung_Stammdaten!J$43,Bewertung_Stammdaten!I$43,IF(AI35&lt;Bewertung_Stammdaten!J$44,Bewertung_Stammdaten!I$44,IF(AI35&lt;Bewertung_Stammdaten!J$45,Bewertung_Stammdaten!I$45,IF(AI35&lt;Bewertung_Stammdaten!J$46,Bewertung_Stammdaten!I$46,Bewertung_Stammdaten!I$47)))))))))</f>
        <v>5</v>
      </c>
      <c r="AM35" s="43"/>
      <c r="AN35" s="14">
        <f ca="1">VLOOKUP(A35,Dividende_je_Aktie!A$3:AM$103,24,FALSE)</f>
        <v>0.61468888888888884</v>
      </c>
      <c r="AO35" s="14">
        <f>VLOOKUP(A35,Dividende_je_Aktie!A$3:AM$103,20,FALSE)</f>
        <v>0.44849999999999995</v>
      </c>
      <c r="AP35" s="12">
        <f ca="1">VLOOKUP(A35,Dividende_je_Aktie!A$3:AM$103,25,FALSE)</f>
        <v>0.37054378793509235</v>
      </c>
      <c r="AQ35" s="40">
        <f>VLOOKUP(A35,Dividende_je_Aktie!A$3:AM$103,39,FALSE)</f>
        <v>4.4326241134751809E-2</v>
      </c>
      <c r="AR35" s="16">
        <f t="shared" ref="AR35:AR66" ca="1" si="20">IF(AQ35&gt;0,AN35,AN35*(1+AQ35))</f>
        <v>0.61468888888888884</v>
      </c>
      <c r="AS35" s="12">
        <f t="shared" ref="AS35:AS66" ca="1" si="21">IF(AO35&gt;0,(AR35/AO35)-1,-99.99999)</f>
        <v>0.37054378793509235</v>
      </c>
      <c r="AT35" s="32">
        <f ca="1">IF(AP35&lt;Bewertung_Stammdaten!B$51,Bewertung_Stammdaten!A$51,IF(AP35&lt;Bewertung_Stammdaten!B$52,Bewertung_Stammdaten!A$52,IF(AP35&lt;Bewertung_Stammdaten!B$53,Bewertung_Stammdaten!A$53,IF(AP35&lt;Bewertung_Stammdaten!B$54,Bewertung_Stammdaten!A$54,IF(AP35&lt;Bewertung_Stammdaten!B$55,Bewertung_Stammdaten!A$55,IF(AP35&lt;Bewertung_Stammdaten!B$56,Bewertung_Stammdaten!A$56,IF(AP35&lt;Bewertung_Stammdaten!B$57,Bewertung_Stammdaten!A$57,IF(AP35&lt;Bewertung_Stammdaten!B$58,Bewertung_Stammdaten!A$58,IF(AP35&lt;Bewertung_Stammdaten!B$59,Bewertung_Stammdaten!A$59,Bewertung_Stammdaten!A$60)))))))))</f>
        <v>12</v>
      </c>
      <c r="AU35" s="32">
        <f>IF(AQ35&lt;Bewertung_Stammdaten!F$51,Bewertung_Stammdaten!E$51,IF(AQ35&lt;Bewertung_Stammdaten!F$52,Bewertung_Stammdaten!E$52,IF(AQ35&lt;Bewertung_Stammdaten!F$53,Bewertung_Stammdaten!E$53,IF(AQ35&lt;Bewertung_Stammdaten!F$54,Bewertung_Stammdaten!E$54,IF(AQ35&lt;Bewertung_Stammdaten!F$55,Bewertung_Stammdaten!E$55,IF(AQ35&lt;Bewertung_Stammdaten!F$56,Bewertung_Stammdaten!E$56,IF(AQ35&lt;Bewertung_Stammdaten!F$57,Bewertung_Stammdaten!E$57,IF(AQ35&lt;Bewertung_Stammdaten!F$58,Bewertung_Stammdaten!E$58,IF(AQ35&lt;Bewertung_Stammdaten!F$59,Bewertung_Stammdaten!E$59,Bewertung_Stammdaten!E$60)))))))))</f>
        <v>12</v>
      </c>
      <c r="AV35" s="32">
        <f ca="1">IF(AS35&lt;Bewertung_Stammdaten!J$51,Bewertung_Stammdaten!I$51,IF(AS35&lt;Bewertung_Stammdaten!J$52,Bewertung_Stammdaten!I$52,IF(AS35&lt;Bewertung_Stammdaten!J$53,Bewertung_Stammdaten!I$53,IF(AS35&lt;Bewertung_Stammdaten!J$54,Bewertung_Stammdaten!I$54,IF(AS35&lt;Bewertung_Stammdaten!J$55,Bewertung_Stammdaten!I$55,IF(AS35&lt;Bewertung_Stammdaten!J$56,Bewertung_Stammdaten!I$56,IF(AS35&lt;Bewertung_Stammdaten!J$57,Bewertung_Stammdaten!I$57,IF(AS35&lt;Bewertung_Stammdaten!J$58,Bewertung_Stammdaten!I$58,IF(AS35&lt;Bewertung_Stammdaten!J$59,Bewertung_Stammdaten!I$59,Bewertung_Stammdaten!I$60)))))))))</f>
        <v>8</v>
      </c>
      <c r="AW35" s="43"/>
      <c r="AX35" s="12">
        <f ca="1">VLOOKUP(A35,Dividendenrendite!A$3:R$103,17,FALSE)</f>
        <v>3.2149000464900039E-2</v>
      </c>
      <c r="AY35" s="12">
        <f>VLOOKUP(A35,Dividendenrendite!A$3:R$103,16,FALSE)</f>
        <v>3.2403225644804627E-2</v>
      </c>
      <c r="AZ35" s="12">
        <f ca="1">VLOOKUP(A35,Dividendenrendite!A$3:R$103,18,FALSE)</f>
        <v>-7.8456750785040885E-3</v>
      </c>
      <c r="BA35" s="32">
        <f ca="1">IF(AX35&lt;Bewertung_Stammdaten!B$64,Bewertung_Stammdaten!A$64,IF(AX35&lt;Bewertung_Stammdaten!B$65,Bewertung_Stammdaten!A$65,IF(AX35&lt;Bewertung_Stammdaten!B$66,Bewertung_Stammdaten!A$66,IF(AX35&lt;Bewertung_Stammdaten!B$67,Bewertung_Stammdaten!A$67,IF(AX35&lt;Bewertung_Stammdaten!B$68,Bewertung_Stammdaten!A$68,IF(AX35&lt;Bewertung_Stammdaten!B$69,Bewertung_Stammdaten!A$69,IF(AX35&lt;Bewertung_Stammdaten!B$70,Bewertung_Stammdaten!A$70,IF(AX35&lt;Bewertung_Stammdaten!B$71,Bewertung_Stammdaten!A$71,IF(AX35&lt;Bewertung_Stammdaten!B$72,Bewertung_Stammdaten!A$72,Bewertung_Stammdaten!A$73)))))))))</f>
        <v>10.5</v>
      </c>
      <c r="BB35" s="32">
        <f>IF(AY35&lt;Bewertung_Stammdaten!F$64,Bewertung_Stammdaten!E$64,IF(AY35&lt;Bewertung_Stammdaten!F$65,Bewertung_Stammdaten!E$65,IF(AY35&lt;Bewertung_Stammdaten!F$66,Bewertung_Stammdaten!E$66,IF(AY35&lt;Bewertung_Stammdaten!F$67,Bewertung_Stammdaten!E$67,IF(AY35&lt;Bewertung_Stammdaten!F$68,Bewertung_Stammdaten!E$68,IF(AY35&lt;Bewertung_Stammdaten!F$69,Bewertung_Stammdaten!E$69,IF(AY35&lt;Bewertung_Stammdaten!F$70,Bewertung_Stammdaten!E$70,IF(AY35&lt;Bewertung_Stammdaten!F$71,Bewertung_Stammdaten!E$71,IF(AY35&lt;Bewertung_Stammdaten!F$72,Bewertung_Stammdaten!E$72,Bewertung_Stammdaten!E$73)))))))))</f>
        <v>7</v>
      </c>
      <c r="BC35" s="32">
        <f ca="1">IF(AZ35&lt;Bewertung_Stammdaten!J$64,Bewertung_Stammdaten!I$64,IF(AZ35&lt;Bewertung_Stammdaten!J$65,Bewertung_Stammdaten!I$65,IF(AZ35&lt;Bewertung_Stammdaten!J$66,Bewertung_Stammdaten!I$66,IF(AZ35&lt;Bewertung_Stammdaten!J$67,Bewertung_Stammdaten!I$67,IF(AZ35&lt;Bewertung_Stammdaten!J$68,Bewertung_Stammdaten!I$68,IF(AZ35&lt;Bewertung_Stammdaten!J$69,Bewertung_Stammdaten!I$69,IF(AZ35&lt;Bewertung_Stammdaten!J$70,Bewertung_Stammdaten!I$70,IF(AZ35&lt;Bewertung_Stammdaten!J$71,Bewertung_Stammdaten!I$71,IF(AZ35&lt;Bewertung_Stammdaten!J$72,Bewertung_Stammdaten!I$72,Bewertung_Stammdaten!I$73)))))))))</f>
        <v>2.5</v>
      </c>
      <c r="BD35" s="43"/>
      <c r="BE35" s="12">
        <f>VLOOKUP(A35,Aktien_im_Umlauf_splitbereinigt!A$3:AB$103,28,FALSE)</f>
        <v>0</v>
      </c>
      <c r="BF35" s="12">
        <f>VLOOKUP(A35,Aktien_im_Umlauf_splitbereinigt!A$3:AA$103,26,FALSE)</f>
        <v>-1.0326157913177991E-2</v>
      </c>
      <c r="BG35" s="12">
        <f>VLOOKUP(A35,Aktien_im_Umlauf_splitbereinigt!A$3:AA$103,27,FALSE)</f>
        <v>-1</v>
      </c>
      <c r="BH35" s="41">
        <f>IF(BE35&lt;Bewertung_Stammdaten!B$77,Bewertung_Stammdaten!A$77,IF(BE35&lt;Bewertung_Stammdaten!B$78,Bewertung_Stammdaten!A$78,IF(BE35&lt;Bewertung_Stammdaten!B$79,Bewertung_Stammdaten!A$79,IF(BE35&lt;Bewertung_Stammdaten!B$80,Bewertung_Stammdaten!A$80,IF(BE35&lt;Bewertung_Stammdaten!B$81,Bewertung_Stammdaten!A$81,IF(BE35&lt;Bewertung_Stammdaten!B$82,Bewertung_Stammdaten!A$82,IF(BE35&lt;Bewertung_Stammdaten!B$83,Bewertung_Stammdaten!A$83,IF(BE35&lt;Bewertung_Stammdaten!B$84,Bewertung_Stammdaten!A$84,IF(BE35&lt;Bewertung_Stammdaten!B$85,Bewertung_Stammdaten!A$85,Bewertung_Stammdaten!A$86)))))))))</f>
        <v>2</v>
      </c>
      <c r="BI35" s="41">
        <f>IF(BF35&lt;Bewertung_Stammdaten!F$77,Bewertung_Stammdaten!E$77,IF(BF35&lt;Bewertung_Stammdaten!F$78,Bewertung_Stammdaten!E$78,IF(BF35&lt;Bewertung_Stammdaten!F$79,Bewertung_Stammdaten!E$79,IF(BF35&lt;Bewertung_Stammdaten!F$80,Bewertung_Stammdaten!E$80,IF(BF35&lt;Bewertung_Stammdaten!F$81,Bewertung_Stammdaten!E$81,IF(BF35&lt;Bewertung_Stammdaten!F$82,Bewertung_Stammdaten!E$82,IF(BF35&lt;Bewertung_Stammdaten!F$83,Bewertung_Stammdaten!E$83,IF(BF35&lt;Bewertung_Stammdaten!F$84,Bewertung_Stammdaten!E$84,IF(BF35&lt;Bewertung_Stammdaten!F$85,Bewertung_Stammdaten!E$85,Bewertung_Stammdaten!E$86)))))))))</f>
        <v>5</v>
      </c>
      <c r="BJ35" s="41">
        <f>IF(BG35&lt;Bewertung_Stammdaten!J$77,Bewertung_Stammdaten!I$77,IF(BG35&lt;Bewertung_Stammdaten!J$78,Bewertung_Stammdaten!I$78,IF(BG35&lt;Bewertung_Stammdaten!J$79,Bewertung_Stammdaten!I$79,IF(BG35&lt;Bewertung_Stammdaten!J$80,Bewertung_Stammdaten!I$80,IF(BG35&lt;Bewertung_Stammdaten!J$81,Bewertung_Stammdaten!I$81,IF(BG35&lt;Bewertung_Stammdaten!J$82,Bewertung_Stammdaten!I$82,IF(BG35&lt;Bewertung_Stammdaten!J$83,Bewertung_Stammdaten!I$83,IF(BG35&lt;Bewertung_Stammdaten!J$84,Bewertung_Stammdaten!I$84,IF(BG35&lt;Bewertung_Stammdaten!J$85,Bewertung_Stammdaten!I$85,Bewertung_Stammdaten!I$86)))))))))</f>
        <v>1</v>
      </c>
      <c r="BK35" s="43"/>
      <c r="BL35" s="12">
        <f ca="1">VLOOKUP(A35,Ausschüttungsquote!A$3:AL$103,37,FALSE)</f>
        <v>0.64773949748789117</v>
      </c>
      <c r="BM35" s="12">
        <f>VLOOKUP(A35,Ausschüttungsquote!A$3:AL$103,19,FALSE)</f>
        <v>0.71679780832763818</v>
      </c>
      <c r="BN35" s="12">
        <f ca="1">VLOOKUP(A35,Ausschüttungsquote!A$3:AL$103,38,FALSE)</f>
        <v>0.13653981620056443</v>
      </c>
      <c r="BO35" s="32">
        <f ca="1">IF(BL35&lt;Bewertung_Stammdaten!B$90,Bewertung_Stammdaten!A$90,IF(BL35&lt;Bewertung_Stammdaten!B$91,Bewertung_Stammdaten!A$91,IF(BL35&lt;Bewertung_Stammdaten!B$92,Bewertung_Stammdaten!A$92,IF(BL35&lt;Bewertung_Stammdaten!B$93,Bewertung_Stammdaten!A$93,IF(BL35&lt;Bewertung_Stammdaten!B$94,Bewertung_Stammdaten!A$94,IF(BL35&lt;Bewertung_Stammdaten!B$95,Bewertung_Stammdaten!A$95,IF(BL35&lt;Bewertung_Stammdaten!B$96,Bewertung_Stammdaten!A$96,IF(BL35&lt;Bewertung_Stammdaten!B$97,Bewertung_Stammdaten!A$97,IF(BL35&lt;Bewertung_Stammdaten!B$98,Bewertung_Stammdaten!A$98,Bewertung_Stammdaten!A$99)))))))))</f>
        <v>5</v>
      </c>
      <c r="BP35" s="41">
        <f>IF(BM35&lt;Bewertung_Stammdaten!F$90,Bewertung_Stammdaten!E$90,IF(BM35&lt;Bewertung_Stammdaten!F$91,Bewertung_Stammdaten!E$91,IF(BM35&lt;Bewertung_Stammdaten!F$92,Bewertung_Stammdaten!E$92,IF(BM35&lt;Bewertung_Stammdaten!F$93,Bewertung_Stammdaten!E$93,IF(BM35&lt;Bewertung_Stammdaten!F$94,Bewertung_Stammdaten!E$94,IF(BM35&lt;Bewertung_Stammdaten!F$95,Bewertung_Stammdaten!E$95,IF(BM35&lt;Bewertung_Stammdaten!F$96,Bewertung_Stammdaten!E$96,IF(BM35&lt;Bewertung_Stammdaten!F$97,Bewertung_Stammdaten!E$97,IF(BM35&lt;Bewertung_Stammdaten!F$98,Bewertung_Stammdaten!E$98,Bewertung_Stammdaten!E$99)))))))))</f>
        <v>3</v>
      </c>
      <c r="BQ35" s="32">
        <f ca="1">IF(BN35&lt;Bewertung_Stammdaten!J$90,Bewertung_Stammdaten!I$90,IF(BN35&lt;Bewertung_Stammdaten!J$91,Bewertung_Stammdaten!I$91,IF(BN35&lt;Bewertung_Stammdaten!J$92,Bewertung_Stammdaten!I$92,IF(BN35&lt;Bewertung_Stammdaten!J$93,Bewertung_Stammdaten!I$93,IF(BN35&lt;Bewertung_Stammdaten!J$94,Bewertung_Stammdaten!I$94,IF(BN35&lt;Bewertung_Stammdaten!J$95,Bewertung_Stammdaten!I$95,IF(BN35&lt;Bewertung_Stammdaten!J$96,Bewertung_Stammdaten!I$96,IF(BN35&lt;Bewertung_Stammdaten!J$97,Bewertung_Stammdaten!I$97,IF(BN35&lt;Bewertung_Stammdaten!J$98,Bewertung_Stammdaten!I$98,Bewertung_Stammdaten!I$99)))))))))</f>
        <v>3</v>
      </c>
    </row>
    <row r="36" spans="1:69">
      <c r="A36" s="38" t="s">
        <v>36</v>
      </c>
      <c r="B36" s="38" t="s">
        <v>37</v>
      </c>
      <c r="C36" s="38" t="s">
        <v>283</v>
      </c>
      <c r="D36" s="32">
        <f t="shared" ca="1" si="11"/>
        <v>142</v>
      </c>
      <c r="E36" s="43"/>
      <c r="F36" s="60">
        <v>1</v>
      </c>
      <c r="G36" s="11">
        <f ca="1">VLOOKUP(A36,KGV!A$3:R$103,17,FALSE)</f>
        <v>20.432194616977227</v>
      </c>
      <c r="H36" s="11">
        <f>VLOOKUP(A36,KGV!A$3:R$103,16,FALSE)</f>
        <v>17.253246753246753</v>
      </c>
      <c r="I36" s="12">
        <f ca="1">VLOOKUP(A36,KGV!A$3:R$103,18,FALSE)</f>
        <v>0.18425215318573329</v>
      </c>
      <c r="J36" s="16">
        <f t="shared" ca="1" si="12"/>
        <v>22.120805742347248</v>
      </c>
      <c r="K36" s="12">
        <f t="shared" ca="1" si="13"/>
        <v>0.28212423196141367</v>
      </c>
      <c r="L36" s="11">
        <f ca="1">VLOOKUP(A36,KBV!A$3:R$103,17,FALSE)</f>
        <v>6.5769743418860394</v>
      </c>
      <c r="M36" s="11">
        <f>VLOOKUP(A36,KBV!A$3:R$103,16,FALSE)</f>
        <v>5.6880403458213253</v>
      </c>
      <c r="N36" s="12">
        <f ca="1">VLOOKUP(A36,KBV!A$3:R$103,18,FALSE)</f>
        <v>0.15628123958680473</v>
      </c>
      <c r="O36" s="16">
        <f t="shared" ca="1" si="14"/>
        <v>8.18159759999679</v>
      </c>
      <c r="P36" s="12">
        <f t="shared" ca="1" si="15"/>
        <v>0.43838599984744087</v>
      </c>
      <c r="Q36" s="32">
        <f ca="1">IF(F36=1,IF(I36&lt;Bewertung_Stammdaten!B$12,Bewertung_Stammdaten!A$12,IF(I36&lt;Bewertung_Stammdaten!B$13,Bewertung_Stammdaten!A$13,IF(I36&lt;Bewertung_Stammdaten!B$14,Bewertung_Stammdaten!A$14,IF(I36&lt;Bewertung_Stammdaten!B$15,Bewertung_Stammdaten!A$15,IF(I36&lt;Bewertung_Stammdaten!B$16,Bewertung_Stammdaten!A$16,IF(I36&lt;Bewertung_Stammdaten!B$17,Bewertung_Stammdaten!A$17,IF(I36&lt;Bewertung_Stammdaten!B$18,Bewertung_Stammdaten!A$18,IF(I36&lt;Bewertung_Stammdaten!B$19,Bewertung_Stammdaten!A$19,IF(I36&lt;Bewertung_Stammdaten!B$20,Bewertung_Stammdaten!A$20,Bewertung_Stammdaten!A$21))))))))),IF(N36&lt;Bewertung_Stammdaten!C$12,Bewertung_Stammdaten!A$12,IF(N36&lt;Bewertung_Stammdaten!C$13,Bewertung_Stammdaten!A$13,IF(N36&lt;Bewertung_Stammdaten!C$14,Bewertung_Stammdaten!A$14,IF(N36&lt;Bewertung_Stammdaten!C$15,Bewertung_Stammdaten!A$15,IF(N36&lt;Bewertung_Stammdaten!C$16,Bewertung_Stammdaten!A$16,IF(N36&lt;Bewertung_Stammdaten!C$17,Bewertung_Stammdaten!A$17,IF(N36&lt;Bewertung_Stammdaten!C$18,Bewertung_Stammdaten!A$18,IF(N36&lt;Bewertung_Stammdaten!C$19,Bewertung_Stammdaten!A$19,IF(N36&lt;Bewertung_Stammdaten!C$20,Bewertung_Stammdaten!A$20,Bewertung_Stammdaten!A$21))))))))))</f>
        <v>18</v>
      </c>
      <c r="R36" s="32">
        <f ca="1">IF(F36=1,IF(K36&lt;Bewertung_Stammdaten!F$12,Bewertung_Stammdaten!E$12,IF(K36&lt;Bewertung_Stammdaten!F$13,Bewertung_Stammdaten!E$13,IF(K36&lt;Bewertung_Stammdaten!F$14,Bewertung_Stammdaten!E$14,IF(K36&lt;Bewertung_Stammdaten!F$15,Bewertung_Stammdaten!E$15,IF(K36&lt;Bewertung_Stammdaten!F$16,Bewertung_Stammdaten!E$16,IF(K36&lt;Bewertung_Stammdaten!F$17,Bewertung_Stammdaten!E$17,IF(K36&lt;Bewertung_Stammdaten!F$18,Bewertung_Stammdaten!E$18,IF(K36&lt;Bewertung_Stammdaten!F$19,Bewertung_Stammdaten!E$19,IF(K36&lt;Bewertung_Stammdaten!F$20,Bewertung_Stammdaten!E$20,Bewertung_Stammdaten!E$21))))))))),IF(P36&lt;Bewertung_Stammdaten!G$12,Bewertung_Stammdaten!E$12,IF(P36&lt;Bewertung_Stammdaten!G$13,Bewertung_Stammdaten!E$13,IF(P36&lt;Bewertung_Stammdaten!G$14,Bewertung_Stammdaten!E$14,IF(P36&lt;Bewertung_Stammdaten!G$15,Bewertung_Stammdaten!E$15,IF(P36&lt;Bewertung_Stammdaten!G$16,Bewertung_Stammdaten!E$16,IF(P36&lt;Bewertung_Stammdaten!G$17,Bewertung_Stammdaten!E$17,IF(P36&lt;Bewertung_Stammdaten!G$18,Bewertung_Stammdaten!E$18,IF(P36&lt;Bewertung_Stammdaten!G$19,Bewertung_Stammdaten!E$19,IF(P36&lt;Bewertung_Stammdaten!G$20,Bewertung_Stammdaten!E$20,Bewertung_Stammdaten!E$21))))))))))</f>
        <v>10</v>
      </c>
      <c r="S36" s="43"/>
      <c r="T36" s="11">
        <f ca="1">VLOOKUP(A36,Buchwert_je_Aktie!A$3:AK$103,23,FALSE)</f>
        <v>6.0019999999999989</v>
      </c>
      <c r="U36" s="11">
        <f>VLOOKUP(A36,Buchwert_je_Aktie!A$3:AK$103,19,FALSE)</f>
        <v>4.8869230769230763</v>
      </c>
      <c r="V36" s="12">
        <f ca="1">VLOOKUP(A36,Buchwert_je_Aktie!A$3:AK$103,24,FALSE)</f>
        <v>0.22817566504013853</v>
      </c>
      <c r="W36" s="12">
        <f>VLOOKUP(A36,Buchwert_je_Aktie!A$3:AK$103,37,FALSE)</f>
        <v>-0.19612590799031482</v>
      </c>
      <c r="X36" s="16">
        <f t="shared" ca="1" si="16"/>
        <v>4.8248523002421297</v>
      </c>
      <c r="Y36" s="12">
        <f t="shared" ca="1" si="17"/>
        <v>-1.2701402437467424E-2</v>
      </c>
      <c r="Z36" s="51">
        <f ca="1">IF(V36&lt;Bewertung_Stammdaten!B$25,Bewertung_Stammdaten!A$25,IF(V36&lt;Bewertung_Stammdaten!B$26,Bewertung_Stammdaten!A$26,IF(V36&lt;Bewertung_Stammdaten!B$27,Bewertung_Stammdaten!A$27,IF(V36&lt;Bewertung_Stammdaten!B$28,Bewertung_Stammdaten!A$28,IF(V36&lt;Bewertung_Stammdaten!B$29,Bewertung_Stammdaten!A$29,IF(V36&lt;Bewertung_Stammdaten!B$30,Bewertung_Stammdaten!A$30,IF(V36&lt;Bewertung_Stammdaten!B$31,Bewertung_Stammdaten!A$31,IF(V36&lt;Bewertung_Stammdaten!B$32,Bewertung_Stammdaten!A$32,IF(V36&lt;Bewertung_Stammdaten!B$33,Bewertung_Stammdaten!A$33,Bewertung_Stammdaten!A$34)))))))))</f>
        <v>7.5</v>
      </c>
      <c r="AA36" s="51">
        <f>IF(W36&lt;Bewertung_Stammdaten!F$25,Bewertung_Stammdaten!E$25,IF(W36&lt;Bewertung_Stammdaten!F$26,Bewertung_Stammdaten!E$26,IF(W36&lt;Bewertung_Stammdaten!F$27,Bewertung_Stammdaten!E$27,IF(W36&lt;Bewertung_Stammdaten!F$28,Bewertung_Stammdaten!E$28,IF(W36&lt;Bewertung_Stammdaten!F$29,Bewertung_Stammdaten!E$29,IF(W36&lt;Bewertung_Stammdaten!F$30,Bewertung_Stammdaten!E$30,IF(W36&lt;Bewertung_Stammdaten!F$31,Bewertung_Stammdaten!E$31,IF(W36&lt;Bewertung_Stammdaten!F$32,Bewertung_Stammdaten!E$32,IF(W36&lt;Bewertung_Stammdaten!F$33,Bewertung_Stammdaten!E$33,Bewertung_Stammdaten!E$34)))))))))</f>
        <v>6</v>
      </c>
      <c r="AB36" s="51">
        <f ca="1">IF(Y36&lt;Bewertung_Stammdaten!J$25,Bewertung_Stammdaten!I$25,IF(Y36&lt;Bewertung_Stammdaten!J$26,Bewertung_Stammdaten!I$26,IF(Y36&lt;Bewertung_Stammdaten!J$27,Bewertung_Stammdaten!I$27,IF(Y36&lt;Bewertung_Stammdaten!J$28,Bewertung_Stammdaten!I$28,IF(Y36&lt;Bewertung_Stammdaten!J$29,Bewertung_Stammdaten!I$29,IF(Y36&lt;Bewertung_Stammdaten!J$30,Bewertung_Stammdaten!I$30,IF(Y36&lt;Bewertung_Stammdaten!J$31,Bewertung_Stammdaten!I$31,IF(Y36&lt;Bewertung_Stammdaten!J$32,Bewertung_Stammdaten!I$32,IF(Y36&lt;Bewertung_Stammdaten!J$33,Bewertung_Stammdaten!I$33,Bewertung_Stammdaten!I$34)))))))))</f>
        <v>2</v>
      </c>
      <c r="AC36" s="43"/>
      <c r="AD36" s="14">
        <f ca="1">VLOOKUP(A36,Ergebnis_je_Aktie_verwässert!A$3:AK$103,23,FALSE)</f>
        <v>1.9319999999999999</v>
      </c>
      <c r="AE36" s="14">
        <f>VLOOKUP(A36,Ergebnis_je_Aktie_verwässert!A$3:AK$103,19,FALSE)</f>
        <v>1.5822307692307691</v>
      </c>
      <c r="AF36" s="12">
        <f ca="1">VLOOKUP(A36,Ergebnis_je_Aktie_verwässert!A$3:AK$103,24,FALSE)</f>
        <v>0.22106081968010116</v>
      </c>
      <c r="AG36" s="40">
        <f>VLOOKUP(A36,Ergebnis_je_Aktie_verwässert!A$3:AK$103,37,FALSE)</f>
        <v>-7.6335877862595436E-2</v>
      </c>
      <c r="AH36" s="16">
        <f t="shared" ca="1" si="18"/>
        <v>1.7845190839694656</v>
      </c>
      <c r="AI36" s="12">
        <f t="shared" ca="1" si="19"/>
        <v>0.12785007008620042</v>
      </c>
      <c r="AJ36" s="32">
        <f ca="1">IF(AF36&lt;Bewertung_Stammdaten!B$38,Bewertung_Stammdaten!A$38,IF(AF36&lt;Bewertung_Stammdaten!B$39,Bewertung_Stammdaten!A$39,IF(AF36&lt;Bewertung_Stammdaten!B$40,Bewertung_Stammdaten!A$40,IF(AF36&lt;Bewertung_Stammdaten!B$41,Bewertung_Stammdaten!A$41,IF(AF36&lt;Bewertung_Stammdaten!B$42,Bewertung_Stammdaten!A$42,IF(AF36&lt;Bewertung_Stammdaten!B$43,Bewertung_Stammdaten!A$43,IF(AF36&lt;Bewertung_Stammdaten!B$44,Bewertung_Stammdaten!A$44,IF(AF36&lt;Bewertung_Stammdaten!B$45,Bewertung_Stammdaten!A$45,IF(AF36&lt;Bewertung_Stammdaten!B$46,Bewertung_Stammdaten!A$46,Bewertung_Stammdaten!A$47)))))))))</f>
        <v>12</v>
      </c>
      <c r="AK36" s="32">
        <f>IF(AG36&lt;Bewertung_Stammdaten!F$38,Bewertung_Stammdaten!E$38,IF(AG36&lt;Bewertung_Stammdaten!F$39,Bewertung_Stammdaten!E$39,IF(AG36&lt;Bewertung_Stammdaten!F$40,Bewertung_Stammdaten!E$40,IF(AG36&lt;Bewertung_Stammdaten!F$41,Bewertung_Stammdaten!E$41,IF(AG36&lt;Bewertung_Stammdaten!F$42,Bewertung_Stammdaten!E$42,IF(AG36&lt;Bewertung_Stammdaten!F$43,Bewertung_Stammdaten!E$43,IF(AG36&lt;Bewertung_Stammdaten!F$44,Bewertung_Stammdaten!E$44,IF(AG36&lt;Bewertung_Stammdaten!F$45,Bewertung_Stammdaten!E$45,IF(AG36&lt;Bewertung_Stammdaten!F$46,Bewertung_Stammdaten!E$46,Bewertung_Stammdaten!E$47)))))))))</f>
        <v>10.5</v>
      </c>
      <c r="AL36" s="32">
        <f ca="1">IF(AI36&lt;Bewertung_Stammdaten!J$38,Bewertung_Stammdaten!I$38,IF(AI36&lt;Bewertung_Stammdaten!J$39,Bewertung_Stammdaten!I$39,IF(AI36&lt;Bewertung_Stammdaten!J$40,Bewertung_Stammdaten!I$40,IF(AI36&lt;Bewertung_Stammdaten!J$41,Bewertung_Stammdaten!I$41,IF(AI36&lt;Bewertung_Stammdaten!J$42,Bewertung_Stammdaten!I$42,IF(AI36&lt;Bewertung_Stammdaten!J$43,Bewertung_Stammdaten!I$43,IF(AI36&lt;Bewertung_Stammdaten!J$44,Bewertung_Stammdaten!I$44,IF(AI36&lt;Bewertung_Stammdaten!J$45,Bewertung_Stammdaten!I$45,IF(AI36&lt;Bewertung_Stammdaten!J$46,Bewertung_Stammdaten!I$46,Bewertung_Stammdaten!I$47)))))))))</f>
        <v>5</v>
      </c>
      <c r="AM36" s="43"/>
      <c r="AN36" s="14">
        <f ca="1">VLOOKUP(A36,Dividende_je_Aktie!A$3:AM$103,24,FALSE)</f>
        <v>1.2970000000000002</v>
      </c>
      <c r="AO36" s="14">
        <f>VLOOKUP(A36,Dividende_je_Aktie!A$3:AM$103,20,FALSE)</f>
        <v>0.98750000000000004</v>
      </c>
      <c r="AP36" s="12">
        <f ca="1">VLOOKUP(A36,Dividende_je_Aktie!A$3:AM$103,25,FALSE)</f>
        <v>0.3134177215189875</v>
      </c>
      <c r="AQ36" s="40">
        <f>VLOOKUP(A36,Dividende_je_Aktie!A$3:AM$103,39,FALSE)</f>
        <v>2.6666666666666616E-2</v>
      </c>
      <c r="AR36" s="16">
        <f t="shared" ca="1" si="20"/>
        <v>1.2970000000000002</v>
      </c>
      <c r="AS36" s="12">
        <f t="shared" ca="1" si="21"/>
        <v>0.3134177215189875</v>
      </c>
      <c r="AT36" s="32">
        <f ca="1">IF(AP36&lt;Bewertung_Stammdaten!B$51,Bewertung_Stammdaten!A$51,IF(AP36&lt;Bewertung_Stammdaten!B$52,Bewertung_Stammdaten!A$52,IF(AP36&lt;Bewertung_Stammdaten!B$53,Bewertung_Stammdaten!A$53,IF(AP36&lt;Bewertung_Stammdaten!B$54,Bewertung_Stammdaten!A$54,IF(AP36&lt;Bewertung_Stammdaten!B$55,Bewertung_Stammdaten!A$55,IF(AP36&lt;Bewertung_Stammdaten!B$56,Bewertung_Stammdaten!A$56,IF(AP36&lt;Bewertung_Stammdaten!B$57,Bewertung_Stammdaten!A$57,IF(AP36&lt;Bewertung_Stammdaten!B$58,Bewertung_Stammdaten!A$58,IF(AP36&lt;Bewertung_Stammdaten!B$59,Bewertung_Stammdaten!A$59,Bewertung_Stammdaten!A$60)))))))))</f>
        <v>12</v>
      </c>
      <c r="AU36" s="32">
        <f>IF(AQ36&lt;Bewertung_Stammdaten!F$51,Bewertung_Stammdaten!E$51,IF(AQ36&lt;Bewertung_Stammdaten!F$52,Bewertung_Stammdaten!E$52,IF(AQ36&lt;Bewertung_Stammdaten!F$53,Bewertung_Stammdaten!E$53,IF(AQ36&lt;Bewertung_Stammdaten!F$54,Bewertung_Stammdaten!E$54,IF(AQ36&lt;Bewertung_Stammdaten!F$55,Bewertung_Stammdaten!E$55,IF(AQ36&lt;Bewertung_Stammdaten!F$56,Bewertung_Stammdaten!E$56,IF(AQ36&lt;Bewertung_Stammdaten!F$57,Bewertung_Stammdaten!E$57,IF(AQ36&lt;Bewertung_Stammdaten!F$58,Bewertung_Stammdaten!E$58,IF(AQ36&lt;Bewertung_Stammdaten!F$59,Bewertung_Stammdaten!E$59,Bewertung_Stammdaten!E$60)))))))))</f>
        <v>12</v>
      </c>
      <c r="AV36" s="32">
        <f ca="1">IF(AS36&lt;Bewertung_Stammdaten!J$51,Bewertung_Stammdaten!I$51,IF(AS36&lt;Bewertung_Stammdaten!J$52,Bewertung_Stammdaten!I$52,IF(AS36&lt;Bewertung_Stammdaten!J$53,Bewertung_Stammdaten!I$53,IF(AS36&lt;Bewertung_Stammdaten!J$54,Bewertung_Stammdaten!I$54,IF(AS36&lt;Bewertung_Stammdaten!J$55,Bewertung_Stammdaten!I$55,IF(AS36&lt;Bewertung_Stammdaten!J$56,Bewertung_Stammdaten!I$56,IF(AS36&lt;Bewertung_Stammdaten!J$57,Bewertung_Stammdaten!I$57,IF(AS36&lt;Bewertung_Stammdaten!J$58,Bewertung_Stammdaten!I$58,IF(AS36&lt;Bewertung_Stammdaten!J$59,Bewertung_Stammdaten!I$59,Bewertung_Stammdaten!I$60)))))))))</f>
        <v>7</v>
      </c>
      <c r="AW36" s="43"/>
      <c r="AX36" s="12">
        <f ca="1">VLOOKUP(A36,Dividendenrendite!A$3:R$103,17,FALSE)</f>
        <v>3.2856238125395822E-2</v>
      </c>
      <c r="AY36" s="12">
        <f>VLOOKUP(A36,Dividendenrendite!A$3:R$103,16,FALSE)</f>
        <v>3.4406827679737122E-2</v>
      </c>
      <c r="AZ36" s="12">
        <f ca="1">VLOOKUP(A36,Dividendenrendite!A$3:R$103,18,FALSE)</f>
        <v>-4.5066333018968563E-2</v>
      </c>
      <c r="BA36" s="32">
        <f ca="1">IF(AX36&lt;Bewertung_Stammdaten!B$64,Bewertung_Stammdaten!A$64,IF(AX36&lt;Bewertung_Stammdaten!B$65,Bewertung_Stammdaten!A$65,IF(AX36&lt;Bewertung_Stammdaten!B$66,Bewertung_Stammdaten!A$66,IF(AX36&lt;Bewertung_Stammdaten!B$67,Bewertung_Stammdaten!A$67,IF(AX36&lt;Bewertung_Stammdaten!B$68,Bewertung_Stammdaten!A$68,IF(AX36&lt;Bewertung_Stammdaten!B$69,Bewertung_Stammdaten!A$69,IF(AX36&lt;Bewertung_Stammdaten!B$70,Bewertung_Stammdaten!A$70,IF(AX36&lt;Bewertung_Stammdaten!B$71,Bewertung_Stammdaten!A$71,IF(AX36&lt;Bewertung_Stammdaten!B$72,Bewertung_Stammdaten!A$72,Bewertung_Stammdaten!A$73)))))))))</f>
        <v>10.5</v>
      </c>
      <c r="BB36" s="32">
        <f>IF(AY36&lt;Bewertung_Stammdaten!F$64,Bewertung_Stammdaten!E$64,IF(AY36&lt;Bewertung_Stammdaten!F$65,Bewertung_Stammdaten!E$65,IF(AY36&lt;Bewertung_Stammdaten!F$66,Bewertung_Stammdaten!E$66,IF(AY36&lt;Bewertung_Stammdaten!F$67,Bewertung_Stammdaten!E$67,IF(AY36&lt;Bewertung_Stammdaten!F$68,Bewertung_Stammdaten!E$68,IF(AY36&lt;Bewertung_Stammdaten!F$69,Bewertung_Stammdaten!E$69,IF(AY36&lt;Bewertung_Stammdaten!F$70,Bewertung_Stammdaten!E$70,IF(AY36&lt;Bewertung_Stammdaten!F$71,Bewertung_Stammdaten!E$71,IF(AY36&lt;Bewertung_Stammdaten!F$72,Bewertung_Stammdaten!E$72,Bewertung_Stammdaten!E$73)))))))))</f>
        <v>7</v>
      </c>
      <c r="BC36" s="32">
        <f ca="1">IF(AZ36&lt;Bewertung_Stammdaten!J$64,Bewertung_Stammdaten!I$64,IF(AZ36&lt;Bewertung_Stammdaten!J$65,Bewertung_Stammdaten!I$65,IF(AZ36&lt;Bewertung_Stammdaten!J$66,Bewertung_Stammdaten!I$66,IF(AZ36&lt;Bewertung_Stammdaten!J$67,Bewertung_Stammdaten!I$67,IF(AZ36&lt;Bewertung_Stammdaten!J$68,Bewertung_Stammdaten!I$68,IF(AZ36&lt;Bewertung_Stammdaten!J$69,Bewertung_Stammdaten!I$69,IF(AZ36&lt;Bewertung_Stammdaten!J$70,Bewertung_Stammdaten!I$70,IF(AZ36&lt;Bewertung_Stammdaten!J$71,Bewertung_Stammdaten!I$71,IF(AZ36&lt;Bewertung_Stammdaten!J$72,Bewertung_Stammdaten!I$72,Bewertung_Stammdaten!I$73)))))))))</f>
        <v>2.5</v>
      </c>
      <c r="BD36" s="43"/>
      <c r="BE36" s="12">
        <f>VLOOKUP(A36,Aktien_im_Umlauf_splitbereinigt!A$3:AB$103,28,FALSE)</f>
        <v>0</v>
      </c>
      <c r="BF36" s="12">
        <f>VLOOKUP(A36,Aktien_im_Umlauf_splitbereinigt!A$3:AA$103,26,FALSE)</f>
        <v>0</v>
      </c>
      <c r="BG36" s="12">
        <f>VLOOKUP(A36,Aktien_im_Umlauf_splitbereinigt!A$3:AA$103,27,FALSE)</f>
        <v>0</v>
      </c>
      <c r="BH36" s="41">
        <f>IF(BE36&lt;Bewertung_Stammdaten!B$77,Bewertung_Stammdaten!A$77,IF(BE36&lt;Bewertung_Stammdaten!B$78,Bewertung_Stammdaten!A$78,IF(BE36&lt;Bewertung_Stammdaten!B$79,Bewertung_Stammdaten!A$79,IF(BE36&lt;Bewertung_Stammdaten!B$80,Bewertung_Stammdaten!A$80,IF(BE36&lt;Bewertung_Stammdaten!B$81,Bewertung_Stammdaten!A$81,IF(BE36&lt;Bewertung_Stammdaten!B$82,Bewertung_Stammdaten!A$82,IF(BE36&lt;Bewertung_Stammdaten!B$83,Bewertung_Stammdaten!A$83,IF(BE36&lt;Bewertung_Stammdaten!B$84,Bewertung_Stammdaten!A$84,IF(BE36&lt;Bewertung_Stammdaten!B$85,Bewertung_Stammdaten!A$85,Bewertung_Stammdaten!A$86)))))))))</f>
        <v>2</v>
      </c>
      <c r="BI36" s="41">
        <f>IF(BF36&lt;Bewertung_Stammdaten!F$77,Bewertung_Stammdaten!E$77,IF(BF36&lt;Bewertung_Stammdaten!F$78,Bewertung_Stammdaten!E$78,IF(BF36&lt;Bewertung_Stammdaten!F$79,Bewertung_Stammdaten!E$79,IF(BF36&lt;Bewertung_Stammdaten!F$80,Bewertung_Stammdaten!E$80,IF(BF36&lt;Bewertung_Stammdaten!F$81,Bewertung_Stammdaten!E$81,IF(BF36&lt;Bewertung_Stammdaten!F$82,Bewertung_Stammdaten!E$82,IF(BF36&lt;Bewertung_Stammdaten!F$83,Bewertung_Stammdaten!E$83,IF(BF36&lt;Bewertung_Stammdaten!F$84,Bewertung_Stammdaten!E$84,IF(BF36&lt;Bewertung_Stammdaten!F$85,Bewertung_Stammdaten!E$85,Bewertung_Stammdaten!E$86)))))))))</f>
        <v>2</v>
      </c>
      <c r="BJ36" s="41">
        <f>IF(BG36&lt;Bewertung_Stammdaten!J$77,Bewertung_Stammdaten!I$77,IF(BG36&lt;Bewertung_Stammdaten!J$78,Bewertung_Stammdaten!I$78,IF(BG36&lt;Bewertung_Stammdaten!J$79,Bewertung_Stammdaten!I$79,IF(BG36&lt;Bewertung_Stammdaten!J$80,Bewertung_Stammdaten!I$80,IF(BG36&lt;Bewertung_Stammdaten!J$81,Bewertung_Stammdaten!I$81,IF(BG36&lt;Bewertung_Stammdaten!J$82,Bewertung_Stammdaten!I$82,IF(BG36&lt;Bewertung_Stammdaten!J$83,Bewertung_Stammdaten!I$83,IF(BG36&lt;Bewertung_Stammdaten!J$84,Bewertung_Stammdaten!I$84,IF(BG36&lt;Bewertung_Stammdaten!J$85,Bewertung_Stammdaten!I$85,Bewertung_Stammdaten!I$86)))))))))</f>
        <v>3</v>
      </c>
      <c r="BK36" s="43"/>
      <c r="BL36" s="12">
        <f ca="1">VLOOKUP(A36,Ausschüttungsquote!A$3:AL$103,37,FALSE)</f>
        <v>0.6713555920452472</v>
      </c>
      <c r="BM36" s="12">
        <f>VLOOKUP(A36,Ausschüttungsquote!A$3:AL$103,19,FALSE)</f>
        <v>0.63735213601878893</v>
      </c>
      <c r="BN36" s="12">
        <f ca="1">VLOOKUP(A36,Ausschüttungsquote!A$3:AL$103,38,FALSE)</f>
        <v>5.3351128998892827E-2</v>
      </c>
      <c r="BO36" s="32">
        <f ca="1">IF(BL36&lt;Bewertung_Stammdaten!B$90,Bewertung_Stammdaten!A$90,IF(BL36&lt;Bewertung_Stammdaten!B$91,Bewertung_Stammdaten!A$91,IF(BL36&lt;Bewertung_Stammdaten!B$92,Bewertung_Stammdaten!A$92,IF(BL36&lt;Bewertung_Stammdaten!B$93,Bewertung_Stammdaten!A$93,IF(BL36&lt;Bewertung_Stammdaten!B$94,Bewertung_Stammdaten!A$94,IF(BL36&lt;Bewertung_Stammdaten!B$95,Bewertung_Stammdaten!A$95,IF(BL36&lt;Bewertung_Stammdaten!B$96,Bewertung_Stammdaten!A$96,IF(BL36&lt;Bewertung_Stammdaten!B$97,Bewertung_Stammdaten!A$97,IF(BL36&lt;Bewertung_Stammdaten!B$98,Bewertung_Stammdaten!A$98,Bewertung_Stammdaten!A$99)))))))))</f>
        <v>4</v>
      </c>
      <c r="BP36" s="41">
        <f>IF(BM36&lt;Bewertung_Stammdaten!F$90,Bewertung_Stammdaten!E$90,IF(BM36&lt;Bewertung_Stammdaten!F$91,Bewertung_Stammdaten!E$91,IF(BM36&lt;Bewertung_Stammdaten!F$92,Bewertung_Stammdaten!E$92,IF(BM36&lt;Bewertung_Stammdaten!F$93,Bewertung_Stammdaten!E$93,IF(BM36&lt;Bewertung_Stammdaten!F$94,Bewertung_Stammdaten!E$94,IF(BM36&lt;Bewertung_Stammdaten!F$95,Bewertung_Stammdaten!E$95,IF(BM36&lt;Bewertung_Stammdaten!F$96,Bewertung_Stammdaten!E$96,IF(BM36&lt;Bewertung_Stammdaten!F$97,Bewertung_Stammdaten!E$97,IF(BM36&lt;Bewertung_Stammdaten!F$98,Bewertung_Stammdaten!E$98,Bewertung_Stammdaten!E$99)))))))))</f>
        <v>5</v>
      </c>
      <c r="BQ36" s="32">
        <f ca="1">IF(BN36&lt;Bewertung_Stammdaten!J$90,Bewertung_Stammdaten!I$90,IF(BN36&lt;Bewertung_Stammdaten!J$91,Bewertung_Stammdaten!I$91,IF(BN36&lt;Bewertung_Stammdaten!J$92,Bewertung_Stammdaten!I$92,IF(BN36&lt;Bewertung_Stammdaten!J$93,Bewertung_Stammdaten!I$93,IF(BN36&lt;Bewertung_Stammdaten!J$94,Bewertung_Stammdaten!I$94,IF(BN36&lt;Bewertung_Stammdaten!J$95,Bewertung_Stammdaten!I$95,IF(BN36&lt;Bewertung_Stammdaten!J$96,Bewertung_Stammdaten!I$96,IF(BN36&lt;Bewertung_Stammdaten!J$97,Bewertung_Stammdaten!I$97,IF(BN36&lt;Bewertung_Stammdaten!J$98,Bewertung_Stammdaten!I$98,Bewertung_Stammdaten!I$99)))))))))</f>
        <v>4</v>
      </c>
    </row>
    <row r="37" spans="1:69">
      <c r="A37" s="38" t="s">
        <v>92</v>
      </c>
      <c r="B37" s="38" t="s">
        <v>93</v>
      </c>
      <c r="C37" s="38" t="s">
        <v>282</v>
      </c>
      <c r="D37" s="32">
        <f t="shared" ca="1" si="11"/>
        <v>142</v>
      </c>
      <c r="E37" s="43"/>
      <c r="F37" s="60">
        <v>1</v>
      </c>
      <c r="G37" s="11">
        <f ca="1">VLOOKUP(A37,KGV!A$3:R$103,17,FALSE)</f>
        <v>20.800701024152474</v>
      </c>
      <c r="H37" s="11">
        <f>VLOOKUP(A37,KGV!A$3:R$103,16,FALSE)</f>
        <v>16.695035460992909</v>
      </c>
      <c r="I37" s="12">
        <f ca="1">VLOOKUP(A37,KGV!A$3:R$103,18,FALSE)</f>
        <v>0.24592134426741663</v>
      </c>
      <c r="J37" s="16">
        <f t="shared" ca="1" si="12"/>
        <v>20.800701024152474</v>
      </c>
      <c r="K37" s="12">
        <f t="shared" ca="1" si="13"/>
        <v>0.24592134426741663</v>
      </c>
      <c r="L37" s="11">
        <f ca="1">VLOOKUP(A37,KBV!A$3:R$103,17,FALSE)</f>
        <v>7.1703670140462163</v>
      </c>
      <c r="M37" s="11">
        <f>VLOOKUP(A37,KBV!A$3:R$103,16,FALSE)</f>
        <v>3.9748427672955975</v>
      </c>
      <c r="N37" s="12">
        <f ca="1">VLOOKUP(A37,KBV!A$3:R$103,18,FALSE)</f>
        <v>0.80393727093884237</v>
      </c>
      <c r="O37" s="16">
        <f t="shared" ca="1" si="14"/>
        <v>9.4251994084003705</v>
      </c>
      <c r="P37" s="12">
        <f t="shared" ca="1" si="15"/>
        <v>1.3712131423032576</v>
      </c>
      <c r="Q37" s="32">
        <f ca="1">IF(F37=1,IF(I37&lt;Bewertung_Stammdaten!B$12,Bewertung_Stammdaten!A$12,IF(I37&lt;Bewertung_Stammdaten!B$13,Bewertung_Stammdaten!A$13,IF(I37&lt;Bewertung_Stammdaten!B$14,Bewertung_Stammdaten!A$14,IF(I37&lt;Bewertung_Stammdaten!B$15,Bewertung_Stammdaten!A$15,IF(I37&lt;Bewertung_Stammdaten!B$16,Bewertung_Stammdaten!A$16,IF(I37&lt;Bewertung_Stammdaten!B$17,Bewertung_Stammdaten!A$17,IF(I37&lt;Bewertung_Stammdaten!B$18,Bewertung_Stammdaten!A$18,IF(I37&lt;Bewertung_Stammdaten!B$19,Bewertung_Stammdaten!A$19,IF(I37&lt;Bewertung_Stammdaten!B$20,Bewertung_Stammdaten!A$20,Bewertung_Stammdaten!A$21))))))))),IF(N37&lt;Bewertung_Stammdaten!C$12,Bewertung_Stammdaten!A$12,IF(N37&lt;Bewertung_Stammdaten!C$13,Bewertung_Stammdaten!A$13,IF(N37&lt;Bewertung_Stammdaten!C$14,Bewertung_Stammdaten!A$14,IF(N37&lt;Bewertung_Stammdaten!C$15,Bewertung_Stammdaten!A$15,IF(N37&lt;Bewertung_Stammdaten!C$16,Bewertung_Stammdaten!A$16,IF(N37&lt;Bewertung_Stammdaten!C$17,Bewertung_Stammdaten!A$17,IF(N37&lt;Bewertung_Stammdaten!C$18,Bewertung_Stammdaten!A$18,IF(N37&lt;Bewertung_Stammdaten!C$19,Bewertung_Stammdaten!A$19,IF(N37&lt;Bewertung_Stammdaten!C$20,Bewertung_Stammdaten!A$20,Bewertung_Stammdaten!A$21))))))))))</f>
        <v>12</v>
      </c>
      <c r="R37" s="32">
        <f ca="1">IF(F37=1,IF(K37&lt;Bewertung_Stammdaten!F$12,Bewertung_Stammdaten!E$12,IF(K37&lt;Bewertung_Stammdaten!F$13,Bewertung_Stammdaten!E$13,IF(K37&lt;Bewertung_Stammdaten!F$14,Bewertung_Stammdaten!E$14,IF(K37&lt;Bewertung_Stammdaten!F$15,Bewertung_Stammdaten!E$15,IF(K37&lt;Bewertung_Stammdaten!F$16,Bewertung_Stammdaten!E$16,IF(K37&lt;Bewertung_Stammdaten!F$17,Bewertung_Stammdaten!E$17,IF(K37&lt;Bewertung_Stammdaten!F$18,Bewertung_Stammdaten!E$18,IF(K37&lt;Bewertung_Stammdaten!F$19,Bewertung_Stammdaten!E$19,IF(K37&lt;Bewertung_Stammdaten!F$20,Bewertung_Stammdaten!E$20,Bewertung_Stammdaten!E$21))))))))),IF(P37&lt;Bewertung_Stammdaten!G$12,Bewertung_Stammdaten!E$12,IF(P37&lt;Bewertung_Stammdaten!G$13,Bewertung_Stammdaten!E$13,IF(P37&lt;Bewertung_Stammdaten!G$14,Bewertung_Stammdaten!E$14,IF(P37&lt;Bewertung_Stammdaten!G$15,Bewertung_Stammdaten!E$15,IF(P37&lt;Bewertung_Stammdaten!G$16,Bewertung_Stammdaten!E$16,IF(P37&lt;Bewertung_Stammdaten!G$17,Bewertung_Stammdaten!E$17,IF(P37&lt;Bewertung_Stammdaten!G$18,Bewertung_Stammdaten!E$18,IF(P37&lt;Bewertung_Stammdaten!G$19,Bewertung_Stammdaten!E$19,IF(P37&lt;Bewertung_Stammdaten!G$20,Bewertung_Stammdaten!E$20,Bewertung_Stammdaten!E$21))))))))))</f>
        <v>12.5</v>
      </c>
      <c r="S37" s="43"/>
      <c r="T37" s="11">
        <f ca="1">VLOOKUP(A37,Buchwert_je_Aktie!A$3:AK$103,23,FALSE)</f>
        <v>8.8279999999999994</v>
      </c>
      <c r="U37" s="11">
        <f>VLOOKUP(A37,Buchwert_je_Aktie!A$3:AK$103,19,FALSE)</f>
        <v>9.0915384615384625</v>
      </c>
      <c r="V37" s="12">
        <f ca="1">VLOOKUP(A37,Buchwert_je_Aktie!A$3:AK$103,24,FALSE)</f>
        <v>-2.8987223961418174E-2</v>
      </c>
      <c r="W37" s="12">
        <f>VLOOKUP(A37,Buchwert_je_Aktie!A$3:AK$103,37,FALSE)</f>
        <v>-0.23923444976076547</v>
      </c>
      <c r="X37" s="16">
        <f t="shared" ca="1" si="16"/>
        <v>6.716038277511962</v>
      </c>
      <c r="Y37" s="12">
        <f t="shared" ca="1" si="17"/>
        <v>-0.26128693114768176</v>
      </c>
      <c r="Z37" s="51">
        <f ca="1">IF(V37&lt;Bewertung_Stammdaten!B$25,Bewertung_Stammdaten!A$25,IF(V37&lt;Bewertung_Stammdaten!B$26,Bewertung_Stammdaten!A$26,IF(V37&lt;Bewertung_Stammdaten!B$27,Bewertung_Stammdaten!A$27,IF(V37&lt;Bewertung_Stammdaten!B$28,Bewertung_Stammdaten!A$28,IF(V37&lt;Bewertung_Stammdaten!B$29,Bewertung_Stammdaten!A$29,IF(V37&lt;Bewertung_Stammdaten!B$30,Bewertung_Stammdaten!A$30,IF(V37&lt;Bewertung_Stammdaten!B$31,Bewertung_Stammdaten!A$31,IF(V37&lt;Bewertung_Stammdaten!B$32,Bewertung_Stammdaten!A$32,IF(V37&lt;Bewertung_Stammdaten!B$33,Bewertung_Stammdaten!A$33,Bewertung_Stammdaten!A$34)))))))))</f>
        <v>3</v>
      </c>
      <c r="AA37" s="51">
        <f>IF(W37&lt;Bewertung_Stammdaten!F$25,Bewertung_Stammdaten!E$25,IF(W37&lt;Bewertung_Stammdaten!F$26,Bewertung_Stammdaten!E$26,IF(W37&lt;Bewertung_Stammdaten!F$27,Bewertung_Stammdaten!E$27,IF(W37&lt;Bewertung_Stammdaten!F$28,Bewertung_Stammdaten!E$28,IF(W37&lt;Bewertung_Stammdaten!F$29,Bewertung_Stammdaten!E$29,IF(W37&lt;Bewertung_Stammdaten!F$30,Bewertung_Stammdaten!E$30,IF(W37&lt;Bewertung_Stammdaten!F$31,Bewertung_Stammdaten!E$31,IF(W37&lt;Bewertung_Stammdaten!F$32,Bewertung_Stammdaten!E$32,IF(W37&lt;Bewertung_Stammdaten!F$33,Bewertung_Stammdaten!E$33,Bewertung_Stammdaten!E$34)))))))))</f>
        <v>4.5</v>
      </c>
      <c r="AB37" s="51">
        <f ca="1">IF(Y37&lt;Bewertung_Stammdaten!J$25,Bewertung_Stammdaten!I$25,IF(Y37&lt;Bewertung_Stammdaten!J$26,Bewertung_Stammdaten!I$26,IF(Y37&lt;Bewertung_Stammdaten!J$27,Bewertung_Stammdaten!I$27,IF(Y37&lt;Bewertung_Stammdaten!J$28,Bewertung_Stammdaten!I$28,IF(Y37&lt;Bewertung_Stammdaten!J$29,Bewertung_Stammdaten!I$29,IF(Y37&lt;Bewertung_Stammdaten!J$30,Bewertung_Stammdaten!I$30,IF(Y37&lt;Bewertung_Stammdaten!J$31,Bewertung_Stammdaten!I$31,IF(Y37&lt;Bewertung_Stammdaten!J$32,Bewertung_Stammdaten!I$32,IF(Y37&lt;Bewertung_Stammdaten!J$33,Bewertung_Stammdaten!I$33,Bewertung_Stammdaten!I$34)))))))))</f>
        <v>1</v>
      </c>
      <c r="AC37" s="43"/>
      <c r="AD37" s="14">
        <f ca="1">VLOOKUP(A37,Ergebnis_je_Aktie_verwässert!A$3:AK$103,23,FALSE)</f>
        <v>3.0431666666666661</v>
      </c>
      <c r="AE37" s="14">
        <f>VLOOKUP(A37,Ergebnis_je_Aktie_verwässert!A$3:AK$103,19,FALSE)</f>
        <v>2.4361538461538461</v>
      </c>
      <c r="AF37" s="12">
        <f ca="1">VLOOKUP(A37,Ergebnis_je_Aktie_verwässert!A$3:AK$103,24,FALSE)</f>
        <v>0.24916850857804418</v>
      </c>
      <c r="AG37" s="40">
        <f>VLOOKUP(A37,Ergebnis_je_Aktie_verwässert!A$3:AK$103,37,FALSE)</f>
        <v>3.5335689045936647E-3</v>
      </c>
      <c r="AH37" s="16">
        <f t="shared" ca="1" si="18"/>
        <v>3.0431666666666661</v>
      </c>
      <c r="AI37" s="12">
        <f t="shared" ca="1" si="19"/>
        <v>0.24916850857804418</v>
      </c>
      <c r="AJ37" s="32">
        <f ca="1">IF(AF37&lt;Bewertung_Stammdaten!B$38,Bewertung_Stammdaten!A$38,IF(AF37&lt;Bewertung_Stammdaten!B$39,Bewertung_Stammdaten!A$39,IF(AF37&lt;Bewertung_Stammdaten!B$40,Bewertung_Stammdaten!A$40,IF(AF37&lt;Bewertung_Stammdaten!B$41,Bewertung_Stammdaten!A$41,IF(AF37&lt;Bewertung_Stammdaten!B$42,Bewertung_Stammdaten!A$42,IF(AF37&lt;Bewertung_Stammdaten!B$43,Bewertung_Stammdaten!A$43,IF(AF37&lt;Bewertung_Stammdaten!B$44,Bewertung_Stammdaten!A$44,IF(AF37&lt;Bewertung_Stammdaten!B$45,Bewertung_Stammdaten!A$45,IF(AF37&lt;Bewertung_Stammdaten!B$46,Bewertung_Stammdaten!A$46,Bewertung_Stammdaten!A$47)))))))))</f>
        <v>12</v>
      </c>
      <c r="AK37" s="32">
        <f>IF(AG37&lt;Bewertung_Stammdaten!F$38,Bewertung_Stammdaten!E$38,IF(AG37&lt;Bewertung_Stammdaten!F$39,Bewertung_Stammdaten!E$39,IF(AG37&lt;Bewertung_Stammdaten!F$40,Bewertung_Stammdaten!E$40,IF(AG37&lt;Bewertung_Stammdaten!F$41,Bewertung_Stammdaten!E$41,IF(AG37&lt;Bewertung_Stammdaten!F$42,Bewertung_Stammdaten!E$42,IF(AG37&lt;Bewertung_Stammdaten!F$43,Bewertung_Stammdaten!E$43,IF(AG37&lt;Bewertung_Stammdaten!F$44,Bewertung_Stammdaten!E$44,IF(AG37&lt;Bewertung_Stammdaten!F$45,Bewertung_Stammdaten!E$45,IF(AG37&lt;Bewertung_Stammdaten!F$46,Bewertung_Stammdaten!E$46,Bewertung_Stammdaten!E$47)))))))))</f>
        <v>12</v>
      </c>
      <c r="AL37" s="32">
        <f ca="1">IF(AI37&lt;Bewertung_Stammdaten!J$38,Bewertung_Stammdaten!I$38,IF(AI37&lt;Bewertung_Stammdaten!J$39,Bewertung_Stammdaten!I$39,IF(AI37&lt;Bewertung_Stammdaten!J$40,Bewertung_Stammdaten!I$40,IF(AI37&lt;Bewertung_Stammdaten!J$41,Bewertung_Stammdaten!I$41,IF(AI37&lt;Bewertung_Stammdaten!J$42,Bewertung_Stammdaten!I$42,IF(AI37&lt;Bewertung_Stammdaten!J$43,Bewertung_Stammdaten!I$43,IF(AI37&lt;Bewertung_Stammdaten!J$44,Bewertung_Stammdaten!I$44,IF(AI37&lt;Bewertung_Stammdaten!J$45,Bewertung_Stammdaten!I$45,IF(AI37&lt;Bewertung_Stammdaten!J$46,Bewertung_Stammdaten!I$46,Bewertung_Stammdaten!I$47)))))))))</f>
        <v>6</v>
      </c>
      <c r="AM37" s="43"/>
      <c r="AN37" s="14">
        <f ca="1">VLOOKUP(A37,Dividende_je_Aktie!A$3:AM$103,24,FALSE)</f>
        <v>1.8571666666666669</v>
      </c>
      <c r="AO37" s="14">
        <f>VLOOKUP(A37,Dividende_je_Aktie!A$3:AM$103,20,FALSE)</f>
        <v>1.225714285714286</v>
      </c>
      <c r="AP37" s="12">
        <f ca="1">VLOOKUP(A37,Dividende_je_Aktie!A$3:AM$103,25,FALSE)</f>
        <v>0.51517094017093989</v>
      </c>
      <c r="AQ37" s="40">
        <f>VLOOKUP(A37,Dividende_je_Aktie!A$3:AM$103,39,FALSE)</f>
        <v>5.3892215568862367E-2</v>
      </c>
      <c r="AR37" s="16">
        <f t="shared" ca="1" si="20"/>
        <v>1.8571666666666669</v>
      </c>
      <c r="AS37" s="12">
        <f t="shared" ca="1" si="21"/>
        <v>0.51517094017093989</v>
      </c>
      <c r="AT37" s="32">
        <f ca="1">IF(AP37&lt;Bewertung_Stammdaten!B$51,Bewertung_Stammdaten!A$51,IF(AP37&lt;Bewertung_Stammdaten!B$52,Bewertung_Stammdaten!A$52,IF(AP37&lt;Bewertung_Stammdaten!B$53,Bewertung_Stammdaten!A$53,IF(AP37&lt;Bewertung_Stammdaten!B$54,Bewertung_Stammdaten!A$54,IF(AP37&lt;Bewertung_Stammdaten!B$55,Bewertung_Stammdaten!A$55,IF(AP37&lt;Bewertung_Stammdaten!B$56,Bewertung_Stammdaten!A$56,IF(AP37&lt;Bewertung_Stammdaten!B$57,Bewertung_Stammdaten!A$57,IF(AP37&lt;Bewertung_Stammdaten!B$58,Bewertung_Stammdaten!A$58,IF(AP37&lt;Bewertung_Stammdaten!B$59,Bewertung_Stammdaten!A$59,Bewertung_Stammdaten!A$60)))))))))</f>
        <v>16</v>
      </c>
      <c r="AU37" s="32">
        <f>IF(AQ37&lt;Bewertung_Stammdaten!F$51,Bewertung_Stammdaten!E$51,IF(AQ37&lt;Bewertung_Stammdaten!F$52,Bewertung_Stammdaten!E$52,IF(AQ37&lt;Bewertung_Stammdaten!F$53,Bewertung_Stammdaten!E$53,IF(AQ37&lt;Bewertung_Stammdaten!F$54,Bewertung_Stammdaten!E$54,IF(AQ37&lt;Bewertung_Stammdaten!F$55,Bewertung_Stammdaten!E$55,IF(AQ37&lt;Bewertung_Stammdaten!F$56,Bewertung_Stammdaten!E$56,IF(AQ37&lt;Bewertung_Stammdaten!F$57,Bewertung_Stammdaten!E$57,IF(AQ37&lt;Bewertung_Stammdaten!F$58,Bewertung_Stammdaten!E$58,IF(AQ37&lt;Bewertung_Stammdaten!F$59,Bewertung_Stammdaten!E$59,Bewertung_Stammdaten!E$60)))))))))</f>
        <v>12</v>
      </c>
      <c r="AV37" s="32">
        <f ca="1">IF(AS37&lt;Bewertung_Stammdaten!J$51,Bewertung_Stammdaten!I$51,IF(AS37&lt;Bewertung_Stammdaten!J$52,Bewertung_Stammdaten!I$52,IF(AS37&lt;Bewertung_Stammdaten!J$53,Bewertung_Stammdaten!I$53,IF(AS37&lt;Bewertung_Stammdaten!J$54,Bewertung_Stammdaten!I$54,IF(AS37&lt;Bewertung_Stammdaten!J$55,Bewertung_Stammdaten!I$55,IF(AS37&lt;Bewertung_Stammdaten!J$56,Bewertung_Stammdaten!I$56,IF(AS37&lt;Bewertung_Stammdaten!J$57,Bewertung_Stammdaten!I$57,IF(AS37&lt;Bewertung_Stammdaten!J$58,Bewertung_Stammdaten!I$58,IF(AS37&lt;Bewertung_Stammdaten!J$59,Bewertung_Stammdaten!I$59,Bewertung_Stammdaten!I$60)))))))))</f>
        <v>9</v>
      </c>
      <c r="AW37" s="43"/>
      <c r="AX37" s="12">
        <f ca="1">VLOOKUP(A37,Dividendenrendite!A$3:R$103,17,FALSE)</f>
        <v>2.9339125855713539E-2</v>
      </c>
      <c r="AY37" s="12">
        <f>VLOOKUP(A37,Dividendenrendite!A$3:R$103,16,FALSE)</f>
        <v>2.79464134765867E-2</v>
      </c>
      <c r="AZ37" s="12">
        <f ca="1">VLOOKUP(A37,Dividendenrendite!A$3:R$103,18,FALSE)</f>
        <v>4.9835102464709458E-2</v>
      </c>
      <c r="BA37" s="32">
        <f ca="1">IF(AX37&lt;Bewertung_Stammdaten!B$64,Bewertung_Stammdaten!A$64,IF(AX37&lt;Bewertung_Stammdaten!B$65,Bewertung_Stammdaten!A$65,IF(AX37&lt;Bewertung_Stammdaten!B$66,Bewertung_Stammdaten!A$66,IF(AX37&lt;Bewertung_Stammdaten!B$67,Bewertung_Stammdaten!A$67,IF(AX37&lt;Bewertung_Stammdaten!B$68,Bewertung_Stammdaten!A$68,IF(AX37&lt;Bewertung_Stammdaten!B$69,Bewertung_Stammdaten!A$69,IF(AX37&lt;Bewertung_Stammdaten!B$70,Bewertung_Stammdaten!A$70,IF(AX37&lt;Bewertung_Stammdaten!B$71,Bewertung_Stammdaten!A$71,IF(AX37&lt;Bewertung_Stammdaten!B$72,Bewertung_Stammdaten!A$72,Bewertung_Stammdaten!A$73)))))))))</f>
        <v>9</v>
      </c>
      <c r="BB37" s="32">
        <f>IF(AY37&lt;Bewertung_Stammdaten!F$64,Bewertung_Stammdaten!E$64,IF(AY37&lt;Bewertung_Stammdaten!F$65,Bewertung_Stammdaten!E$65,IF(AY37&lt;Bewertung_Stammdaten!F$66,Bewertung_Stammdaten!E$66,IF(AY37&lt;Bewertung_Stammdaten!F$67,Bewertung_Stammdaten!E$67,IF(AY37&lt;Bewertung_Stammdaten!F$68,Bewertung_Stammdaten!E$68,IF(AY37&lt;Bewertung_Stammdaten!F$69,Bewertung_Stammdaten!E$69,IF(AY37&lt;Bewertung_Stammdaten!F$70,Bewertung_Stammdaten!E$70,IF(AY37&lt;Bewertung_Stammdaten!F$71,Bewertung_Stammdaten!E$71,IF(AY37&lt;Bewertung_Stammdaten!F$72,Bewertung_Stammdaten!E$72,Bewertung_Stammdaten!E$73)))))))))</f>
        <v>6</v>
      </c>
      <c r="BC37" s="32">
        <f ca="1">IF(AZ37&lt;Bewertung_Stammdaten!J$64,Bewertung_Stammdaten!I$64,IF(AZ37&lt;Bewertung_Stammdaten!J$65,Bewertung_Stammdaten!I$65,IF(AZ37&lt;Bewertung_Stammdaten!J$66,Bewertung_Stammdaten!I$66,IF(AZ37&lt;Bewertung_Stammdaten!J$67,Bewertung_Stammdaten!I$67,IF(AZ37&lt;Bewertung_Stammdaten!J$68,Bewertung_Stammdaten!I$68,IF(AZ37&lt;Bewertung_Stammdaten!J$69,Bewertung_Stammdaten!I$69,IF(AZ37&lt;Bewertung_Stammdaten!J$70,Bewertung_Stammdaten!I$70,IF(AZ37&lt;Bewertung_Stammdaten!J$71,Bewertung_Stammdaten!I$71,IF(AZ37&lt;Bewertung_Stammdaten!J$72,Bewertung_Stammdaten!I$72,Bewertung_Stammdaten!I$73)))))))))</f>
        <v>3</v>
      </c>
      <c r="BD37" s="43"/>
      <c r="BE37" s="12">
        <f>VLOOKUP(A37,Aktien_im_Umlauf_splitbereinigt!A$3:AB$103,28,FALSE)</f>
        <v>-2.253061224489783E-2</v>
      </c>
      <c r="BF37" s="12">
        <f>VLOOKUP(A37,Aktien_im_Umlauf_splitbereinigt!A$3:AA$103,26,FALSE)</f>
        <v>-1.9343554037088141E-2</v>
      </c>
      <c r="BG37" s="12">
        <f>VLOOKUP(A37,Aktien_im_Umlauf_splitbereinigt!A$3:AA$103,27,FALSE)</f>
        <v>0.1647607364034045</v>
      </c>
      <c r="BH37" s="41">
        <f>IF(BE37&lt;Bewertung_Stammdaten!B$77,Bewertung_Stammdaten!A$77,IF(BE37&lt;Bewertung_Stammdaten!B$78,Bewertung_Stammdaten!A$78,IF(BE37&lt;Bewertung_Stammdaten!B$79,Bewertung_Stammdaten!A$79,IF(BE37&lt;Bewertung_Stammdaten!B$80,Bewertung_Stammdaten!A$80,IF(BE37&lt;Bewertung_Stammdaten!B$81,Bewertung_Stammdaten!A$81,IF(BE37&lt;Bewertung_Stammdaten!B$82,Bewertung_Stammdaten!A$82,IF(BE37&lt;Bewertung_Stammdaten!B$83,Bewertung_Stammdaten!A$83,IF(BE37&lt;Bewertung_Stammdaten!B$84,Bewertung_Stammdaten!A$84,IF(BE37&lt;Bewertung_Stammdaten!B$85,Bewertung_Stammdaten!A$85,Bewertung_Stammdaten!A$86)))))))))</f>
        <v>7</v>
      </c>
      <c r="BI37" s="41">
        <f>IF(BF37&lt;Bewertung_Stammdaten!F$77,Bewertung_Stammdaten!E$77,IF(BF37&lt;Bewertung_Stammdaten!F$78,Bewertung_Stammdaten!E$78,IF(BF37&lt;Bewertung_Stammdaten!F$79,Bewertung_Stammdaten!E$79,IF(BF37&lt;Bewertung_Stammdaten!F$80,Bewertung_Stammdaten!E$80,IF(BF37&lt;Bewertung_Stammdaten!F$81,Bewertung_Stammdaten!E$81,IF(BF37&lt;Bewertung_Stammdaten!F$82,Bewertung_Stammdaten!E$82,IF(BF37&lt;Bewertung_Stammdaten!F$83,Bewertung_Stammdaten!E$83,IF(BF37&lt;Bewertung_Stammdaten!F$84,Bewertung_Stammdaten!E$84,IF(BF37&lt;Bewertung_Stammdaten!F$85,Bewertung_Stammdaten!E$85,Bewertung_Stammdaten!E$86)))))))))</f>
        <v>6</v>
      </c>
      <c r="BJ37" s="41">
        <f>IF(BG37&lt;Bewertung_Stammdaten!J$77,Bewertung_Stammdaten!I$77,IF(BG37&lt;Bewertung_Stammdaten!J$78,Bewertung_Stammdaten!I$78,IF(BG37&lt;Bewertung_Stammdaten!J$79,Bewertung_Stammdaten!I$79,IF(BG37&lt;Bewertung_Stammdaten!J$80,Bewertung_Stammdaten!I$80,IF(BG37&lt;Bewertung_Stammdaten!J$81,Bewertung_Stammdaten!I$81,IF(BG37&lt;Bewertung_Stammdaten!J$82,Bewertung_Stammdaten!I$82,IF(BG37&lt;Bewertung_Stammdaten!J$83,Bewertung_Stammdaten!I$83,IF(BG37&lt;Bewertung_Stammdaten!J$84,Bewertung_Stammdaten!I$84,IF(BG37&lt;Bewertung_Stammdaten!J$85,Bewertung_Stammdaten!I$85,Bewertung_Stammdaten!I$86)))))))))</f>
        <v>3</v>
      </c>
      <c r="BK37" s="43"/>
      <c r="BL37" s="12">
        <f ca="1">VLOOKUP(A37,Ausschüttungsquote!A$3:AL$103,37,FALSE)</f>
        <v>0.61035692985273204</v>
      </c>
      <c r="BM37" s="12">
        <f>VLOOKUP(A37,Ausschüttungsquote!A$3:AL$103,19,FALSE)</f>
        <v>0.88113925956521366</v>
      </c>
      <c r="BN37" s="12">
        <f ca="1">VLOOKUP(A37,Ausschüttungsquote!A$3:AL$103,38,FALSE)</f>
        <v>0.198983097767087</v>
      </c>
      <c r="BO37" s="32">
        <f ca="1">IF(BL37&lt;Bewertung_Stammdaten!B$90,Bewertung_Stammdaten!A$90,IF(BL37&lt;Bewertung_Stammdaten!B$91,Bewertung_Stammdaten!A$91,IF(BL37&lt;Bewertung_Stammdaten!B$92,Bewertung_Stammdaten!A$92,IF(BL37&lt;Bewertung_Stammdaten!B$93,Bewertung_Stammdaten!A$93,IF(BL37&lt;Bewertung_Stammdaten!B$94,Bewertung_Stammdaten!A$94,IF(BL37&lt;Bewertung_Stammdaten!B$95,Bewertung_Stammdaten!A$95,IF(BL37&lt;Bewertung_Stammdaten!B$96,Bewertung_Stammdaten!A$96,IF(BL37&lt;Bewertung_Stammdaten!B$97,Bewertung_Stammdaten!A$97,IF(BL37&lt;Bewertung_Stammdaten!B$98,Bewertung_Stammdaten!A$98,Bewertung_Stammdaten!A$99)))))))))</f>
        <v>5</v>
      </c>
      <c r="BP37" s="41">
        <f>IF(BM37&lt;Bewertung_Stammdaten!F$90,Bewertung_Stammdaten!E$90,IF(BM37&lt;Bewertung_Stammdaten!F$91,Bewertung_Stammdaten!E$91,IF(BM37&lt;Bewertung_Stammdaten!F$92,Bewertung_Stammdaten!E$92,IF(BM37&lt;Bewertung_Stammdaten!F$93,Bewertung_Stammdaten!E$93,IF(BM37&lt;Bewertung_Stammdaten!F$94,Bewertung_Stammdaten!E$94,IF(BM37&lt;Bewertung_Stammdaten!F$95,Bewertung_Stammdaten!E$95,IF(BM37&lt;Bewertung_Stammdaten!F$96,Bewertung_Stammdaten!E$96,IF(BM37&lt;Bewertung_Stammdaten!F$97,Bewertung_Stammdaten!E$97,IF(BM37&lt;Bewertung_Stammdaten!F$98,Bewertung_Stammdaten!E$98,Bewertung_Stammdaten!E$99)))))))))</f>
        <v>1</v>
      </c>
      <c r="BQ37" s="32">
        <f ca="1">IF(BN37&lt;Bewertung_Stammdaten!J$90,Bewertung_Stammdaten!I$90,IF(BN37&lt;Bewertung_Stammdaten!J$91,Bewertung_Stammdaten!I$91,IF(BN37&lt;Bewertung_Stammdaten!J$92,Bewertung_Stammdaten!I$92,IF(BN37&lt;Bewertung_Stammdaten!J$93,Bewertung_Stammdaten!I$93,IF(BN37&lt;Bewertung_Stammdaten!J$94,Bewertung_Stammdaten!I$94,IF(BN37&lt;Bewertung_Stammdaten!J$95,Bewertung_Stammdaten!I$95,IF(BN37&lt;Bewertung_Stammdaten!J$96,Bewertung_Stammdaten!I$96,IF(BN37&lt;Bewertung_Stammdaten!J$97,Bewertung_Stammdaten!I$97,IF(BN37&lt;Bewertung_Stammdaten!J$98,Bewertung_Stammdaten!I$98,Bewertung_Stammdaten!I$99)))))))))</f>
        <v>2</v>
      </c>
    </row>
    <row r="38" spans="1:69">
      <c r="A38" s="38" t="s">
        <v>68</v>
      </c>
      <c r="B38" s="38" t="s">
        <v>69</v>
      </c>
      <c r="C38" s="38" t="s">
        <v>283</v>
      </c>
      <c r="D38" s="32">
        <f t="shared" ca="1" si="11"/>
        <v>139.5</v>
      </c>
      <c r="E38" s="43"/>
      <c r="F38" s="60">
        <v>1</v>
      </c>
      <c r="G38" s="11">
        <f ca="1">VLOOKUP(A38,KGV!A$3:R$103,17,FALSE)</f>
        <v>20.544759892721675</v>
      </c>
      <c r="H38" s="11">
        <f>VLOOKUP(A38,KGV!A$3:R$103,16,FALSE)</f>
        <v>18.63486842105263</v>
      </c>
      <c r="I38" s="12">
        <f ca="1">VLOOKUP(A38,KGV!A$3:R$103,18,FALSE)</f>
        <v>0.10249020430492317</v>
      </c>
      <c r="J38" s="16">
        <f t="shared" ca="1" si="12"/>
        <v>23.199419878859867</v>
      </c>
      <c r="K38" s="12">
        <f t="shared" ca="1" si="13"/>
        <v>0.24494680373758171</v>
      </c>
      <c r="L38" s="11">
        <f ca="1">VLOOKUP(A38,KBV!A$3:R$103,17,FALSE)</f>
        <v>3.6876254262955075</v>
      </c>
      <c r="M38" s="11">
        <f>VLOOKUP(A38,KBV!A$3:R$103,16,FALSE)</f>
        <v>2.7283261802575107</v>
      </c>
      <c r="N38" s="12">
        <f ca="1">VLOOKUP(A38,KBV!A$3:R$103,18,FALSE)</f>
        <v>0.35160724292410461</v>
      </c>
      <c r="O38" s="16">
        <f t="shared" ca="1" si="14"/>
        <v>4.0971852024402518</v>
      </c>
      <c r="P38" s="12">
        <f t="shared" ca="1" si="15"/>
        <v>0.50172117692084095</v>
      </c>
      <c r="Q38" s="32">
        <f ca="1">IF(F38=1,IF(I38&lt;Bewertung_Stammdaten!B$12,Bewertung_Stammdaten!A$12,IF(I38&lt;Bewertung_Stammdaten!B$13,Bewertung_Stammdaten!A$13,IF(I38&lt;Bewertung_Stammdaten!B$14,Bewertung_Stammdaten!A$14,IF(I38&lt;Bewertung_Stammdaten!B$15,Bewertung_Stammdaten!A$15,IF(I38&lt;Bewertung_Stammdaten!B$16,Bewertung_Stammdaten!A$16,IF(I38&lt;Bewertung_Stammdaten!B$17,Bewertung_Stammdaten!A$17,IF(I38&lt;Bewertung_Stammdaten!B$18,Bewertung_Stammdaten!A$18,IF(I38&lt;Bewertung_Stammdaten!B$19,Bewertung_Stammdaten!A$19,IF(I38&lt;Bewertung_Stammdaten!B$20,Bewertung_Stammdaten!A$20,Bewertung_Stammdaten!A$21))))))))),IF(N38&lt;Bewertung_Stammdaten!C$12,Bewertung_Stammdaten!A$12,IF(N38&lt;Bewertung_Stammdaten!C$13,Bewertung_Stammdaten!A$13,IF(N38&lt;Bewertung_Stammdaten!C$14,Bewertung_Stammdaten!A$14,IF(N38&lt;Bewertung_Stammdaten!C$15,Bewertung_Stammdaten!A$15,IF(N38&lt;Bewertung_Stammdaten!C$16,Bewertung_Stammdaten!A$16,IF(N38&lt;Bewertung_Stammdaten!C$17,Bewertung_Stammdaten!A$17,IF(N38&lt;Bewertung_Stammdaten!C$18,Bewertung_Stammdaten!A$18,IF(N38&lt;Bewertung_Stammdaten!C$19,Bewertung_Stammdaten!A$19,IF(N38&lt;Bewertung_Stammdaten!C$20,Bewertung_Stammdaten!A$20,Bewertung_Stammdaten!A$21))))))))))</f>
        <v>24</v>
      </c>
      <c r="R38" s="32">
        <f ca="1">IF(F38=1,IF(K38&lt;Bewertung_Stammdaten!F$12,Bewertung_Stammdaten!E$12,IF(K38&lt;Bewertung_Stammdaten!F$13,Bewertung_Stammdaten!E$13,IF(K38&lt;Bewertung_Stammdaten!F$14,Bewertung_Stammdaten!E$14,IF(K38&lt;Bewertung_Stammdaten!F$15,Bewertung_Stammdaten!E$15,IF(K38&lt;Bewertung_Stammdaten!F$16,Bewertung_Stammdaten!E$16,IF(K38&lt;Bewertung_Stammdaten!F$17,Bewertung_Stammdaten!E$17,IF(K38&lt;Bewertung_Stammdaten!F$18,Bewertung_Stammdaten!E$18,IF(K38&lt;Bewertung_Stammdaten!F$19,Bewertung_Stammdaten!E$19,IF(K38&lt;Bewertung_Stammdaten!F$20,Bewertung_Stammdaten!E$20,Bewertung_Stammdaten!E$21))))))))),IF(P38&lt;Bewertung_Stammdaten!G$12,Bewertung_Stammdaten!E$12,IF(P38&lt;Bewertung_Stammdaten!G$13,Bewertung_Stammdaten!E$13,IF(P38&lt;Bewertung_Stammdaten!G$14,Bewertung_Stammdaten!E$14,IF(P38&lt;Bewertung_Stammdaten!G$15,Bewertung_Stammdaten!E$15,IF(P38&lt;Bewertung_Stammdaten!G$16,Bewertung_Stammdaten!E$16,IF(P38&lt;Bewertung_Stammdaten!G$17,Bewertung_Stammdaten!E$17,IF(P38&lt;Bewertung_Stammdaten!G$18,Bewertung_Stammdaten!E$18,IF(P38&lt;Bewertung_Stammdaten!G$19,Bewertung_Stammdaten!E$19,IF(P38&lt;Bewertung_Stammdaten!G$20,Bewertung_Stammdaten!E$20,Bewertung_Stammdaten!E$21))))))))))</f>
        <v>12.5</v>
      </c>
      <c r="S38" s="43"/>
      <c r="T38" s="11">
        <f ca="1">VLOOKUP(A38,Buchwert_je_Aktie!A$3:AK$103,23,FALSE)</f>
        <v>22.561944444444446</v>
      </c>
      <c r="U38" s="11">
        <f>VLOOKUP(A38,Buchwert_je_Aktie!A$3:AK$103,19,FALSE)</f>
        <v>22.836153846153845</v>
      </c>
      <c r="V38" s="12">
        <f ca="1">VLOOKUP(A38,Buchwert_je_Aktie!A$3:AK$103,24,FALSE)</f>
        <v>-1.20076876148556E-2</v>
      </c>
      <c r="W38" s="12">
        <f>VLOOKUP(A38,Buchwert_je_Aktie!A$3:AK$103,37,FALSE)</f>
        <v>-9.9961255327392418E-2</v>
      </c>
      <c r="X38" s="16">
        <f t="shared" ca="1" si="16"/>
        <v>20.306624155150892</v>
      </c>
      <c r="Y38" s="12">
        <f t="shared" ca="1" si="17"/>
        <v>-0.11076863941468784</v>
      </c>
      <c r="Z38" s="51">
        <f ca="1">IF(V38&lt;Bewertung_Stammdaten!B$25,Bewertung_Stammdaten!A$25,IF(V38&lt;Bewertung_Stammdaten!B$26,Bewertung_Stammdaten!A$26,IF(V38&lt;Bewertung_Stammdaten!B$27,Bewertung_Stammdaten!A$27,IF(V38&lt;Bewertung_Stammdaten!B$28,Bewertung_Stammdaten!A$28,IF(V38&lt;Bewertung_Stammdaten!B$29,Bewertung_Stammdaten!A$29,IF(V38&lt;Bewertung_Stammdaten!B$30,Bewertung_Stammdaten!A$30,IF(V38&lt;Bewertung_Stammdaten!B$31,Bewertung_Stammdaten!A$31,IF(V38&lt;Bewertung_Stammdaten!B$32,Bewertung_Stammdaten!A$32,IF(V38&lt;Bewertung_Stammdaten!B$33,Bewertung_Stammdaten!A$33,Bewertung_Stammdaten!A$34)))))))))</f>
        <v>3</v>
      </c>
      <c r="AA38" s="51">
        <f>IF(W38&lt;Bewertung_Stammdaten!F$25,Bewertung_Stammdaten!E$25,IF(W38&lt;Bewertung_Stammdaten!F$26,Bewertung_Stammdaten!E$26,IF(W38&lt;Bewertung_Stammdaten!F$27,Bewertung_Stammdaten!E$27,IF(W38&lt;Bewertung_Stammdaten!F$28,Bewertung_Stammdaten!E$28,IF(W38&lt;Bewertung_Stammdaten!F$29,Bewertung_Stammdaten!E$29,IF(W38&lt;Bewertung_Stammdaten!F$30,Bewertung_Stammdaten!E$30,IF(W38&lt;Bewertung_Stammdaten!F$31,Bewertung_Stammdaten!E$31,IF(W38&lt;Bewertung_Stammdaten!F$32,Bewertung_Stammdaten!E$32,IF(W38&lt;Bewertung_Stammdaten!F$33,Bewertung_Stammdaten!E$33,Bewertung_Stammdaten!E$34)))))))))</f>
        <v>9</v>
      </c>
      <c r="AB38" s="51">
        <f ca="1">IF(Y38&lt;Bewertung_Stammdaten!J$25,Bewertung_Stammdaten!I$25,IF(Y38&lt;Bewertung_Stammdaten!J$26,Bewertung_Stammdaten!I$26,IF(Y38&lt;Bewertung_Stammdaten!J$27,Bewertung_Stammdaten!I$27,IF(Y38&lt;Bewertung_Stammdaten!J$28,Bewertung_Stammdaten!I$28,IF(Y38&lt;Bewertung_Stammdaten!J$29,Bewertung_Stammdaten!I$29,IF(Y38&lt;Bewertung_Stammdaten!J$30,Bewertung_Stammdaten!I$30,IF(Y38&lt;Bewertung_Stammdaten!J$31,Bewertung_Stammdaten!I$31,IF(Y38&lt;Bewertung_Stammdaten!J$32,Bewertung_Stammdaten!I$32,IF(Y38&lt;Bewertung_Stammdaten!J$33,Bewertung_Stammdaten!I$33,Bewertung_Stammdaten!I$34)))))))))</f>
        <v>1</v>
      </c>
      <c r="AC38" s="43"/>
      <c r="AD38" s="14">
        <f ca="1">VLOOKUP(A38,Ergebnis_je_Aktie_verwässert!A$3:AK$103,23,FALSE)</f>
        <v>4.0496944444444445</v>
      </c>
      <c r="AE38" s="14">
        <f>VLOOKUP(A38,Ergebnis_je_Aktie_verwässert!A$3:AK$103,19,FALSE)</f>
        <v>3.7</v>
      </c>
      <c r="AF38" s="12">
        <f ca="1">VLOOKUP(A38,Ergebnis_je_Aktie_verwässert!A$3:AK$103,24,FALSE)</f>
        <v>9.4512012012011981E-2</v>
      </c>
      <c r="AG38" s="40">
        <f>VLOOKUP(A38,Ergebnis_je_Aktie_verwässert!A$3:AK$103,37,FALSE)</f>
        <v>-0.11442786069651734</v>
      </c>
      <c r="AH38" s="16">
        <f t="shared" ca="1" si="18"/>
        <v>3.5862965726920955</v>
      </c>
      <c r="AI38" s="12">
        <f t="shared" ca="1" si="19"/>
        <v>-3.0730656029163472E-2</v>
      </c>
      <c r="AJ38" s="32">
        <f ca="1">IF(AF38&lt;Bewertung_Stammdaten!B$38,Bewertung_Stammdaten!A$38,IF(AF38&lt;Bewertung_Stammdaten!B$39,Bewertung_Stammdaten!A$39,IF(AF38&lt;Bewertung_Stammdaten!B$40,Bewertung_Stammdaten!A$40,IF(AF38&lt;Bewertung_Stammdaten!B$41,Bewertung_Stammdaten!A$41,IF(AF38&lt;Bewertung_Stammdaten!B$42,Bewertung_Stammdaten!A$42,IF(AF38&lt;Bewertung_Stammdaten!B$43,Bewertung_Stammdaten!A$43,IF(AF38&lt;Bewertung_Stammdaten!B$44,Bewertung_Stammdaten!A$44,IF(AF38&lt;Bewertung_Stammdaten!B$45,Bewertung_Stammdaten!A$45,IF(AF38&lt;Bewertung_Stammdaten!B$46,Bewertung_Stammdaten!A$46,Bewertung_Stammdaten!A$47)))))))))</f>
        <v>8</v>
      </c>
      <c r="AK38" s="32">
        <f>IF(AG38&lt;Bewertung_Stammdaten!F$38,Bewertung_Stammdaten!E$38,IF(AG38&lt;Bewertung_Stammdaten!F$39,Bewertung_Stammdaten!E$39,IF(AG38&lt;Bewertung_Stammdaten!F$40,Bewertung_Stammdaten!E$40,IF(AG38&lt;Bewertung_Stammdaten!F$41,Bewertung_Stammdaten!E$41,IF(AG38&lt;Bewertung_Stammdaten!F$42,Bewertung_Stammdaten!E$42,IF(AG38&lt;Bewertung_Stammdaten!F$43,Bewertung_Stammdaten!E$43,IF(AG38&lt;Bewertung_Stammdaten!F$44,Bewertung_Stammdaten!E$44,IF(AG38&lt;Bewertung_Stammdaten!F$45,Bewertung_Stammdaten!E$45,IF(AG38&lt;Bewertung_Stammdaten!F$46,Bewertung_Stammdaten!E$46,Bewertung_Stammdaten!E$47)))))))))</f>
        <v>9</v>
      </c>
      <c r="AL38" s="32">
        <f ca="1">IF(AI38&lt;Bewertung_Stammdaten!J$38,Bewertung_Stammdaten!I$38,IF(AI38&lt;Bewertung_Stammdaten!J$39,Bewertung_Stammdaten!I$39,IF(AI38&lt;Bewertung_Stammdaten!J$40,Bewertung_Stammdaten!I$40,IF(AI38&lt;Bewertung_Stammdaten!J$41,Bewertung_Stammdaten!I$41,IF(AI38&lt;Bewertung_Stammdaten!J$42,Bewertung_Stammdaten!I$42,IF(AI38&lt;Bewertung_Stammdaten!J$43,Bewertung_Stammdaten!I$43,IF(AI38&lt;Bewertung_Stammdaten!J$44,Bewertung_Stammdaten!I$44,IF(AI38&lt;Bewertung_Stammdaten!J$45,Bewertung_Stammdaten!I$45,IF(AI38&lt;Bewertung_Stammdaten!J$46,Bewertung_Stammdaten!I$46,Bewertung_Stammdaten!I$47)))))))))</f>
        <v>4</v>
      </c>
      <c r="AM38" s="43"/>
      <c r="AN38" s="14">
        <f ca="1">VLOOKUP(A38,Dividende_je_Aktie!A$3:AM$103,24,FALSE)</f>
        <v>2.8164722222222225</v>
      </c>
      <c r="AO38" s="14">
        <f>VLOOKUP(A38,Dividende_je_Aktie!A$3:AM$103,20,FALSE)</f>
        <v>2.0300000000000002</v>
      </c>
      <c r="AP38" s="12">
        <f ca="1">VLOOKUP(A38,Dividende_je_Aktie!A$3:AM$103,25,FALSE)</f>
        <v>0.38742474001094696</v>
      </c>
      <c r="AQ38" s="40">
        <f>VLOOKUP(A38,Dividende_je_Aktie!A$3:AM$103,39,FALSE)</f>
        <v>3.4749034749034902E-2</v>
      </c>
      <c r="AR38" s="16">
        <f t="shared" ca="1" si="20"/>
        <v>2.8164722222222225</v>
      </c>
      <c r="AS38" s="12">
        <f t="shared" ca="1" si="21"/>
        <v>0.38742474001094696</v>
      </c>
      <c r="AT38" s="32">
        <f ca="1">IF(AP38&lt;Bewertung_Stammdaten!B$51,Bewertung_Stammdaten!A$51,IF(AP38&lt;Bewertung_Stammdaten!B$52,Bewertung_Stammdaten!A$52,IF(AP38&lt;Bewertung_Stammdaten!B$53,Bewertung_Stammdaten!A$53,IF(AP38&lt;Bewertung_Stammdaten!B$54,Bewertung_Stammdaten!A$54,IF(AP38&lt;Bewertung_Stammdaten!B$55,Bewertung_Stammdaten!A$55,IF(AP38&lt;Bewertung_Stammdaten!B$56,Bewertung_Stammdaten!A$56,IF(AP38&lt;Bewertung_Stammdaten!B$57,Bewertung_Stammdaten!A$57,IF(AP38&lt;Bewertung_Stammdaten!B$58,Bewertung_Stammdaten!A$58,IF(AP38&lt;Bewertung_Stammdaten!B$59,Bewertung_Stammdaten!A$59,Bewertung_Stammdaten!A$60)))))))))</f>
        <v>12</v>
      </c>
      <c r="AU38" s="32">
        <f>IF(AQ38&lt;Bewertung_Stammdaten!F$51,Bewertung_Stammdaten!E$51,IF(AQ38&lt;Bewertung_Stammdaten!F$52,Bewertung_Stammdaten!E$52,IF(AQ38&lt;Bewertung_Stammdaten!F$53,Bewertung_Stammdaten!E$53,IF(AQ38&lt;Bewertung_Stammdaten!F$54,Bewertung_Stammdaten!E$54,IF(AQ38&lt;Bewertung_Stammdaten!F$55,Bewertung_Stammdaten!E$55,IF(AQ38&lt;Bewertung_Stammdaten!F$56,Bewertung_Stammdaten!E$56,IF(AQ38&lt;Bewertung_Stammdaten!F$57,Bewertung_Stammdaten!E$57,IF(AQ38&lt;Bewertung_Stammdaten!F$58,Bewertung_Stammdaten!E$58,IF(AQ38&lt;Bewertung_Stammdaten!F$59,Bewertung_Stammdaten!E$59,Bewertung_Stammdaten!E$60)))))))))</f>
        <v>12</v>
      </c>
      <c r="AV38" s="32">
        <f ca="1">IF(AS38&lt;Bewertung_Stammdaten!J$51,Bewertung_Stammdaten!I$51,IF(AS38&lt;Bewertung_Stammdaten!J$52,Bewertung_Stammdaten!I$52,IF(AS38&lt;Bewertung_Stammdaten!J$53,Bewertung_Stammdaten!I$53,IF(AS38&lt;Bewertung_Stammdaten!J$54,Bewertung_Stammdaten!I$54,IF(AS38&lt;Bewertung_Stammdaten!J$55,Bewertung_Stammdaten!I$55,IF(AS38&lt;Bewertung_Stammdaten!J$56,Bewertung_Stammdaten!I$56,IF(AS38&lt;Bewertung_Stammdaten!J$57,Bewertung_Stammdaten!I$57,IF(AS38&lt;Bewertung_Stammdaten!J$58,Bewertung_Stammdaten!I$58,IF(AS38&lt;Bewertung_Stammdaten!J$59,Bewertung_Stammdaten!I$59,Bewertung_Stammdaten!I$60)))))))))</f>
        <v>8</v>
      </c>
      <c r="AW38" s="43"/>
      <c r="AX38" s="12">
        <f ca="1">VLOOKUP(A38,Dividendenrendite!A$3:R$103,17,FALSE)</f>
        <v>3.3851829594017099E-2</v>
      </c>
      <c r="AY38" s="12">
        <f>VLOOKUP(A38,Dividendenrendite!A$3:R$103,16,FALSE)</f>
        <v>2.8700748529686085E-2</v>
      </c>
      <c r="AZ38" s="12">
        <f ca="1">VLOOKUP(A38,Dividendenrendite!A$3:R$103,18,FALSE)</f>
        <v>0.17947549552594744</v>
      </c>
      <c r="BA38" s="32">
        <f ca="1">IF(AX38&lt;Bewertung_Stammdaten!B$64,Bewertung_Stammdaten!A$64,IF(AX38&lt;Bewertung_Stammdaten!B$65,Bewertung_Stammdaten!A$65,IF(AX38&lt;Bewertung_Stammdaten!B$66,Bewertung_Stammdaten!A$66,IF(AX38&lt;Bewertung_Stammdaten!B$67,Bewertung_Stammdaten!A$67,IF(AX38&lt;Bewertung_Stammdaten!B$68,Bewertung_Stammdaten!A$68,IF(AX38&lt;Bewertung_Stammdaten!B$69,Bewertung_Stammdaten!A$69,IF(AX38&lt;Bewertung_Stammdaten!B$70,Bewertung_Stammdaten!A$70,IF(AX38&lt;Bewertung_Stammdaten!B$71,Bewertung_Stammdaten!A$71,IF(AX38&lt;Bewertung_Stammdaten!B$72,Bewertung_Stammdaten!A$72,Bewertung_Stammdaten!A$73)))))))))</f>
        <v>10.5</v>
      </c>
      <c r="BB38" s="32">
        <f>IF(AY38&lt;Bewertung_Stammdaten!F$64,Bewertung_Stammdaten!E$64,IF(AY38&lt;Bewertung_Stammdaten!F$65,Bewertung_Stammdaten!E$65,IF(AY38&lt;Bewertung_Stammdaten!F$66,Bewertung_Stammdaten!E$66,IF(AY38&lt;Bewertung_Stammdaten!F$67,Bewertung_Stammdaten!E$67,IF(AY38&lt;Bewertung_Stammdaten!F$68,Bewertung_Stammdaten!E$68,IF(AY38&lt;Bewertung_Stammdaten!F$69,Bewertung_Stammdaten!E$69,IF(AY38&lt;Bewertung_Stammdaten!F$70,Bewertung_Stammdaten!E$70,IF(AY38&lt;Bewertung_Stammdaten!F$71,Bewertung_Stammdaten!E$71,IF(AY38&lt;Bewertung_Stammdaten!F$72,Bewertung_Stammdaten!E$72,Bewertung_Stammdaten!E$73)))))))))</f>
        <v>6</v>
      </c>
      <c r="BC38" s="32">
        <f ca="1">IF(AZ38&lt;Bewertung_Stammdaten!J$64,Bewertung_Stammdaten!I$64,IF(AZ38&lt;Bewertung_Stammdaten!J$65,Bewertung_Stammdaten!I$65,IF(AZ38&lt;Bewertung_Stammdaten!J$66,Bewertung_Stammdaten!I$66,IF(AZ38&lt;Bewertung_Stammdaten!J$67,Bewertung_Stammdaten!I$67,IF(AZ38&lt;Bewertung_Stammdaten!J$68,Bewertung_Stammdaten!I$68,IF(AZ38&lt;Bewertung_Stammdaten!J$69,Bewertung_Stammdaten!I$69,IF(AZ38&lt;Bewertung_Stammdaten!J$70,Bewertung_Stammdaten!I$70,IF(AZ38&lt;Bewertung_Stammdaten!J$71,Bewertung_Stammdaten!I$71,IF(AZ38&lt;Bewertung_Stammdaten!J$72,Bewertung_Stammdaten!I$72,Bewertung_Stammdaten!I$73)))))))))</f>
        <v>4.5</v>
      </c>
      <c r="BD38" s="43"/>
      <c r="BE38" s="12">
        <f>VLOOKUP(A38,Aktien_im_Umlauf_splitbereinigt!A$3:AB$103,28,FALSE)</f>
        <v>1.4754703061601315E-3</v>
      </c>
      <c r="BF38" s="12">
        <f>VLOOKUP(A38,Aktien_im_Umlauf_splitbereinigt!A$3:AA$103,26,FALSE)</f>
        <v>-1.7289241447635328E-2</v>
      </c>
      <c r="BG38" s="12">
        <f>VLOOKUP(A38,Aktien_im_Umlauf_splitbereinigt!A$3:AA$103,27,FALSE)</f>
        <v>-1.085340372544912</v>
      </c>
      <c r="BH38" s="41">
        <f>IF(BE38&lt;Bewertung_Stammdaten!B$77,Bewertung_Stammdaten!A$77,IF(BE38&lt;Bewertung_Stammdaten!B$78,Bewertung_Stammdaten!A$78,IF(BE38&lt;Bewertung_Stammdaten!B$79,Bewertung_Stammdaten!A$79,IF(BE38&lt;Bewertung_Stammdaten!B$80,Bewertung_Stammdaten!A$80,IF(BE38&lt;Bewertung_Stammdaten!B$81,Bewertung_Stammdaten!A$81,IF(BE38&lt;Bewertung_Stammdaten!B$82,Bewertung_Stammdaten!A$82,IF(BE38&lt;Bewertung_Stammdaten!B$83,Bewertung_Stammdaten!A$83,IF(BE38&lt;Bewertung_Stammdaten!B$84,Bewertung_Stammdaten!A$84,IF(BE38&lt;Bewertung_Stammdaten!B$85,Bewertung_Stammdaten!A$85,Bewertung_Stammdaten!A$86)))))))))</f>
        <v>2</v>
      </c>
      <c r="BI38" s="41">
        <f>IF(BF38&lt;Bewertung_Stammdaten!F$77,Bewertung_Stammdaten!E$77,IF(BF38&lt;Bewertung_Stammdaten!F$78,Bewertung_Stammdaten!E$78,IF(BF38&lt;Bewertung_Stammdaten!F$79,Bewertung_Stammdaten!E$79,IF(BF38&lt;Bewertung_Stammdaten!F$80,Bewertung_Stammdaten!E$80,IF(BF38&lt;Bewertung_Stammdaten!F$81,Bewertung_Stammdaten!E$81,IF(BF38&lt;Bewertung_Stammdaten!F$82,Bewertung_Stammdaten!E$82,IF(BF38&lt;Bewertung_Stammdaten!F$83,Bewertung_Stammdaten!E$83,IF(BF38&lt;Bewertung_Stammdaten!F$84,Bewertung_Stammdaten!E$84,IF(BF38&lt;Bewertung_Stammdaten!F$85,Bewertung_Stammdaten!E$85,Bewertung_Stammdaten!E$86)))))))))</f>
        <v>6</v>
      </c>
      <c r="BJ38" s="41">
        <f>IF(BG38&lt;Bewertung_Stammdaten!J$77,Bewertung_Stammdaten!I$77,IF(BG38&lt;Bewertung_Stammdaten!J$78,Bewertung_Stammdaten!I$78,IF(BG38&lt;Bewertung_Stammdaten!J$79,Bewertung_Stammdaten!I$79,IF(BG38&lt;Bewertung_Stammdaten!J$80,Bewertung_Stammdaten!I$80,IF(BG38&lt;Bewertung_Stammdaten!J$81,Bewertung_Stammdaten!I$81,IF(BG38&lt;Bewertung_Stammdaten!J$82,Bewertung_Stammdaten!I$82,IF(BG38&lt;Bewertung_Stammdaten!J$83,Bewertung_Stammdaten!I$83,IF(BG38&lt;Bewertung_Stammdaten!J$84,Bewertung_Stammdaten!I$84,IF(BG38&lt;Bewertung_Stammdaten!J$85,Bewertung_Stammdaten!I$85,Bewertung_Stammdaten!I$86)))))))))</f>
        <v>1</v>
      </c>
      <c r="BK38" s="43"/>
      <c r="BL38" s="12">
        <f ca="1">VLOOKUP(A38,Ausschüttungsquote!A$3:AL$103,37,FALSE)</f>
        <v>0.6971317328159945</v>
      </c>
      <c r="BM38" s="12">
        <f>VLOOKUP(A38,Ausschüttungsquote!A$3:AL$103,19,FALSE)</f>
        <v>0.76915358739864093</v>
      </c>
      <c r="BN38" s="12">
        <f ca="1">VLOOKUP(A38,Ausschüttungsquote!A$3:AL$103,38,FALSE)</f>
        <v>0.24459127199759645</v>
      </c>
      <c r="BO38" s="32">
        <f ca="1">IF(BL38&lt;Bewertung_Stammdaten!B$90,Bewertung_Stammdaten!A$90,IF(BL38&lt;Bewertung_Stammdaten!B$91,Bewertung_Stammdaten!A$91,IF(BL38&lt;Bewertung_Stammdaten!B$92,Bewertung_Stammdaten!A$92,IF(BL38&lt;Bewertung_Stammdaten!B$93,Bewertung_Stammdaten!A$93,IF(BL38&lt;Bewertung_Stammdaten!B$94,Bewertung_Stammdaten!A$94,IF(BL38&lt;Bewertung_Stammdaten!B$95,Bewertung_Stammdaten!A$95,IF(BL38&lt;Bewertung_Stammdaten!B$96,Bewertung_Stammdaten!A$96,IF(BL38&lt;Bewertung_Stammdaten!B$97,Bewertung_Stammdaten!A$97,IF(BL38&lt;Bewertung_Stammdaten!B$98,Bewertung_Stammdaten!A$98,Bewertung_Stammdaten!A$99)))))))))</f>
        <v>4</v>
      </c>
      <c r="BP38" s="41">
        <f>IF(BM38&lt;Bewertung_Stammdaten!F$90,Bewertung_Stammdaten!E$90,IF(BM38&lt;Bewertung_Stammdaten!F$91,Bewertung_Stammdaten!E$91,IF(BM38&lt;Bewertung_Stammdaten!F$92,Bewertung_Stammdaten!E$92,IF(BM38&lt;Bewertung_Stammdaten!F$93,Bewertung_Stammdaten!E$93,IF(BM38&lt;Bewertung_Stammdaten!F$94,Bewertung_Stammdaten!E$94,IF(BM38&lt;Bewertung_Stammdaten!F$95,Bewertung_Stammdaten!E$95,IF(BM38&lt;Bewertung_Stammdaten!F$96,Bewertung_Stammdaten!E$96,IF(BM38&lt;Bewertung_Stammdaten!F$97,Bewertung_Stammdaten!E$97,IF(BM38&lt;Bewertung_Stammdaten!F$98,Bewertung_Stammdaten!E$98,Bewertung_Stammdaten!E$99)))))))))</f>
        <v>2</v>
      </c>
      <c r="BQ38" s="32">
        <f ca="1">IF(BN38&lt;Bewertung_Stammdaten!J$90,Bewertung_Stammdaten!I$90,IF(BN38&lt;Bewertung_Stammdaten!J$91,Bewertung_Stammdaten!I$91,IF(BN38&lt;Bewertung_Stammdaten!J$92,Bewertung_Stammdaten!I$92,IF(BN38&lt;Bewertung_Stammdaten!J$93,Bewertung_Stammdaten!I$93,IF(BN38&lt;Bewertung_Stammdaten!J$94,Bewertung_Stammdaten!I$94,IF(BN38&lt;Bewertung_Stammdaten!J$95,Bewertung_Stammdaten!I$95,IF(BN38&lt;Bewertung_Stammdaten!J$96,Bewertung_Stammdaten!I$96,IF(BN38&lt;Bewertung_Stammdaten!J$97,Bewertung_Stammdaten!I$97,IF(BN38&lt;Bewertung_Stammdaten!J$98,Bewertung_Stammdaten!I$98,Bewertung_Stammdaten!I$99)))))))))</f>
        <v>1</v>
      </c>
    </row>
    <row r="39" spans="1:69">
      <c r="A39" s="55" t="s">
        <v>266</v>
      </c>
      <c r="B39" s="55" t="s">
        <v>270</v>
      </c>
      <c r="C39" s="38" t="s">
        <v>282</v>
      </c>
      <c r="D39" s="32">
        <f t="shared" ca="1" si="11"/>
        <v>140.5</v>
      </c>
      <c r="E39" s="43"/>
      <c r="F39" s="60">
        <v>1</v>
      </c>
      <c r="G39" s="11">
        <f ca="1">VLOOKUP(A39,KGV!A$3:R$103,17,FALSE)</f>
        <v>17.261227970437751</v>
      </c>
      <c r="H39" s="11">
        <f>VLOOKUP(A39,KGV!A$3:R$103,16,FALSE)</f>
        <v>15.589641434262951</v>
      </c>
      <c r="I39" s="12">
        <f ca="1">VLOOKUP(A39,KGV!A$3:R$103,18,FALSE)</f>
        <v>0.10722418108353549</v>
      </c>
      <c r="J39" s="16">
        <f t="shared" ca="1" si="12"/>
        <v>20.57779579008518</v>
      </c>
      <c r="K39" s="12">
        <f t="shared" ca="1" si="13"/>
        <v>0.31996594513452048</v>
      </c>
      <c r="L39" s="11">
        <f ca="1">VLOOKUP(A39,KBV!A$3:R$103,17,FALSE)</f>
        <v>1.546542722526423</v>
      </c>
      <c r="M39" s="11">
        <f>VLOOKUP(A39,KBV!A$3:R$103,16,FALSE)</f>
        <v>1.5588554380254951</v>
      </c>
      <c r="N39" s="12">
        <f ca="1">VLOOKUP(A39,KBV!A$3:R$103,18,FALSE)</f>
        <v>-7.8985614693481976E-3</v>
      </c>
      <c r="O39" s="16">
        <f t="shared" ca="1" si="14"/>
        <v>1.7493369275635888</v>
      </c>
      <c r="P39" s="12">
        <f t="shared" ca="1" si="15"/>
        <v>0.12219317127915641</v>
      </c>
      <c r="Q39" s="32">
        <f ca="1">IF(F39=1,IF(I39&lt;Bewertung_Stammdaten!B$12,Bewertung_Stammdaten!A$12,IF(I39&lt;Bewertung_Stammdaten!B$13,Bewertung_Stammdaten!A$13,IF(I39&lt;Bewertung_Stammdaten!B$14,Bewertung_Stammdaten!A$14,IF(I39&lt;Bewertung_Stammdaten!B$15,Bewertung_Stammdaten!A$15,IF(I39&lt;Bewertung_Stammdaten!B$16,Bewertung_Stammdaten!A$16,IF(I39&lt;Bewertung_Stammdaten!B$17,Bewertung_Stammdaten!A$17,IF(I39&lt;Bewertung_Stammdaten!B$18,Bewertung_Stammdaten!A$18,IF(I39&lt;Bewertung_Stammdaten!B$19,Bewertung_Stammdaten!A$19,IF(I39&lt;Bewertung_Stammdaten!B$20,Bewertung_Stammdaten!A$20,Bewertung_Stammdaten!A$21))))))))),IF(N39&lt;Bewertung_Stammdaten!C$12,Bewertung_Stammdaten!A$12,IF(N39&lt;Bewertung_Stammdaten!C$13,Bewertung_Stammdaten!A$13,IF(N39&lt;Bewertung_Stammdaten!C$14,Bewertung_Stammdaten!A$14,IF(N39&lt;Bewertung_Stammdaten!C$15,Bewertung_Stammdaten!A$15,IF(N39&lt;Bewertung_Stammdaten!C$16,Bewertung_Stammdaten!A$16,IF(N39&lt;Bewertung_Stammdaten!C$17,Bewertung_Stammdaten!A$17,IF(N39&lt;Bewertung_Stammdaten!C$18,Bewertung_Stammdaten!A$18,IF(N39&lt;Bewertung_Stammdaten!C$19,Bewertung_Stammdaten!A$19,IF(N39&lt;Bewertung_Stammdaten!C$20,Bewertung_Stammdaten!A$20,Bewertung_Stammdaten!A$21))))))))))</f>
        <v>24</v>
      </c>
      <c r="R39" s="32">
        <f ca="1">IF(F39=1,IF(K39&lt;Bewertung_Stammdaten!F$12,Bewertung_Stammdaten!E$12,IF(K39&lt;Bewertung_Stammdaten!F$13,Bewertung_Stammdaten!E$13,IF(K39&lt;Bewertung_Stammdaten!F$14,Bewertung_Stammdaten!E$14,IF(K39&lt;Bewertung_Stammdaten!F$15,Bewertung_Stammdaten!E$15,IF(K39&lt;Bewertung_Stammdaten!F$16,Bewertung_Stammdaten!E$16,IF(K39&lt;Bewertung_Stammdaten!F$17,Bewertung_Stammdaten!E$17,IF(K39&lt;Bewertung_Stammdaten!F$18,Bewertung_Stammdaten!E$18,IF(K39&lt;Bewertung_Stammdaten!F$19,Bewertung_Stammdaten!E$19,IF(K39&lt;Bewertung_Stammdaten!F$20,Bewertung_Stammdaten!E$20,Bewertung_Stammdaten!E$21))))))))),IF(P39&lt;Bewertung_Stammdaten!G$12,Bewertung_Stammdaten!E$12,IF(P39&lt;Bewertung_Stammdaten!G$13,Bewertung_Stammdaten!E$13,IF(P39&lt;Bewertung_Stammdaten!G$14,Bewertung_Stammdaten!E$14,IF(P39&lt;Bewertung_Stammdaten!G$15,Bewertung_Stammdaten!E$15,IF(P39&lt;Bewertung_Stammdaten!G$16,Bewertung_Stammdaten!E$16,IF(P39&lt;Bewertung_Stammdaten!G$17,Bewertung_Stammdaten!E$17,IF(P39&lt;Bewertung_Stammdaten!G$18,Bewertung_Stammdaten!E$18,IF(P39&lt;Bewertung_Stammdaten!G$19,Bewertung_Stammdaten!E$19,IF(P39&lt;Bewertung_Stammdaten!G$20,Bewertung_Stammdaten!E$20,Bewertung_Stammdaten!E$21))))))))))</f>
        <v>7.5</v>
      </c>
      <c r="S39" s="43"/>
      <c r="T39" s="11">
        <f ca="1">VLOOKUP(A39,Buchwert_je_Aktie!A$3:AK$103,23,FALSE)</f>
        <v>78.53</v>
      </c>
      <c r="U39" s="11">
        <f>VLOOKUP(A39,Buchwert_je_Aktie!A$3:AK$103,19,FALSE)</f>
        <v>69.424615384615379</v>
      </c>
      <c r="V39" s="12">
        <f ca="1">VLOOKUP(A39,Buchwert_je_Aktie!A$3:AK$103,24,FALSE)</f>
        <v>0.13115498825510796</v>
      </c>
      <c r="W39" s="12">
        <f>VLOOKUP(A39,Buchwert_je_Aktie!A$3:AK$103,37,FALSE)</f>
        <v>-0.11592632719393281</v>
      </c>
      <c r="X39" s="16">
        <f t="shared" ca="1" si="16"/>
        <v>69.426305525460464</v>
      </c>
      <c r="Y39" s="12">
        <f t="shared" ca="1" si="17"/>
        <v>2.4344979597135108E-5</v>
      </c>
      <c r="Z39" s="51">
        <f ca="1">IF(V39&lt;Bewertung_Stammdaten!B$25,Bewertung_Stammdaten!A$25,IF(V39&lt;Bewertung_Stammdaten!B$26,Bewertung_Stammdaten!A$26,IF(V39&lt;Bewertung_Stammdaten!B$27,Bewertung_Stammdaten!A$27,IF(V39&lt;Bewertung_Stammdaten!B$28,Bewertung_Stammdaten!A$28,IF(V39&lt;Bewertung_Stammdaten!B$29,Bewertung_Stammdaten!A$29,IF(V39&lt;Bewertung_Stammdaten!B$30,Bewertung_Stammdaten!A$30,IF(V39&lt;Bewertung_Stammdaten!B$31,Bewertung_Stammdaten!A$31,IF(V39&lt;Bewertung_Stammdaten!B$32,Bewertung_Stammdaten!A$32,IF(V39&lt;Bewertung_Stammdaten!B$33,Bewertung_Stammdaten!A$33,Bewertung_Stammdaten!A$34)))))))))</f>
        <v>6</v>
      </c>
      <c r="AA39" s="51">
        <f>IF(W39&lt;Bewertung_Stammdaten!F$25,Bewertung_Stammdaten!E$25,IF(W39&lt;Bewertung_Stammdaten!F$26,Bewertung_Stammdaten!E$26,IF(W39&lt;Bewertung_Stammdaten!F$27,Bewertung_Stammdaten!E$27,IF(W39&lt;Bewertung_Stammdaten!F$28,Bewertung_Stammdaten!E$28,IF(W39&lt;Bewertung_Stammdaten!F$29,Bewertung_Stammdaten!E$29,IF(W39&lt;Bewertung_Stammdaten!F$30,Bewertung_Stammdaten!E$30,IF(W39&lt;Bewertung_Stammdaten!F$31,Bewertung_Stammdaten!E$31,IF(W39&lt;Bewertung_Stammdaten!F$32,Bewertung_Stammdaten!E$32,IF(W39&lt;Bewertung_Stammdaten!F$33,Bewertung_Stammdaten!E$33,Bewertung_Stammdaten!E$34)))))))))</f>
        <v>7.5</v>
      </c>
      <c r="AB39" s="51">
        <f ca="1">IF(Y39&lt;Bewertung_Stammdaten!J$25,Bewertung_Stammdaten!I$25,IF(Y39&lt;Bewertung_Stammdaten!J$26,Bewertung_Stammdaten!I$26,IF(Y39&lt;Bewertung_Stammdaten!J$27,Bewertung_Stammdaten!I$27,IF(Y39&lt;Bewertung_Stammdaten!J$28,Bewertung_Stammdaten!I$28,IF(Y39&lt;Bewertung_Stammdaten!J$29,Bewertung_Stammdaten!I$29,IF(Y39&lt;Bewertung_Stammdaten!J$30,Bewertung_Stammdaten!I$30,IF(Y39&lt;Bewertung_Stammdaten!J$31,Bewertung_Stammdaten!I$31,IF(Y39&lt;Bewertung_Stammdaten!J$32,Bewertung_Stammdaten!I$32,IF(Y39&lt;Bewertung_Stammdaten!J$33,Bewertung_Stammdaten!I$33,Bewertung_Stammdaten!I$34)))))))))</f>
        <v>3</v>
      </c>
      <c r="AC39" s="43"/>
      <c r="AD39" s="14">
        <f ca="1">VLOOKUP(A39,Ergebnis_je_Aktie_verwässert!A$3:AK$103,23,FALSE)</f>
        <v>7.0359999999999996</v>
      </c>
      <c r="AE39" s="14">
        <f>VLOOKUP(A39,Ergebnis_je_Aktie_verwässert!A$3:AK$103,19,FALSE)</f>
        <v>6.5299999999999994</v>
      </c>
      <c r="AF39" s="12">
        <f ca="1">VLOOKUP(A39,Ergebnis_je_Aktie_verwässert!A$3:AK$103,24,FALSE)</f>
        <v>7.7488514548238907E-2</v>
      </c>
      <c r="AG39" s="40">
        <f>VLOOKUP(A39,Ergebnis_je_Aktie_verwässert!A$3:AK$103,37,FALSE)</f>
        <v>-0.16117216117216115</v>
      </c>
      <c r="AH39" s="16">
        <f t="shared" ca="1" si="18"/>
        <v>5.901992673992674</v>
      </c>
      <c r="AI39" s="12">
        <f t="shared" ca="1" si="19"/>
        <v>-9.6172637979682341E-2</v>
      </c>
      <c r="AJ39" s="32">
        <f ca="1">IF(AF39&lt;Bewertung_Stammdaten!B$38,Bewertung_Stammdaten!A$38,IF(AF39&lt;Bewertung_Stammdaten!B$39,Bewertung_Stammdaten!A$39,IF(AF39&lt;Bewertung_Stammdaten!B$40,Bewertung_Stammdaten!A$40,IF(AF39&lt;Bewertung_Stammdaten!B$41,Bewertung_Stammdaten!A$41,IF(AF39&lt;Bewertung_Stammdaten!B$42,Bewertung_Stammdaten!A$42,IF(AF39&lt;Bewertung_Stammdaten!B$43,Bewertung_Stammdaten!A$43,IF(AF39&lt;Bewertung_Stammdaten!B$44,Bewertung_Stammdaten!A$44,IF(AF39&lt;Bewertung_Stammdaten!B$45,Bewertung_Stammdaten!A$45,IF(AF39&lt;Bewertung_Stammdaten!B$46,Bewertung_Stammdaten!A$46,Bewertung_Stammdaten!A$47)))))))))</f>
        <v>8</v>
      </c>
      <c r="AK39" s="32">
        <f>IF(AG39&lt;Bewertung_Stammdaten!F$38,Bewertung_Stammdaten!E$38,IF(AG39&lt;Bewertung_Stammdaten!F$39,Bewertung_Stammdaten!E$39,IF(AG39&lt;Bewertung_Stammdaten!F$40,Bewertung_Stammdaten!E$40,IF(AG39&lt;Bewertung_Stammdaten!F$41,Bewertung_Stammdaten!E$41,IF(AG39&lt;Bewertung_Stammdaten!F$42,Bewertung_Stammdaten!E$42,IF(AG39&lt;Bewertung_Stammdaten!F$43,Bewertung_Stammdaten!E$43,IF(AG39&lt;Bewertung_Stammdaten!F$44,Bewertung_Stammdaten!E$44,IF(AG39&lt;Bewertung_Stammdaten!F$45,Bewertung_Stammdaten!E$45,IF(AG39&lt;Bewertung_Stammdaten!F$46,Bewertung_Stammdaten!E$46,Bewertung_Stammdaten!E$47)))))))))</f>
        <v>9</v>
      </c>
      <c r="AL39" s="32">
        <f ca="1">IF(AI39&lt;Bewertung_Stammdaten!J$38,Bewertung_Stammdaten!I$38,IF(AI39&lt;Bewertung_Stammdaten!J$39,Bewertung_Stammdaten!I$39,IF(AI39&lt;Bewertung_Stammdaten!J$40,Bewertung_Stammdaten!I$40,IF(AI39&lt;Bewertung_Stammdaten!J$41,Bewertung_Stammdaten!I$41,IF(AI39&lt;Bewertung_Stammdaten!J$42,Bewertung_Stammdaten!I$42,IF(AI39&lt;Bewertung_Stammdaten!J$43,Bewertung_Stammdaten!I$43,IF(AI39&lt;Bewertung_Stammdaten!J$44,Bewertung_Stammdaten!I$44,IF(AI39&lt;Bewertung_Stammdaten!J$45,Bewertung_Stammdaten!I$45,IF(AI39&lt;Bewertung_Stammdaten!J$46,Bewertung_Stammdaten!I$46,Bewertung_Stammdaten!I$47)))))))))</f>
        <v>3</v>
      </c>
      <c r="AM39" s="43"/>
      <c r="AN39" s="14">
        <f ca="1">VLOOKUP(A39,Dividende_je_Aktie!A$3:AM$103,24,FALSE)</f>
        <v>3.6129999999999995</v>
      </c>
      <c r="AO39" s="14">
        <f>VLOOKUP(A39,Dividende_je_Aktie!A$3:AM$103,20,FALSE)</f>
        <v>2.5978571428571429</v>
      </c>
      <c r="AP39" s="12">
        <f ca="1">VLOOKUP(A39,Dividende_je_Aktie!A$3:AM$103,25,FALSE)</f>
        <v>0.39076161671707443</v>
      </c>
      <c r="AQ39" s="40">
        <f>VLOOKUP(A39,Dividende_je_Aktie!A$3:AM$103,39,FALSE)</f>
        <v>0</v>
      </c>
      <c r="AR39" s="16">
        <f t="shared" ca="1" si="20"/>
        <v>3.6129999999999995</v>
      </c>
      <c r="AS39" s="12">
        <f t="shared" ca="1" si="21"/>
        <v>0.39076161671707443</v>
      </c>
      <c r="AT39" s="32">
        <f ca="1">IF(AP39&lt;Bewertung_Stammdaten!B$51,Bewertung_Stammdaten!A$51,IF(AP39&lt;Bewertung_Stammdaten!B$52,Bewertung_Stammdaten!A$52,IF(AP39&lt;Bewertung_Stammdaten!B$53,Bewertung_Stammdaten!A$53,IF(AP39&lt;Bewertung_Stammdaten!B$54,Bewertung_Stammdaten!A$54,IF(AP39&lt;Bewertung_Stammdaten!B$55,Bewertung_Stammdaten!A$55,IF(AP39&lt;Bewertung_Stammdaten!B$56,Bewertung_Stammdaten!A$56,IF(AP39&lt;Bewertung_Stammdaten!B$57,Bewertung_Stammdaten!A$57,IF(AP39&lt;Bewertung_Stammdaten!B$58,Bewertung_Stammdaten!A$58,IF(AP39&lt;Bewertung_Stammdaten!B$59,Bewertung_Stammdaten!A$59,Bewertung_Stammdaten!A$60)))))))))</f>
        <v>12</v>
      </c>
      <c r="AU39" s="32">
        <f>IF(AQ39&lt;Bewertung_Stammdaten!F$51,Bewertung_Stammdaten!E$51,IF(AQ39&lt;Bewertung_Stammdaten!F$52,Bewertung_Stammdaten!E$52,IF(AQ39&lt;Bewertung_Stammdaten!F$53,Bewertung_Stammdaten!E$53,IF(AQ39&lt;Bewertung_Stammdaten!F$54,Bewertung_Stammdaten!E$54,IF(AQ39&lt;Bewertung_Stammdaten!F$55,Bewertung_Stammdaten!E$55,IF(AQ39&lt;Bewertung_Stammdaten!F$56,Bewertung_Stammdaten!E$56,IF(AQ39&lt;Bewertung_Stammdaten!F$57,Bewertung_Stammdaten!E$57,IF(AQ39&lt;Bewertung_Stammdaten!F$58,Bewertung_Stammdaten!E$58,IF(AQ39&lt;Bewertung_Stammdaten!F$59,Bewertung_Stammdaten!E$59,Bewertung_Stammdaten!E$60)))))))))</f>
        <v>12</v>
      </c>
      <c r="AV39" s="32">
        <f ca="1">IF(AS39&lt;Bewertung_Stammdaten!J$51,Bewertung_Stammdaten!I$51,IF(AS39&lt;Bewertung_Stammdaten!J$52,Bewertung_Stammdaten!I$52,IF(AS39&lt;Bewertung_Stammdaten!J$53,Bewertung_Stammdaten!I$53,IF(AS39&lt;Bewertung_Stammdaten!J$54,Bewertung_Stammdaten!I$54,IF(AS39&lt;Bewertung_Stammdaten!J$55,Bewertung_Stammdaten!I$55,IF(AS39&lt;Bewertung_Stammdaten!J$56,Bewertung_Stammdaten!I$56,IF(AS39&lt;Bewertung_Stammdaten!J$57,Bewertung_Stammdaten!I$57,IF(AS39&lt;Bewertung_Stammdaten!J$58,Bewertung_Stammdaten!I$58,IF(AS39&lt;Bewertung_Stammdaten!J$59,Bewertung_Stammdaten!I$59,Bewertung_Stammdaten!I$60)))))))))</f>
        <v>8</v>
      </c>
      <c r="AW39" s="43"/>
      <c r="AX39" s="12">
        <f ca="1">VLOOKUP(A39,Dividendenrendite!A$3:R$103,17,FALSE)</f>
        <v>2.974886784685055E-2</v>
      </c>
      <c r="AY39" s="12">
        <f>VLOOKUP(A39,Dividendenrendite!A$3:R$103,16,FALSE)</f>
        <v>2.2954016489043268E-2</v>
      </c>
      <c r="AZ39" s="12">
        <f ca="1">VLOOKUP(A39,Dividendenrendite!A$3:R$103,18,FALSE)</f>
        <v>0.29602014797936094</v>
      </c>
      <c r="BA39" s="32">
        <f ca="1">IF(AX39&lt;Bewertung_Stammdaten!B$64,Bewertung_Stammdaten!A$64,IF(AX39&lt;Bewertung_Stammdaten!B$65,Bewertung_Stammdaten!A$65,IF(AX39&lt;Bewertung_Stammdaten!B$66,Bewertung_Stammdaten!A$66,IF(AX39&lt;Bewertung_Stammdaten!B$67,Bewertung_Stammdaten!A$67,IF(AX39&lt;Bewertung_Stammdaten!B$68,Bewertung_Stammdaten!A$68,IF(AX39&lt;Bewertung_Stammdaten!B$69,Bewertung_Stammdaten!A$69,IF(AX39&lt;Bewertung_Stammdaten!B$70,Bewertung_Stammdaten!A$70,IF(AX39&lt;Bewertung_Stammdaten!B$71,Bewertung_Stammdaten!A$71,IF(AX39&lt;Bewertung_Stammdaten!B$72,Bewertung_Stammdaten!A$72,Bewertung_Stammdaten!A$73)))))))))</f>
        <v>9</v>
      </c>
      <c r="BB39" s="32">
        <f>IF(AY39&lt;Bewertung_Stammdaten!F$64,Bewertung_Stammdaten!E$64,IF(AY39&lt;Bewertung_Stammdaten!F$65,Bewertung_Stammdaten!E$65,IF(AY39&lt;Bewertung_Stammdaten!F$66,Bewertung_Stammdaten!E$66,IF(AY39&lt;Bewertung_Stammdaten!F$67,Bewertung_Stammdaten!E$67,IF(AY39&lt;Bewertung_Stammdaten!F$68,Bewertung_Stammdaten!E$68,IF(AY39&lt;Bewertung_Stammdaten!F$69,Bewertung_Stammdaten!E$69,IF(AY39&lt;Bewertung_Stammdaten!F$70,Bewertung_Stammdaten!E$70,IF(AY39&lt;Bewertung_Stammdaten!F$71,Bewertung_Stammdaten!E$71,IF(AY39&lt;Bewertung_Stammdaten!F$72,Bewertung_Stammdaten!E$72,Bewertung_Stammdaten!E$73)))))))))</f>
        <v>5</v>
      </c>
      <c r="BC39" s="32">
        <f ca="1">IF(AZ39&lt;Bewertung_Stammdaten!J$64,Bewertung_Stammdaten!I$64,IF(AZ39&lt;Bewertung_Stammdaten!J$65,Bewertung_Stammdaten!I$65,IF(AZ39&lt;Bewertung_Stammdaten!J$66,Bewertung_Stammdaten!I$66,IF(AZ39&lt;Bewertung_Stammdaten!J$67,Bewertung_Stammdaten!I$67,IF(AZ39&lt;Bewertung_Stammdaten!J$68,Bewertung_Stammdaten!I$68,IF(AZ39&lt;Bewertung_Stammdaten!J$69,Bewertung_Stammdaten!I$69,IF(AZ39&lt;Bewertung_Stammdaten!J$70,Bewertung_Stammdaten!I$70,IF(AZ39&lt;Bewertung_Stammdaten!J$71,Bewertung_Stammdaten!I$71,IF(AZ39&lt;Bewertung_Stammdaten!J$72,Bewertung_Stammdaten!I$72,Bewertung_Stammdaten!I$73)))))))))</f>
        <v>5</v>
      </c>
      <c r="BD39" s="43"/>
      <c r="BE39" s="12">
        <f>VLOOKUP(A39,Aktien_im_Umlauf_splitbereinigt!A$3:AB$103,28,FALSE)</f>
        <v>0</v>
      </c>
      <c r="BF39" s="12">
        <f>VLOOKUP(A39,Aktien_im_Umlauf_splitbereinigt!A$3:AA$103,26,FALSE)</f>
        <v>8.9945655720661633E-4</v>
      </c>
      <c r="BG39" s="12">
        <f>VLOOKUP(A39,Aktien_im_Umlauf_splitbereinigt!A$3:AA$103,27,FALSE)</f>
        <v>-99.999989999999997</v>
      </c>
      <c r="BH39" s="41">
        <f>IF(BE39&lt;Bewertung_Stammdaten!B$77,Bewertung_Stammdaten!A$77,IF(BE39&lt;Bewertung_Stammdaten!B$78,Bewertung_Stammdaten!A$78,IF(BE39&lt;Bewertung_Stammdaten!B$79,Bewertung_Stammdaten!A$79,IF(BE39&lt;Bewertung_Stammdaten!B$80,Bewertung_Stammdaten!A$80,IF(BE39&lt;Bewertung_Stammdaten!B$81,Bewertung_Stammdaten!A$81,IF(BE39&lt;Bewertung_Stammdaten!B$82,Bewertung_Stammdaten!A$82,IF(BE39&lt;Bewertung_Stammdaten!B$83,Bewertung_Stammdaten!A$83,IF(BE39&lt;Bewertung_Stammdaten!B$84,Bewertung_Stammdaten!A$84,IF(BE39&lt;Bewertung_Stammdaten!B$85,Bewertung_Stammdaten!A$85,Bewertung_Stammdaten!A$86)))))))))</f>
        <v>2</v>
      </c>
      <c r="BI39" s="41">
        <f>IF(BF39&lt;Bewertung_Stammdaten!F$77,Bewertung_Stammdaten!E$77,IF(BF39&lt;Bewertung_Stammdaten!F$78,Bewertung_Stammdaten!E$78,IF(BF39&lt;Bewertung_Stammdaten!F$79,Bewertung_Stammdaten!E$79,IF(BF39&lt;Bewertung_Stammdaten!F$80,Bewertung_Stammdaten!E$80,IF(BF39&lt;Bewertung_Stammdaten!F$81,Bewertung_Stammdaten!E$81,IF(BF39&lt;Bewertung_Stammdaten!F$82,Bewertung_Stammdaten!E$82,IF(BF39&lt;Bewertung_Stammdaten!F$83,Bewertung_Stammdaten!E$83,IF(BF39&lt;Bewertung_Stammdaten!F$84,Bewertung_Stammdaten!E$84,IF(BF39&lt;Bewertung_Stammdaten!F$85,Bewertung_Stammdaten!E$85,Bewertung_Stammdaten!E$86)))))))))</f>
        <v>2</v>
      </c>
      <c r="BJ39" s="41">
        <f>IF(BG39&lt;Bewertung_Stammdaten!J$77,Bewertung_Stammdaten!I$77,IF(BG39&lt;Bewertung_Stammdaten!J$78,Bewertung_Stammdaten!I$78,IF(BG39&lt;Bewertung_Stammdaten!J$79,Bewertung_Stammdaten!I$79,IF(BG39&lt;Bewertung_Stammdaten!J$80,Bewertung_Stammdaten!I$80,IF(BG39&lt;Bewertung_Stammdaten!J$81,Bewertung_Stammdaten!I$81,IF(BG39&lt;Bewertung_Stammdaten!J$82,Bewertung_Stammdaten!I$82,IF(BG39&lt;Bewertung_Stammdaten!J$83,Bewertung_Stammdaten!I$83,IF(BG39&lt;Bewertung_Stammdaten!J$84,Bewertung_Stammdaten!I$84,IF(BG39&lt;Bewertung_Stammdaten!J$85,Bewertung_Stammdaten!I$85,Bewertung_Stammdaten!I$86)))))))))</f>
        <v>0.5</v>
      </c>
      <c r="BK39" s="43"/>
      <c r="BL39" s="12">
        <f ca="1">VLOOKUP(A39,Ausschüttungsquote!A$3:AL$103,37,FALSE)</f>
        <v>0.51362429289754874</v>
      </c>
      <c r="BM39" s="12">
        <f>VLOOKUP(A39,Ausschüttungsquote!A$3:AL$103,19,FALSE)</f>
        <v>0.40759718208003187</v>
      </c>
      <c r="BN39" s="12">
        <f ca="1">VLOOKUP(A39,Ausschüttungsquote!A$3:AL$103,38,FALSE)</f>
        <v>0.26012719292229658</v>
      </c>
      <c r="BO39" s="32">
        <f ca="1">IF(BL39&lt;Bewertung_Stammdaten!B$90,Bewertung_Stammdaten!A$90,IF(BL39&lt;Bewertung_Stammdaten!B$91,Bewertung_Stammdaten!A$91,IF(BL39&lt;Bewertung_Stammdaten!B$92,Bewertung_Stammdaten!A$92,IF(BL39&lt;Bewertung_Stammdaten!B$93,Bewertung_Stammdaten!A$93,IF(BL39&lt;Bewertung_Stammdaten!B$94,Bewertung_Stammdaten!A$94,IF(BL39&lt;Bewertung_Stammdaten!B$95,Bewertung_Stammdaten!A$95,IF(BL39&lt;Bewertung_Stammdaten!B$96,Bewertung_Stammdaten!A$96,IF(BL39&lt;Bewertung_Stammdaten!B$97,Bewertung_Stammdaten!A$97,IF(BL39&lt;Bewertung_Stammdaten!B$98,Bewertung_Stammdaten!A$98,Bewertung_Stammdaten!A$99)))))))))</f>
        <v>7</v>
      </c>
      <c r="BP39" s="41">
        <f>IF(BM39&lt;Bewertung_Stammdaten!F$90,Bewertung_Stammdaten!E$90,IF(BM39&lt;Bewertung_Stammdaten!F$91,Bewertung_Stammdaten!E$91,IF(BM39&lt;Bewertung_Stammdaten!F$92,Bewertung_Stammdaten!E$92,IF(BM39&lt;Bewertung_Stammdaten!F$93,Bewertung_Stammdaten!E$93,IF(BM39&lt;Bewertung_Stammdaten!F$94,Bewertung_Stammdaten!E$94,IF(BM39&lt;Bewertung_Stammdaten!F$95,Bewertung_Stammdaten!E$95,IF(BM39&lt;Bewertung_Stammdaten!F$96,Bewertung_Stammdaten!E$96,IF(BM39&lt;Bewertung_Stammdaten!F$97,Bewertung_Stammdaten!E$97,IF(BM39&lt;Bewertung_Stammdaten!F$98,Bewertung_Stammdaten!E$98,Bewertung_Stammdaten!E$99)))))))))</f>
        <v>9</v>
      </c>
      <c r="BQ39" s="32">
        <f ca="1">IF(BN39&lt;Bewertung_Stammdaten!J$90,Bewertung_Stammdaten!I$90,IF(BN39&lt;Bewertung_Stammdaten!J$91,Bewertung_Stammdaten!I$91,IF(BN39&lt;Bewertung_Stammdaten!J$92,Bewertung_Stammdaten!I$92,IF(BN39&lt;Bewertung_Stammdaten!J$93,Bewertung_Stammdaten!I$93,IF(BN39&lt;Bewertung_Stammdaten!J$94,Bewertung_Stammdaten!I$94,IF(BN39&lt;Bewertung_Stammdaten!J$95,Bewertung_Stammdaten!I$95,IF(BN39&lt;Bewertung_Stammdaten!J$96,Bewertung_Stammdaten!I$96,IF(BN39&lt;Bewertung_Stammdaten!J$97,Bewertung_Stammdaten!I$97,IF(BN39&lt;Bewertung_Stammdaten!J$98,Bewertung_Stammdaten!I$98,Bewertung_Stammdaten!I$99)))))))))</f>
        <v>1</v>
      </c>
    </row>
    <row r="40" spans="1:69">
      <c r="A40" s="38" t="s">
        <v>56</v>
      </c>
      <c r="B40" s="38" t="s">
        <v>57</v>
      </c>
      <c r="C40" s="38" t="s">
        <v>283</v>
      </c>
      <c r="D40" s="32">
        <f t="shared" ca="1" si="11"/>
        <v>139.5</v>
      </c>
      <c r="E40" s="43"/>
      <c r="F40" s="60">
        <v>1</v>
      </c>
      <c r="G40" s="11">
        <f ca="1">VLOOKUP(A40,KGV!A$3:R$103,17,FALSE)</f>
        <v>23.66890380313199</v>
      </c>
      <c r="H40" s="11">
        <f>VLOOKUP(A40,KGV!A$3:R$103,16,FALSE)</f>
        <v>20.060714285714283</v>
      </c>
      <c r="I40" s="12">
        <f ca="1">VLOOKUP(A40,KGV!A$3:R$103,18,FALSE)</f>
        <v>0.17986346179044999</v>
      </c>
      <c r="J40" s="16">
        <f t="shared" ca="1" si="12"/>
        <v>35.503355704697981</v>
      </c>
      <c r="K40" s="12">
        <f t="shared" ca="1" si="13"/>
        <v>0.76979519268567498</v>
      </c>
      <c r="L40" s="11">
        <f ca="1">VLOOKUP(A40,KBV!A$3:R$103,17,FALSE)</f>
        <v>2.2145473574045003</v>
      </c>
      <c r="M40" s="11">
        <f>VLOOKUP(A40,KBV!A$3:R$103,16,FALSE)</f>
        <v>1.524917965583831</v>
      </c>
      <c r="N40" s="12">
        <f ca="1">VLOOKUP(A40,KBV!A$3:R$103,18,FALSE)</f>
        <v>0.45224032202718356</v>
      </c>
      <c r="O40" s="16">
        <f t="shared" ca="1" si="14"/>
        <v>2.5199106021305409</v>
      </c>
      <c r="P40" s="12">
        <f t="shared" ca="1" si="15"/>
        <v>0.652489287294721</v>
      </c>
      <c r="Q40" s="32">
        <f ca="1">IF(F40=1,IF(I40&lt;Bewertung_Stammdaten!B$12,Bewertung_Stammdaten!A$12,IF(I40&lt;Bewertung_Stammdaten!B$13,Bewertung_Stammdaten!A$13,IF(I40&lt;Bewertung_Stammdaten!B$14,Bewertung_Stammdaten!A$14,IF(I40&lt;Bewertung_Stammdaten!B$15,Bewertung_Stammdaten!A$15,IF(I40&lt;Bewertung_Stammdaten!B$16,Bewertung_Stammdaten!A$16,IF(I40&lt;Bewertung_Stammdaten!B$17,Bewertung_Stammdaten!A$17,IF(I40&lt;Bewertung_Stammdaten!B$18,Bewertung_Stammdaten!A$18,IF(I40&lt;Bewertung_Stammdaten!B$19,Bewertung_Stammdaten!A$19,IF(I40&lt;Bewertung_Stammdaten!B$20,Bewertung_Stammdaten!A$20,Bewertung_Stammdaten!A$21))))))))),IF(N40&lt;Bewertung_Stammdaten!C$12,Bewertung_Stammdaten!A$12,IF(N40&lt;Bewertung_Stammdaten!C$13,Bewertung_Stammdaten!A$13,IF(N40&lt;Bewertung_Stammdaten!C$14,Bewertung_Stammdaten!A$14,IF(N40&lt;Bewertung_Stammdaten!C$15,Bewertung_Stammdaten!A$15,IF(N40&lt;Bewertung_Stammdaten!C$16,Bewertung_Stammdaten!A$16,IF(N40&lt;Bewertung_Stammdaten!C$17,Bewertung_Stammdaten!A$17,IF(N40&lt;Bewertung_Stammdaten!C$18,Bewertung_Stammdaten!A$18,IF(N40&lt;Bewertung_Stammdaten!C$19,Bewertung_Stammdaten!A$19,IF(N40&lt;Bewertung_Stammdaten!C$20,Bewertung_Stammdaten!A$20,Bewertung_Stammdaten!A$21))))))))))</f>
        <v>18</v>
      </c>
      <c r="R40" s="32">
        <f ca="1">IF(F40=1,IF(K40&lt;Bewertung_Stammdaten!F$12,Bewertung_Stammdaten!E$12,IF(K40&lt;Bewertung_Stammdaten!F$13,Bewertung_Stammdaten!E$13,IF(K40&lt;Bewertung_Stammdaten!F$14,Bewertung_Stammdaten!E$14,IF(K40&lt;Bewertung_Stammdaten!F$15,Bewertung_Stammdaten!E$15,IF(K40&lt;Bewertung_Stammdaten!F$16,Bewertung_Stammdaten!E$16,IF(K40&lt;Bewertung_Stammdaten!F$17,Bewertung_Stammdaten!E$17,IF(K40&lt;Bewertung_Stammdaten!F$18,Bewertung_Stammdaten!E$18,IF(K40&lt;Bewertung_Stammdaten!F$19,Bewertung_Stammdaten!E$19,IF(K40&lt;Bewertung_Stammdaten!F$20,Bewertung_Stammdaten!E$20,Bewertung_Stammdaten!E$21))))))))),IF(P40&lt;Bewertung_Stammdaten!G$12,Bewertung_Stammdaten!E$12,IF(P40&lt;Bewertung_Stammdaten!G$13,Bewertung_Stammdaten!E$13,IF(P40&lt;Bewertung_Stammdaten!G$14,Bewertung_Stammdaten!E$14,IF(P40&lt;Bewertung_Stammdaten!G$15,Bewertung_Stammdaten!E$15,IF(P40&lt;Bewertung_Stammdaten!G$16,Bewertung_Stammdaten!E$16,IF(P40&lt;Bewertung_Stammdaten!G$17,Bewertung_Stammdaten!E$17,IF(P40&lt;Bewertung_Stammdaten!G$18,Bewertung_Stammdaten!E$18,IF(P40&lt;Bewertung_Stammdaten!G$19,Bewertung_Stammdaten!E$19,IF(P40&lt;Bewertung_Stammdaten!G$20,Bewertung_Stammdaten!E$20,Bewertung_Stammdaten!E$21))))))))))</f>
        <v>2.5</v>
      </c>
      <c r="S40" s="43"/>
      <c r="T40" s="11">
        <f ca="1">VLOOKUP(A40,Buchwert_je_Aktie!A$3:AK$103,23,FALSE)</f>
        <v>19.11</v>
      </c>
      <c r="U40" s="11">
        <f>VLOOKUP(A40,Buchwert_je_Aktie!A$3:AK$103,19,FALSE)</f>
        <v>16.703863636363636</v>
      </c>
      <c r="V40" s="12">
        <f ca="1">VLOOKUP(A40,Buchwert_je_Aktie!A$3:AK$103,24,FALSE)</f>
        <v>0.14404669578350138</v>
      </c>
      <c r="W40" s="12">
        <f>VLOOKUP(A40,Buchwert_je_Aktie!A$3:AK$103,37,FALSE)</f>
        <v>-0.12118018967334043</v>
      </c>
      <c r="X40" s="16">
        <f t="shared" ca="1" si="16"/>
        <v>16.794246575342463</v>
      </c>
      <c r="Y40" s="12">
        <f t="shared" ca="1" si="17"/>
        <v>5.4109001932982626E-3</v>
      </c>
      <c r="Z40" s="51">
        <f ca="1">IF(V40&lt;Bewertung_Stammdaten!B$25,Bewertung_Stammdaten!A$25,IF(V40&lt;Bewertung_Stammdaten!B$26,Bewertung_Stammdaten!A$26,IF(V40&lt;Bewertung_Stammdaten!B$27,Bewertung_Stammdaten!A$27,IF(V40&lt;Bewertung_Stammdaten!B$28,Bewertung_Stammdaten!A$28,IF(V40&lt;Bewertung_Stammdaten!B$29,Bewertung_Stammdaten!A$29,IF(V40&lt;Bewertung_Stammdaten!B$30,Bewertung_Stammdaten!A$30,IF(V40&lt;Bewertung_Stammdaten!B$31,Bewertung_Stammdaten!A$31,IF(V40&lt;Bewertung_Stammdaten!B$32,Bewertung_Stammdaten!A$32,IF(V40&lt;Bewertung_Stammdaten!B$33,Bewertung_Stammdaten!A$33,Bewertung_Stammdaten!A$34)))))))))</f>
        <v>6</v>
      </c>
      <c r="AA40" s="51">
        <f>IF(W40&lt;Bewertung_Stammdaten!F$25,Bewertung_Stammdaten!E$25,IF(W40&lt;Bewertung_Stammdaten!F$26,Bewertung_Stammdaten!E$26,IF(W40&lt;Bewertung_Stammdaten!F$27,Bewertung_Stammdaten!E$27,IF(W40&lt;Bewertung_Stammdaten!F$28,Bewertung_Stammdaten!E$28,IF(W40&lt;Bewertung_Stammdaten!F$29,Bewertung_Stammdaten!E$29,IF(W40&lt;Bewertung_Stammdaten!F$30,Bewertung_Stammdaten!E$30,IF(W40&lt;Bewertung_Stammdaten!F$31,Bewertung_Stammdaten!E$31,IF(W40&lt;Bewertung_Stammdaten!F$32,Bewertung_Stammdaten!E$32,IF(W40&lt;Bewertung_Stammdaten!F$33,Bewertung_Stammdaten!E$33,Bewertung_Stammdaten!E$34)))))))))</f>
        <v>7.5</v>
      </c>
      <c r="AB40" s="51">
        <f ca="1">IF(Y40&lt;Bewertung_Stammdaten!J$25,Bewertung_Stammdaten!I$25,IF(Y40&lt;Bewertung_Stammdaten!J$26,Bewertung_Stammdaten!I$26,IF(Y40&lt;Bewertung_Stammdaten!J$27,Bewertung_Stammdaten!I$27,IF(Y40&lt;Bewertung_Stammdaten!J$28,Bewertung_Stammdaten!I$28,IF(Y40&lt;Bewertung_Stammdaten!J$29,Bewertung_Stammdaten!I$29,IF(Y40&lt;Bewertung_Stammdaten!J$30,Bewertung_Stammdaten!I$30,IF(Y40&lt;Bewertung_Stammdaten!J$31,Bewertung_Stammdaten!I$31,IF(Y40&lt;Bewertung_Stammdaten!J$32,Bewertung_Stammdaten!I$32,IF(Y40&lt;Bewertung_Stammdaten!J$33,Bewertung_Stammdaten!I$33,Bewertung_Stammdaten!I$34)))))))))</f>
        <v>3</v>
      </c>
      <c r="AC40" s="43"/>
      <c r="AD40" s="14">
        <f ca="1">VLOOKUP(A40,Ergebnis_je_Aktie_verwässert!A$3:AK$103,23,FALSE)</f>
        <v>1.788</v>
      </c>
      <c r="AE40" s="14">
        <f>VLOOKUP(A40,Ergebnis_je_Aktie_verwässert!A$3:AK$103,19,FALSE)</f>
        <v>1.2545454545454546</v>
      </c>
      <c r="AF40" s="12">
        <f ca="1">VLOOKUP(A40,Ergebnis_je_Aktie_verwässert!A$3:AK$103,24,FALSE)</f>
        <v>0.42521739130434777</v>
      </c>
      <c r="AG40" s="40">
        <f>VLOOKUP(A40,Ergebnis_je_Aktie_verwässert!A$3:AK$103,37,FALSE)</f>
        <v>-0.33333333333333326</v>
      </c>
      <c r="AH40" s="16">
        <f t="shared" ca="1" si="18"/>
        <v>1.1920000000000002</v>
      </c>
      <c r="AI40" s="12">
        <f t="shared" ca="1" si="19"/>
        <v>-4.985507246376808E-2</v>
      </c>
      <c r="AJ40" s="32">
        <f ca="1">IF(AF40&lt;Bewertung_Stammdaten!B$38,Bewertung_Stammdaten!A$38,IF(AF40&lt;Bewertung_Stammdaten!B$39,Bewertung_Stammdaten!A$39,IF(AF40&lt;Bewertung_Stammdaten!B$40,Bewertung_Stammdaten!A$40,IF(AF40&lt;Bewertung_Stammdaten!B$41,Bewertung_Stammdaten!A$41,IF(AF40&lt;Bewertung_Stammdaten!B$42,Bewertung_Stammdaten!A$42,IF(AF40&lt;Bewertung_Stammdaten!B$43,Bewertung_Stammdaten!A$43,IF(AF40&lt;Bewertung_Stammdaten!B$44,Bewertung_Stammdaten!A$44,IF(AF40&lt;Bewertung_Stammdaten!B$45,Bewertung_Stammdaten!A$45,IF(AF40&lt;Bewertung_Stammdaten!B$46,Bewertung_Stammdaten!A$46,Bewertung_Stammdaten!A$47)))))))))</f>
        <v>16</v>
      </c>
      <c r="AK40" s="32">
        <f>IF(AG40&lt;Bewertung_Stammdaten!F$38,Bewertung_Stammdaten!E$38,IF(AG40&lt;Bewertung_Stammdaten!F$39,Bewertung_Stammdaten!E$39,IF(AG40&lt;Bewertung_Stammdaten!F$40,Bewertung_Stammdaten!E$40,IF(AG40&lt;Bewertung_Stammdaten!F$41,Bewertung_Stammdaten!E$41,IF(AG40&lt;Bewertung_Stammdaten!F$42,Bewertung_Stammdaten!E$42,IF(AG40&lt;Bewertung_Stammdaten!F$43,Bewertung_Stammdaten!E$43,IF(AG40&lt;Bewertung_Stammdaten!F$44,Bewertung_Stammdaten!E$44,IF(AG40&lt;Bewertung_Stammdaten!F$45,Bewertung_Stammdaten!E$45,IF(AG40&lt;Bewertung_Stammdaten!F$46,Bewertung_Stammdaten!E$46,Bewertung_Stammdaten!E$47)))))))))</f>
        <v>6</v>
      </c>
      <c r="AL40" s="32">
        <f ca="1">IF(AI40&lt;Bewertung_Stammdaten!J$38,Bewertung_Stammdaten!I$38,IF(AI40&lt;Bewertung_Stammdaten!J$39,Bewertung_Stammdaten!I$39,IF(AI40&lt;Bewertung_Stammdaten!J$40,Bewertung_Stammdaten!I$40,IF(AI40&lt;Bewertung_Stammdaten!J$41,Bewertung_Stammdaten!I$41,IF(AI40&lt;Bewertung_Stammdaten!J$42,Bewertung_Stammdaten!I$42,IF(AI40&lt;Bewertung_Stammdaten!J$43,Bewertung_Stammdaten!I$43,IF(AI40&lt;Bewertung_Stammdaten!J$44,Bewertung_Stammdaten!I$44,IF(AI40&lt;Bewertung_Stammdaten!J$45,Bewertung_Stammdaten!I$45,IF(AI40&lt;Bewertung_Stammdaten!J$46,Bewertung_Stammdaten!I$46,Bewertung_Stammdaten!I$47)))))))))</f>
        <v>4</v>
      </c>
      <c r="AM40" s="43"/>
      <c r="AN40" s="14">
        <f ca="1">VLOOKUP(A40,Dividende_je_Aktie!A$3:AM$103,24,FALSE)</f>
        <v>0.70400000000000007</v>
      </c>
      <c r="AO40" s="14">
        <f>VLOOKUP(A40,Dividende_je_Aktie!A$3:AM$103,20,FALSE)</f>
        <v>0.45360229600515978</v>
      </c>
      <c r="AP40" s="12">
        <f ca="1">VLOOKUP(A40,Dividende_je_Aktie!A$3:AM$103,25,FALSE)</f>
        <v>0.55202036277169109</v>
      </c>
      <c r="AQ40" s="40">
        <f>VLOOKUP(A40,Dividende_je_Aktie!A$3:AM$103,39,FALSE)</f>
        <v>-0.2960893854748603</v>
      </c>
      <c r="AR40" s="16">
        <f t="shared" ca="1" si="20"/>
        <v>0.49555307262569842</v>
      </c>
      <c r="AS40" s="12">
        <f t="shared" ca="1" si="21"/>
        <v>9.2483607314151284E-2</v>
      </c>
      <c r="AT40" s="32">
        <f ca="1">IF(AP40&lt;Bewertung_Stammdaten!B$51,Bewertung_Stammdaten!A$51,IF(AP40&lt;Bewertung_Stammdaten!B$52,Bewertung_Stammdaten!A$52,IF(AP40&lt;Bewertung_Stammdaten!B$53,Bewertung_Stammdaten!A$53,IF(AP40&lt;Bewertung_Stammdaten!B$54,Bewertung_Stammdaten!A$54,IF(AP40&lt;Bewertung_Stammdaten!B$55,Bewertung_Stammdaten!A$55,IF(AP40&lt;Bewertung_Stammdaten!B$56,Bewertung_Stammdaten!A$56,IF(AP40&lt;Bewertung_Stammdaten!B$57,Bewertung_Stammdaten!A$57,IF(AP40&lt;Bewertung_Stammdaten!B$58,Bewertung_Stammdaten!A$58,IF(AP40&lt;Bewertung_Stammdaten!B$59,Bewertung_Stammdaten!A$59,Bewertung_Stammdaten!A$60)))))))))</f>
        <v>16</v>
      </c>
      <c r="AU40" s="32">
        <f>IF(AQ40&lt;Bewertung_Stammdaten!F$51,Bewertung_Stammdaten!E$51,IF(AQ40&lt;Bewertung_Stammdaten!F$52,Bewertung_Stammdaten!E$52,IF(AQ40&lt;Bewertung_Stammdaten!F$53,Bewertung_Stammdaten!E$53,IF(AQ40&lt;Bewertung_Stammdaten!F$54,Bewertung_Stammdaten!E$54,IF(AQ40&lt;Bewertung_Stammdaten!F$55,Bewertung_Stammdaten!E$55,IF(AQ40&lt;Bewertung_Stammdaten!F$56,Bewertung_Stammdaten!E$56,IF(AQ40&lt;Bewertung_Stammdaten!F$57,Bewertung_Stammdaten!E$57,IF(AQ40&lt;Bewertung_Stammdaten!F$58,Bewertung_Stammdaten!E$58,IF(AQ40&lt;Bewertung_Stammdaten!F$59,Bewertung_Stammdaten!E$59,Bewertung_Stammdaten!E$60)))))))))</f>
        <v>7.5</v>
      </c>
      <c r="AV40" s="32">
        <f ca="1">IF(AS40&lt;Bewertung_Stammdaten!J$51,Bewertung_Stammdaten!I$51,IF(AS40&lt;Bewertung_Stammdaten!J$52,Bewertung_Stammdaten!I$52,IF(AS40&lt;Bewertung_Stammdaten!J$53,Bewertung_Stammdaten!I$53,IF(AS40&lt;Bewertung_Stammdaten!J$54,Bewertung_Stammdaten!I$54,IF(AS40&lt;Bewertung_Stammdaten!J$55,Bewertung_Stammdaten!I$55,IF(AS40&lt;Bewertung_Stammdaten!J$56,Bewertung_Stammdaten!I$56,IF(AS40&lt;Bewertung_Stammdaten!J$57,Bewertung_Stammdaten!I$57,IF(AS40&lt;Bewertung_Stammdaten!J$58,Bewertung_Stammdaten!I$58,IF(AS40&lt;Bewertung_Stammdaten!J$59,Bewertung_Stammdaten!I$59,Bewertung_Stammdaten!I$60)))))))))</f>
        <v>5</v>
      </c>
      <c r="AW40" s="43"/>
      <c r="AX40" s="12">
        <f ca="1">VLOOKUP(A40,Dividendenrendite!A$3:R$103,17,FALSE)</f>
        <v>1.6635160680529303E-2</v>
      </c>
      <c r="AY40" s="12">
        <f>VLOOKUP(A40,Dividendenrendite!A$3:R$103,16,FALSE)</f>
        <v>2.0355604446928639E-2</v>
      </c>
      <c r="AZ40" s="12">
        <f ca="1">VLOOKUP(A40,Dividendenrendite!A$3:R$103,18,FALSE)</f>
        <v>-0.18277245345866877</v>
      </c>
      <c r="BA40" s="32">
        <f ca="1">IF(AX40&lt;Bewertung_Stammdaten!B$64,Bewertung_Stammdaten!A$64,IF(AX40&lt;Bewertung_Stammdaten!B$65,Bewertung_Stammdaten!A$65,IF(AX40&lt;Bewertung_Stammdaten!B$66,Bewertung_Stammdaten!A$66,IF(AX40&lt;Bewertung_Stammdaten!B$67,Bewertung_Stammdaten!A$67,IF(AX40&lt;Bewertung_Stammdaten!B$68,Bewertung_Stammdaten!A$68,IF(AX40&lt;Bewertung_Stammdaten!B$69,Bewertung_Stammdaten!A$69,IF(AX40&lt;Bewertung_Stammdaten!B$70,Bewertung_Stammdaten!A$70,IF(AX40&lt;Bewertung_Stammdaten!B$71,Bewertung_Stammdaten!A$71,IF(AX40&lt;Bewertung_Stammdaten!B$72,Bewertung_Stammdaten!A$72,Bewertung_Stammdaten!A$73)))))))))</f>
        <v>6</v>
      </c>
      <c r="BB40" s="32">
        <f>IF(AY40&lt;Bewertung_Stammdaten!F$64,Bewertung_Stammdaten!E$64,IF(AY40&lt;Bewertung_Stammdaten!F$65,Bewertung_Stammdaten!E$65,IF(AY40&lt;Bewertung_Stammdaten!F$66,Bewertung_Stammdaten!E$66,IF(AY40&lt;Bewertung_Stammdaten!F$67,Bewertung_Stammdaten!E$67,IF(AY40&lt;Bewertung_Stammdaten!F$68,Bewertung_Stammdaten!E$68,IF(AY40&lt;Bewertung_Stammdaten!F$69,Bewertung_Stammdaten!E$69,IF(AY40&lt;Bewertung_Stammdaten!F$70,Bewertung_Stammdaten!E$70,IF(AY40&lt;Bewertung_Stammdaten!F$71,Bewertung_Stammdaten!E$71,IF(AY40&lt;Bewertung_Stammdaten!F$72,Bewertung_Stammdaten!E$72,Bewertung_Stammdaten!E$73)))))))))</f>
        <v>5</v>
      </c>
      <c r="BC40" s="32">
        <f ca="1">IF(AZ40&lt;Bewertung_Stammdaten!J$64,Bewertung_Stammdaten!I$64,IF(AZ40&lt;Bewertung_Stammdaten!J$65,Bewertung_Stammdaten!I$65,IF(AZ40&lt;Bewertung_Stammdaten!J$66,Bewertung_Stammdaten!I$66,IF(AZ40&lt;Bewertung_Stammdaten!J$67,Bewertung_Stammdaten!I$67,IF(AZ40&lt;Bewertung_Stammdaten!J$68,Bewertung_Stammdaten!I$68,IF(AZ40&lt;Bewertung_Stammdaten!J$69,Bewertung_Stammdaten!I$69,IF(AZ40&lt;Bewertung_Stammdaten!J$70,Bewertung_Stammdaten!I$70,IF(AZ40&lt;Bewertung_Stammdaten!J$71,Bewertung_Stammdaten!I$71,IF(AZ40&lt;Bewertung_Stammdaten!J$72,Bewertung_Stammdaten!I$72,Bewertung_Stammdaten!I$73)))))))))</f>
        <v>1</v>
      </c>
      <c r="BD40" s="43"/>
      <c r="BE40" s="12">
        <f>VLOOKUP(A40,Aktien_im_Umlauf_splitbereinigt!A$3:AB$103,28,FALSE)</f>
        <v>-5.0480769230769273E-2</v>
      </c>
      <c r="BF40" s="12">
        <f>VLOOKUP(A40,Aktien_im_Umlauf_splitbereinigt!A$3:AA$103,26,FALSE)</f>
        <v>-3.4662446775776345E-3</v>
      </c>
      <c r="BG40" s="12">
        <f>VLOOKUP(A40,Aktien_im_Umlauf_splitbereinigt!A$3:AA$103,27,FALSE)</f>
        <v>13.563533139284177</v>
      </c>
      <c r="BH40" s="41">
        <f>IF(BE40&lt;Bewertung_Stammdaten!B$77,Bewertung_Stammdaten!A$77,IF(BE40&lt;Bewertung_Stammdaten!B$78,Bewertung_Stammdaten!A$78,IF(BE40&lt;Bewertung_Stammdaten!B$79,Bewertung_Stammdaten!A$79,IF(BE40&lt;Bewertung_Stammdaten!B$80,Bewertung_Stammdaten!A$80,IF(BE40&lt;Bewertung_Stammdaten!B$81,Bewertung_Stammdaten!A$81,IF(BE40&lt;Bewertung_Stammdaten!B$82,Bewertung_Stammdaten!A$82,IF(BE40&lt;Bewertung_Stammdaten!B$83,Bewertung_Stammdaten!A$83,IF(BE40&lt;Bewertung_Stammdaten!B$84,Bewertung_Stammdaten!A$84,IF(BE40&lt;Bewertung_Stammdaten!B$85,Bewertung_Stammdaten!A$85,Bewertung_Stammdaten!A$86)))))))))</f>
        <v>10</v>
      </c>
      <c r="BI40" s="41">
        <f>IF(BF40&lt;Bewertung_Stammdaten!F$77,Bewertung_Stammdaten!E$77,IF(BF40&lt;Bewertung_Stammdaten!F$78,Bewertung_Stammdaten!E$78,IF(BF40&lt;Bewertung_Stammdaten!F$79,Bewertung_Stammdaten!E$79,IF(BF40&lt;Bewertung_Stammdaten!F$80,Bewertung_Stammdaten!E$80,IF(BF40&lt;Bewertung_Stammdaten!F$81,Bewertung_Stammdaten!E$81,IF(BF40&lt;Bewertung_Stammdaten!F$82,Bewertung_Stammdaten!E$82,IF(BF40&lt;Bewertung_Stammdaten!F$83,Bewertung_Stammdaten!E$83,IF(BF40&lt;Bewertung_Stammdaten!F$84,Bewertung_Stammdaten!E$84,IF(BF40&lt;Bewertung_Stammdaten!F$85,Bewertung_Stammdaten!E$85,Bewertung_Stammdaten!E$86)))))))))</f>
        <v>3</v>
      </c>
      <c r="BJ40" s="41">
        <f>IF(BG40&lt;Bewertung_Stammdaten!J$77,Bewertung_Stammdaten!I$77,IF(BG40&lt;Bewertung_Stammdaten!J$78,Bewertung_Stammdaten!I$78,IF(BG40&lt;Bewertung_Stammdaten!J$79,Bewertung_Stammdaten!I$79,IF(BG40&lt;Bewertung_Stammdaten!J$80,Bewertung_Stammdaten!I$80,IF(BG40&lt;Bewertung_Stammdaten!J$81,Bewertung_Stammdaten!I$81,IF(BG40&lt;Bewertung_Stammdaten!J$82,Bewertung_Stammdaten!I$82,IF(BG40&lt;Bewertung_Stammdaten!J$83,Bewertung_Stammdaten!I$83,IF(BG40&lt;Bewertung_Stammdaten!J$84,Bewertung_Stammdaten!I$84,IF(BG40&lt;Bewertung_Stammdaten!J$85,Bewertung_Stammdaten!I$85,Bewertung_Stammdaten!I$86)))))))))</f>
        <v>5</v>
      </c>
      <c r="BK40" s="43"/>
      <c r="BL40" s="12">
        <f ca="1">VLOOKUP(A40,Ausschüttungsquote!A$3:AL$103,37,FALSE)</f>
        <v>0.39409861370855226</v>
      </c>
      <c r="BM40" s="12">
        <f>VLOOKUP(A40,Ausschüttungsquote!A$3:AL$103,19,FALSE)</f>
        <v>0.67777339430702588</v>
      </c>
      <c r="BN40" s="12">
        <f ca="1">VLOOKUP(A40,Ausschüttungsquote!A$3:AL$103,38,FALSE)</f>
        <v>8.6541456729141597E-2</v>
      </c>
      <c r="BO40" s="32">
        <f ca="1">IF(BL40&lt;Bewertung_Stammdaten!B$90,Bewertung_Stammdaten!A$90,IF(BL40&lt;Bewertung_Stammdaten!B$91,Bewertung_Stammdaten!A$91,IF(BL40&lt;Bewertung_Stammdaten!B$92,Bewertung_Stammdaten!A$92,IF(BL40&lt;Bewertung_Stammdaten!B$93,Bewertung_Stammdaten!A$93,IF(BL40&lt;Bewertung_Stammdaten!B$94,Bewertung_Stammdaten!A$94,IF(BL40&lt;Bewertung_Stammdaten!B$95,Bewertung_Stammdaten!A$95,IF(BL40&lt;Bewertung_Stammdaten!B$96,Bewertung_Stammdaten!A$96,IF(BL40&lt;Bewertung_Stammdaten!B$97,Bewertung_Stammdaten!A$97,IF(BL40&lt;Bewertung_Stammdaten!B$98,Bewertung_Stammdaten!A$98,Bewertung_Stammdaten!A$99)))))))))</f>
        <v>10</v>
      </c>
      <c r="BP40" s="41">
        <f>IF(BM40&lt;Bewertung_Stammdaten!F$90,Bewertung_Stammdaten!E$90,IF(BM40&lt;Bewertung_Stammdaten!F$91,Bewertung_Stammdaten!E$91,IF(BM40&lt;Bewertung_Stammdaten!F$92,Bewertung_Stammdaten!E$92,IF(BM40&lt;Bewertung_Stammdaten!F$93,Bewertung_Stammdaten!E$93,IF(BM40&lt;Bewertung_Stammdaten!F$94,Bewertung_Stammdaten!E$94,IF(BM40&lt;Bewertung_Stammdaten!F$95,Bewertung_Stammdaten!E$95,IF(BM40&lt;Bewertung_Stammdaten!F$96,Bewertung_Stammdaten!E$96,IF(BM40&lt;Bewertung_Stammdaten!F$97,Bewertung_Stammdaten!E$97,IF(BM40&lt;Bewertung_Stammdaten!F$98,Bewertung_Stammdaten!E$98,Bewertung_Stammdaten!E$99)))))))))</f>
        <v>4</v>
      </c>
      <c r="BQ40" s="32">
        <f ca="1">IF(BN40&lt;Bewertung_Stammdaten!J$90,Bewertung_Stammdaten!I$90,IF(BN40&lt;Bewertung_Stammdaten!J$91,Bewertung_Stammdaten!I$91,IF(BN40&lt;Bewertung_Stammdaten!J$92,Bewertung_Stammdaten!I$92,IF(BN40&lt;Bewertung_Stammdaten!J$93,Bewertung_Stammdaten!I$93,IF(BN40&lt;Bewertung_Stammdaten!J$94,Bewertung_Stammdaten!I$94,IF(BN40&lt;Bewertung_Stammdaten!J$95,Bewertung_Stammdaten!I$95,IF(BN40&lt;Bewertung_Stammdaten!J$96,Bewertung_Stammdaten!I$96,IF(BN40&lt;Bewertung_Stammdaten!J$97,Bewertung_Stammdaten!I$97,IF(BN40&lt;Bewertung_Stammdaten!J$98,Bewertung_Stammdaten!I$98,Bewertung_Stammdaten!I$99)))))))))</f>
        <v>4</v>
      </c>
    </row>
    <row r="41" spans="1:69">
      <c r="A41" s="38" t="s">
        <v>32</v>
      </c>
      <c r="B41" s="38" t="s">
        <v>33</v>
      </c>
      <c r="C41" s="38" t="s">
        <v>283</v>
      </c>
      <c r="D41" s="32">
        <f t="shared" ca="1" si="11"/>
        <v>137.5</v>
      </c>
      <c r="E41" s="43"/>
      <c r="F41" s="60">
        <v>1</v>
      </c>
      <c r="G41" s="11">
        <f ca="1">VLOOKUP(A41,KGV!A$3:R$103,17,FALSE)</f>
        <v>18.523468405859081</v>
      </c>
      <c r="H41" s="11">
        <f>VLOOKUP(A41,KGV!A$3:R$103,16,FALSE)</f>
        <v>17.130932439977666</v>
      </c>
      <c r="I41" s="12">
        <f ca="1">VLOOKUP(A41,KGV!A$3:R$103,18,FALSE)</f>
        <v>8.1287809099737984E-2</v>
      </c>
      <c r="J41" s="16">
        <f t="shared" ca="1" si="12"/>
        <v>48.215498644662603</v>
      </c>
      <c r="K41" s="12">
        <f t="shared" ca="1" si="13"/>
        <v>1.8145285619213767</v>
      </c>
      <c r="L41" s="11">
        <f ca="1">VLOOKUP(A41,KBV!A$3:R$103,17,FALSE)</f>
        <v>6.1920057899274914</v>
      </c>
      <c r="M41" s="11">
        <f>VLOOKUP(A41,KBV!A$3:R$103,16,FALSE)</f>
        <v>4.3740458015267176</v>
      </c>
      <c r="N41" s="12">
        <f ca="1">VLOOKUP(A41,KBV!A$3:R$103,18,FALSE)</f>
        <v>0.41562436034991501</v>
      </c>
      <c r="O41" s="16">
        <f t="shared" ca="1" si="14"/>
        <v>7.8578197369522327</v>
      </c>
      <c r="P41" s="12">
        <f t="shared" ca="1" si="15"/>
        <v>0.79646489623166228</v>
      </c>
      <c r="Q41" s="32">
        <f ca="1">IF(F41=1,IF(I41&lt;Bewertung_Stammdaten!B$12,Bewertung_Stammdaten!A$12,IF(I41&lt;Bewertung_Stammdaten!B$13,Bewertung_Stammdaten!A$13,IF(I41&lt;Bewertung_Stammdaten!B$14,Bewertung_Stammdaten!A$14,IF(I41&lt;Bewertung_Stammdaten!B$15,Bewertung_Stammdaten!A$15,IF(I41&lt;Bewertung_Stammdaten!B$16,Bewertung_Stammdaten!A$16,IF(I41&lt;Bewertung_Stammdaten!B$17,Bewertung_Stammdaten!A$17,IF(I41&lt;Bewertung_Stammdaten!B$18,Bewertung_Stammdaten!A$18,IF(I41&lt;Bewertung_Stammdaten!B$19,Bewertung_Stammdaten!A$19,IF(I41&lt;Bewertung_Stammdaten!B$20,Bewertung_Stammdaten!A$20,Bewertung_Stammdaten!A$21))))))))),IF(N41&lt;Bewertung_Stammdaten!C$12,Bewertung_Stammdaten!A$12,IF(N41&lt;Bewertung_Stammdaten!C$13,Bewertung_Stammdaten!A$13,IF(N41&lt;Bewertung_Stammdaten!C$14,Bewertung_Stammdaten!A$14,IF(N41&lt;Bewertung_Stammdaten!C$15,Bewertung_Stammdaten!A$15,IF(N41&lt;Bewertung_Stammdaten!C$16,Bewertung_Stammdaten!A$16,IF(N41&lt;Bewertung_Stammdaten!C$17,Bewertung_Stammdaten!A$17,IF(N41&lt;Bewertung_Stammdaten!C$18,Bewertung_Stammdaten!A$18,IF(N41&lt;Bewertung_Stammdaten!C$19,Bewertung_Stammdaten!A$19,IF(N41&lt;Bewertung_Stammdaten!C$20,Bewertung_Stammdaten!A$20,Bewertung_Stammdaten!A$21))))))))))</f>
        <v>30</v>
      </c>
      <c r="R41" s="32">
        <f ca="1">IF(F41=1,IF(K41&lt;Bewertung_Stammdaten!F$12,Bewertung_Stammdaten!E$12,IF(K41&lt;Bewertung_Stammdaten!F$13,Bewertung_Stammdaten!E$13,IF(K41&lt;Bewertung_Stammdaten!F$14,Bewertung_Stammdaten!E$14,IF(K41&lt;Bewertung_Stammdaten!F$15,Bewertung_Stammdaten!E$15,IF(K41&lt;Bewertung_Stammdaten!F$16,Bewertung_Stammdaten!E$16,IF(K41&lt;Bewertung_Stammdaten!F$17,Bewertung_Stammdaten!E$17,IF(K41&lt;Bewertung_Stammdaten!F$18,Bewertung_Stammdaten!E$18,IF(K41&lt;Bewertung_Stammdaten!F$19,Bewertung_Stammdaten!E$19,IF(K41&lt;Bewertung_Stammdaten!F$20,Bewertung_Stammdaten!E$20,Bewertung_Stammdaten!E$21))))))))),IF(P41&lt;Bewertung_Stammdaten!G$12,Bewertung_Stammdaten!E$12,IF(P41&lt;Bewertung_Stammdaten!G$13,Bewertung_Stammdaten!E$13,IF(P41&lt;Bewertung_Stammdaten!G$14,Bewertung_Stammdaten!E$14,IF(P41&lt;Bewertung_Stammdaten!G$15,Bewertung_Stammdaten!E$15,IF(P41&lt;Bewertung_Stammdaten!G$16,Bewertung_Stammdaten!E$16,IF(P41&lt;Bewertung_Stammdaten!G$17,Bewertung_Stammdaten!E$17,IF(P41&lt;Bewertung_Stammdaten!G$18,Bewertung_Stammdaten!E$18,IF(P41&lt;Bewertung_Stammdaten!G$19,Bewertung_Stammdaten!E$19,IF(P41&lt;Bewertung_Stammdaten!G$20,Bewertung_Stammdaten!E$20,Bewertung_Stammdaten!E$21))))))))))</f>
        <v>2.5</v>
      </c>
      <c r="S41" s="43"/>
      <c r="T41" s="11">
        <f ca="1">VLOOKUP(A41,Buchwert_je_Aktie!A$3:AK$103,23,FALSE)</f>
        <v>6.2176944444444446</v>
      </c>
      <c r="U41" s="11">
        <f>VLOOKUP(A41,Buchwert_je_Aktie!A$3:AK$103,19,FALSE)</f>
        <v>5.9754545454545456</v>
      </c>
      <c r="V41" s="12">
        <f ca="1">VLOOKUP(A41,Buchwert_je_Aktie!A$3:AK$103,24,FALSE)</f>
        <v>4.0539158510404461E-2</v>
      </c>
      <c r="W41" s="12">
        <f>VLOOKUP(A41,Buchwert_je_Aktie!A$3:AK$103,37,FALSE)</f>
        <v>-0.21199442119944212</v>
      </c>
      <c r="X41" s="16">
        <f t="shared" ca="1" si="16"/>
        <v>4.8995779094994578</v>
      </c>
      <c r="Y41" s="12">
        <f t="shared" ca="1" si="17"/>
        <v>-0.18004933813336321</v>
      </c>
      <c r="Z41" s="51">
        <f ca="1">IF(V41&lt;Bewertung_Stammdaten!B$25,Bewertung_Stammdaten!A$25,IF(V41&lt;Bewertung_Stammdaten!B$26,Bewertung_Stammdaten!A$26,IF(V41&lt;Bewertung_Stammdaten!B$27,Bewertung_Stammdaten!A$27,IF(V41&lt;Bewertung_Stammdaten!B$28,Bewertung_Stammdaten!A$28,IF(V41&lt;Bewertung_Stammdaten!B$29,Bewertung_Stammdaten!A$29,IF(V41&lt;Bewertung_Stammdaten!B$30,Bewertung_Stammdaten!A$30,IF(V41&lt;Bewertung_Stammdaten!B$31,Bewertung_Stammdaten!A$31,IF(V41&lt;Bewertung_Stammdaten!B$32,Bewertung_Stammdaten!A$32,IF(V41&lt;Bewertung_Stammdaten!B$33,Bewertung_Stammdaten!A$33,Bewertung_Stammdaten!A$34)))))))))</f>
        <v>4.5</v>
      </c>
      <c r="AA41" s="51">
        <f>IF(W41&lt;Bewertung_Stammdaten!F$25,Bewertung_Stammdaten!E$25,IF(W41&lt;Bewertung_Stammdaten!F$26,Bewertung_Stammdaten!E$26,IF(W41&lt;Bewertung_Stammdaten!F$27,Bewertung_Stammdaten!E$27,IF(W41&lt;Bewertung_Stammdaten!F$28,Bewertung_Stammdaten!E$28,IF(W41&lt;Bewertung_Stammdaten!F$29,Bewertung_Stammdaten!E$29,IF(W41&lt;Bewertung_Stammdaten!F$30,Bewertung_Stammdaten!E$30,IF(W41&lt;Bewertung_Stammdaten!F$31,Bewertung_Stammdaten!E$31,IF(W41&lt;Bewertung_Stammdaten!F$32,Bewertung_Stammdaten!E$32,IF(W41&lt;Bewertung_Stammdaten!F$33,Bewertung_Stammdaten!E$33,Bewertung_Stammdaten!E$34)))))))))</f>
        <v>4.5</v>
      </c>
      <c r="AB41" s="51">
        <f ca="1">IF(Y41&lt;Bewertung_Stammdaten!J$25,Bewertung_Stammdaten!I$25,IF(Y41&lt;Bewertung_Stammdaten!J$26,Bewertung_Stammdaten!I$26,IF(Y41&lt;Bewertung_Stammdaten!J$27,Bewertung_Stammdaten!I$27,IF(Y41&lt;Bewertung_Stammdaten!J$28,Bewertung_Stammdaten!I$28,IF(Y41&lt;Bewertung_Stammdaten!J$29,Bewertung_Stammdaten!I$29,IF(Y41&lt;Bewertung_Stammdaten!J$30,Bewertung_Stammdaten!I$30,IF(Y41&lt;Bewertung_Stammdaten!J$31,Bewertung_Stammdaten!I$31,IF(Y41&lt;Bewertung_Stammdaten!J$32,Bewertung_Stammdaten!I$32,IF(Y41&lt;Bewertung_Stammdaten!J$33,Bewertung_Stammdaten!I$33,Bewertung_Stammdaten!I$34)))))))))</f>
        <v>1</v>
      </c>
      <c r="AC41" s="43"/>
      <c r="AD41" s="14">
        <f ca="1">VLOOKUP(A41,Ergebnis_je_Aktie_verwässert!A$3:AK$103,23,FALSE)</f>
        <v>2.0784444444444445</v>
      </c>
      <c r="AE41" s="14">
        <f>VLOOKUP(A41,Ergebnis_je_Aktie_verwässert!A$3:AK$103,19,FALSE)</f>
        <v>1.4033333333333333</v>
      </c>
      <c r="AF41" s="12">
        <f ca="1">VLOOKUP(A41,Ergebnis_je_Aktie_verwässert!A$3:AK$103,24,FALSE)</f>
        <v>0.48107680126682517</v>
      </c>
      <c r="AG41" s="40">
        <f>VLOOKUP(A41,Ergebnis_je_Aktie_verwässert!A$3:AK$103,37,FALSE)</f>
        <v>-0.61581920903954801</v>
      </c>
      <c r="AH41" s="16">
        <f t="shared" ca="1" si="18"/>
        <v>0.79849843063402393</v>
      </c>
      <c r="AI41" s="12">
        <f t="shared" ca="1" si="19"/>
        <v>-0.43099874301613494</v>
      </c>
      <c r="AJ41" s="32">
        <f ca="1">IF(AF41&lt;Bewertung_Stammdaten!B$38,Bewertung_Stammdaten!A$38,IF(AF41&lt;Bewertung_Stammdaten!B$39,Bewertung_Stammdaten!A$39,IF(AF41&lt;Bewertung_Stammdaten!B$40,Bewertung_Stammdaten!A$40,IF(AF41&lt;Bewertung_Stammdaten!B$41,Bewertung_Stammdaten!A$41,IF(AF41&lt;Bewertung_Stammdaten!B$42,Bewertung_Stammdaten!A$42,IF(AF41&lt;Bewertung_Stammdaten!B$43,Bewertung_Stammdaten!A$43,IF(AF41&lt;Bewertung_Stammdaten!B$44,Bewertung_Stammdaten!A$44,IF(AF41&lt;Bewertung_Stammdaten!B$45,Bewertung_Stammdaten!A$45,IF(AF41&lt;Bewertung_Stammdaten!B$46,Bewertung_Stammdaten!A$46,Bewertung_Stammdaten!A$47)))))))))</f>
        <v>16</v>
      </c>
      <c r="AK41" s="32">
        <f>IF(AG41&lt;Bewertung_Stammdaten!F$38,Bewertung_Stammdaten!E$38,IF(AG41&lt;Bewertung_Stammdaten!F$39,Bewertung_Stammdaten!E$39,IF(AG41&lt;Bewertung_Stammdaten!F$40,Bewertung_Stammdaten!E$40,IF(AG41&lt;Bewertung_Stammdaten!F$41,Bewertung_Stammdaten!E$41,IF(AG41&lt;Bewertung_Stammdaten!F$42,Bewertung_Stammdaten!E$42,IF(AG41&lt;Bewertung_Stammdaten!F$43,Bewertung_Stammdaten!E$43,IF(AG41&lt;Bewertung_Stammdaten!F$44,Bewertung_Stammdaten!E$44,IF(AG41&lt;Bewertung_Stammdaten!F$45,Bewertung_Stammdaten!E$45,IF(AG41&lt;Bewertung_Stammdaten!F$46,Bewertung_Stammdaten!E$46,Bewertung_Stammdaten!E$47)))))))))</f>
        <v>1.5</v>
      </c>
      <c r="AL41" s="32">
        <f ca="1">IF(AI41&lt;Bewertung_Stammdaten!J$38,Bewertung_Stammdaten!I$38,IF(AI41&lt;Bewertung_Stammdaten!J$39,Bewertung_Stammdaten!I$39,IF(AI41&lt;Bewertung_Stammdaten!J$40,Bewertung_Stammdaten!I$40,IF(AI41&lt;Bewertung_Stammdaten!J$41,Bewertung_Stammdaten!I$41,IF(AI41&lt;Bewertung_Stammdaten!J$42,Bewertung_Stammdaten!I$42,IF(AI41&lt;Bewertung_Stammdaten!J$43,Bewertung_Stammdaten!I$43,IF(AI41&lt;Bewertung_Stammdaten!J$44,Bewertung_Stammdaten!I$44,IF(AI41&lt;Bewertung_Stammdaten!J$45,Bewertung_Stammdaten!I$45,IF(AI41&lt;Bewertung_Stammdaten!J$46,Bewertung_Stammdaten!I$46,Bewertung_Stammdaten!I$47)))))))))</f>
        <v>1</v>
      </c>
      <c r="AM41" s="43"/>
      <c r="AN41" s="14">
        <f ca="1">VLOOKUP(A41,Dividende_je_Aktie!A$3:AM$103,24,FALSE)</f>
        <v>1.6384444444444444</v>
      </c>
      <c r="AO41" s="14">
        <f>VLOOKUP(A41,Dividende_je_Aktie!A$3:AM$103,20,FALSE)</f>
        <v>1.1491666666666667</v>
      </c>
      <c r="AP41" s="12">
        <f ca="1">VLOOKUP(A41,Dividende_je_Aktie!A$3:AM$103,25,FALSE)</f>
        <v>0.42576746434614443</v>
      </c>
      <c r="AQ41" s="40">
        <f>VLOOKUP(A41,Dividende_je_Aktie!A$3:AM$103,39,FALSE)</f>
        <v>5.0000000000000044E-2</v>
      </c>
      <c r="AR41" s="16">
        <f t="shared" ca="1" si="20"/>
        <v>1.6384444444444444</v>
      </c>
      <c r="AS41" s="12">
        <f t="shared" ca="1" si="21"/>
        <v>0.42576746434614443</v>
      </c>
      <c r="AT41" s="32">
        <f ca="1">IF(AP41&lt;Bewertung_Stammdaten!B$51,Bewertung_Stammdaten!A$51,IF(AP41&lt;Bewertung_Stammdaten!B$52,Bewertung_Stammdaten!A$52,IF(AP41&lt;Bewertung_Stammdaten!B$53,Bewertung_Stammdaten!A$53,IF(AP41&lt;Bewertung_Stammdaten!B$54,Bewertung_Stammdaten!A$54,IF(AP41&lt;Bewertung_Stammdaten!B$55,Bewertung_Stammdaten!A$55,IF(AP41&lt;Bewertung_Stammdaten!B$56,Bewertung_Stammdaten!A$56,IF(AP41&lt;Bewertung_Stammdaten!B$57,Bewertung_Stammdaten!A$57,IF(AP41&lt;Bewertung_Stammdaten!B$58,Bewertung_Stammdaten!A$58,IF(AP41&lt;Bewertung_Stammdaten!B$59,Bewertung_Stammdaten!A$59,Bewertung_Stammdaten!A$60)))))))))</f>
        <v>14</v>
      </c>
      <c r="AU41" s="32">
        <f>IF(AQ41&lt;Bewertung_Stammdaten!F$51,Bewertung_Stammdaten!E$51,IF(AQ41&lt;Bewertung_Stammdaten!F$52,Bewertung_Stammdaten!E$52,IF(AQ41&lt;Bewertung_Stammdaten!F$53,Bewertung_Stammdaten!E$53,IF(AQ41&lt;Bewertung_Stammdaten!F$54,Bewertung_Stammdaten!E$54,IF(AQ41&lt;Bewertung_Stammdaten!F$55,Bewertung_Stammdaten!E$55,IF(AQ41&lt;Bewertung_Stammdaten!F$56,Bewertung_Stammdaten!E$56,IF(AQ41&lt;Bewertung_Stammdaten!F$57,Bewertung_Stammdaten!E$57,IF(AQ41&lt;Bewertung_Stammdaten!F$58,Bewertung_Stammdaten!E$58,IF(AQ41&lt;Bewertung_Stammdaten!F$59,Bewertung_Stammdaten!E$59,Bewertung_Stammdaten!E$60)))))))))</f>
        <v>12</v>
      </c>
      <c r="AV41" s="32">
        <f ca="1">IF(AS41&lt;Bewertung_Stammdaten!J$51,Bewertung_Stammdaten!I$51,IF(AS41&lt;Bewertung_Stammdaten!J$52,Bewertung_Stammdaten!I$52,IF(AS41&lt;Bewertung_Stammdaten!J$53,Bewertung_Stammdaten!I$53,IF(AS41&lt;Bewertung_Stammdaten!J$54,Bewertung_Stammdaten!I$54,IF(AS41&lt;Bewertung_Stammdaten!J$55,Bewertung_Stammdaten!I$55,IF(AS41&lt;Bewertung_Stammdaten!J$56,Bewertung_Stammdaten!I$56,IF(AS41&lt;Bewertung_Stammdaten!J$57,Bewertung_Stammdaten!I$57,IF(AS41&lt;Bewertung_Stammdaten!J$58,Bewertung_Stammdaten!I$58,IF(AS41&lt;Bewertung_Stammdaten!J$59,Bewertung_Stammdaten!I$59,Bewertung_Stammdaten!I$60)))))))))</f>
        <v>8</v>
      </c>
      <c r="AW41" s="43"/>
      <c r="AX41" s="12">
        <f ca="1">VLOOKUP(A41,Dividendenrendite!A$3:R$103,17,FALSE)</f>
        <v>4.2556998556998557E-2</v>
      </c>
      <c r="AY41" s="12">
        <f>VLOOKUP(A41,Dividendenrendite!A$3:R$103,16,FALSE)</f>
        <v>4.1926571098441431E-2</v>
      </c>
      <c r="AZ41" s="12">
        <f ca="1">VLOOKUP(A41,Dividendenrendite!A$3:R$103,18,FALSE)</f>
        <v>1.5036465946068223E-2</v>
      </c>
      <c r="BA41" s="32">
        <f ca="1">IF(AX41&lt;Bewertung_Stammdaten!B$64,Bewertung_Stammdaten!A$64,IF(AX41&lt;Bewertung_Stammdaten!B$65,Bewertung_Stammdaten!A$65,IF(AX41&lt;Bewertung_Stammdaten!B$66,Bewertung_Stammdaten!A$66,IF(AX41&lt;Bewertung_Stammdaten!B$67,Bewertung_Stammdaten!A$67,IF(AX41&lt;Bewertung_Stammdaten!B$68,Bewertung_Stammdaten!A$68,IF(AX41&lt;Bewertung_Stammdaten!B$69,Bewertung_Stammdaten!A$69,IF(AX41&lt;Bewertung_Stammdaten!B$70,Bewertung_Stammdaten!A$70,IF(AX41&lt;Bewertung_Stammdaten!B$71,Bewertung_Stammdaten!A$71,IF(AX41&lt;Bewertung_Stammdaten!B$72,Bewertung_Stammdaten!A$72,Bewertung_Stammdaten!A$73)))))))))</f>
        <v>13.5</v>
      </c>
      <c r="BB41" s="32">
        <f>IF(AY41&lt;Bewertung_Stammdaten!F$64,Bewertung_Stammdaten!E$64,IF(AY41&lt;Bewertung_Stammdaten!F$65,Bewertung_Stammdaten!E$65,IF(AY41&lt;Bewertung_Stammdaten!F$66,Bewertung_Stammdaten!E$66,IF(AY41&lt;Bewertung_Stammdaten!F$67,Bewertung_Stammdaten!E$67,IF(AY41&lt;Bewertung_Stammdaten!F$68,Bewertung_Stammdaten!E$68,IF(AY41&lt;Bewertung_Stammdaten!F$69,Bewertung_Stammdaten!E$69,IF(AY41&lt;Bewertung_Stammdaten!F$70,Bewertung_Stammdaten!E$70,IF(AY41&lt;Bewertung_Stammdaten!F$71,Bewertung_Stammdaten!E$71,IF(AY41&lt;Bewertung_Stammdaten!F$72,Bewertung_Stammdaten!E$72,Bewertung_Stammdaten!E$73)))))))))</f>
        <v>9</v>
      </c>
      <c r="BC41" s="32">
        <f ca="1">IF(AZ41&lt;Bewertung_Stammdaten!J$64,Bewertung_Stammdaten!I$64,IF(AZ41&lt;Bewertung_Stammdaten!J$65,Bewertung_Stammdaten!I$65,IF(AZ41&lt;Bewertung_Stammdaten!J$66,Bewertung_Stammdaten!I$66,IF(AZ41&lt;Bewertung_Stammdaten!J$67,Bewertung_Stammdaten!I$67,IF(AZ41&lt;Bewertung_Stammdaten!J$68,Bewertung_Stammdaten!I$68,IF(AZ41&lt;Bewertung_Stammdaten!J$69,Bewertung_Stammdaten!I$69,IF(AZ41&lt;Bewertung_Stammdaten!J$70,Bewertung_Stammdaten!I$70,IF(AZ41&lt;Bewertung_Stammdaten!J$71,Bewertung_Stammdaten!I$71,IF(AZ41&lt;Bewertung_Stammdaten!J$72,Bewertung_Stammdaten!I$72,Bewertung_Stammdaten!I$73)))))))))</f>
        <v>3</v>
      </c>
      <c r="BD41" s="43"/>
      <c r="BE41" s="12">
        <f>VLOOKUP(A41,Aktien_im_Umlauf_splitbereinigt!A$3:AB$103,28,FALSE)</f>
        <v>0</v>
      </c>
      <c r="BF41" s="12">
        <f>VLOOKUP(A41,Aktien_im_Umlauf_splitbereinigt!A$3:AA$103,26,FALSE)</f>
        <v>-4.2803638309256231E-3</v>
      </c>
      <c r="BG41" s="12">
        <f>VLOOKUP(A41,Aktien_im_Umlauf_splitbereinigt!A$3:AA$103,27,FALSE)</f>
        <v>-1</v>
      </c>
      <c r="BH41" s="41">
        <f>IF(BE41&lt;Bewertung_Stammdaten!B$77,Bewertung_Stammdaten!A$77,IF(BE41&lt;Bewertung_Stammdaten!B$78,Bewertung_Stammdaten!A$78,IF(BE41&lt;Bewertung_Stammdaten!B$79,Bewertung_Stammdaten!A$79,IF(BE41&lt;Bewertung_Stammdaten!B$80,Bewertung_Stammdaten!A$80,IF(BE41&lt;Bewertung_Stammdaten!B$81,Bewertung_Stammdaten!A$81,IF(BE41&lt;Bewertung_Stammdaten!B$82,Bewertung_Stammdaten!A$82,IF(BE41&lt;Bewertung_Stammdaten!B$83,Bewertung_Stammdaten!A$83,IF(BE41&lt;Bewertung_Stammdaten!B$84,Bewertung_Stammdaten!A$84,IF(BE41&lt;Bewertung_Stammdaten!B$85,Bewertung_Stammdaten!A$85,Bewertung_Stammdaten!A$86)))))))))</f>
        <v>2</v>
      </c>
      <c r="BI41" s="41">
        <f>IF(BF41&lt;Bewertung_Stammdaten!F$77,Bewertung_Stammdaten!E$77,IF(BF41&lt;Bewertung_Stammdaten!F$78,Bewertung_Stammdaten!E$78,IF(BF41&lt;Bewertung_Stammdaten!F$79,Bewertung_Stammdaten!E$79,IF(BF41&lt;Bewertung_Stammdaten!F$80,Bewertung_Stammdaten!E$80,IF(BF41&lt;Bewertung_Stammdaten!F$81,Bewertung_Stammdaten!E$81,IF(BF41&lt;Bewertung_Stammdaten!F$82,Bewertung_Stammdaten!E$82,IF(BF41&lt;Bewertung_Stammdaten!F$83,Bewertung_Stammdaten!E$83,IF(BF41&lt;Bewertung_Stammdaten!F$84,Bewertung_Stammdaten!E$84,IF(BF41&lt;Bewertung_Stammdaten!F$85,Bewertung_Stammdaten!E$85,Bewertung_Stammdaten!E$86)))))))))</f>
        <v>3</v>
      </c>
      <c r="BJ41" s="41">
        <f>IF(BG41&lt;Bewertung_Stammdaten!J$77,Bewertung_Stammdaten!I$77,IF(BG41&lt;Bewertung_Stammdaten!J$78,Bewertung_Stammdaten!I$78,IF(BG41&lt;Bewertung_Stammdaten!J$79,Bewertung_Stammdaten!I$79,IF(BG41&lt;Bewertung_Stammdaten!J$80,Bewertung_Stammdaten!I$80,IF(BG41&lt;Bewertung_Stammdaten!J$81,Bewertung_Stammdaten!I$81,IF(BG41&lt;Bewertung_Stammdaten!J$82,Bewertung_Stammdaten!I$82,IF(BG41&lt;Bewertung_Stammdaten!J$83,Bewertung_Stammdaten!I$83,IF(BG41&lt;Bewertung_Stammdaten!J$84,Bewertung_Stammdaten!I$84,IF(BG41&lt;Bewertung_Stammdaten!J$85,Bewertung_Stammdaten!I$85,Bewertung_Stammdaten!I$86)))))))))</f>
        <v>1</v>
      </c>
      <c r="BK41" s="43"/>
      <c r="BL41" s="12">
        <f ca="1">VLOOKUP(A41,Ausschüttungsquote!A$3:AL$103,37,FALSE)</f>
        <v>0.78799007959695111</v>
      </c>
      <c r="BM41" s="12">
        <f>VLOOKUP(A41,Ausschüttungsquote!A$3:AL$103,19,FALSE)</f>
        <v>0.94954832563040903</v>
      </c>
      <c r="BN41" s="12">
        <f ca="1">VLOOKUP(A41,Ausschüttungsquote!A$3:AL$103,38,FALSE)</f>
        <v>-0.12757320958710106</v>
      </c>
      <c r="BO41" s="32">
        <f ca="1">IF(BL41&lt;Bewertung_Stammdaten!B$90,Bewertung_Stammdaten!A$90,IF(BL41&lt;Bewertung_Stammdaten!B$91,Bewertung_Stammdaten!A$91,IF(BL41&lt;Bewertung_Stammdaten!B$92,Bewertung_Stammdaten!A$92,IF(BL41&lt;Bewertung_Stammdaten!B$93,Bewertung_Stammdaten!A$93,IF(BL41&lt;Bewertung_Stammdaten!B$94,Bewertung_Stammdaten!A$94,IF(BL41&lt;Bewertung_Stammdaten!B$95,Bewertung_Stammdaten!A$95,IF(BL41&lt;Bewertung_Stammdaten!B$96,Bewertung_Stammdaten!A$96,IF(BL41&lt;Bewertung_Stammdaten!B$97,Bewertung_Stammdaten!A$97,IF(BL41&lt;Bewertung_Stammdaten!B$98,Bewertung_Stammdaten!A$98,Bewertung_Stammdaten!A$99)))))))))</f>
        <v>2</v>
      </c>
      <c r="BP41" s="41">
        <f>IF(BM41&lt;Bewertung_Stammdaten!F$90,Bewertung_Stammdaten!E$90,IF(BM41&lt;Bewertung_Stammdaten!F$91,Bewertung_Stammdaten!E$91,IF(BM41&lt;Bewertung_Stammdaten!F$92,Bewertung_Stammdaten!E$92,IF(BM41&lt;Bewertung_Stammdaten!F$93,Bewertung_Stammdaten!E$93,IF(BM41&lt;Bewertung_Stammdaten!F$94,Bewertung_Stammdaten!E$94,IF(BM41&lt;Bewertung_Stammdaten!F$95,Bewertung_Stammdaten!E$95,IF(BM41&lt;Bewertung_Stammdaten!F$96,Bewertung_Stammdaten!E$96,IF(BM41&lt;Bewertung_Stammdaten!F$97,Bewertung_Stammdaten!E$97,IF(BM41&lt;Bewertung_Stammdaten!F$98,Bewertung_Stammdaten!E$98,Bewertung_Stammdaten!E$99)))))))))</f>
        <v>1</v>
      </c>
      <c r="BQ41" s="32">
        <f ca="1">IF(BN41&lt;Bewertung_Stammdaten!J$90,Bewertung_Stammdaten!I$90,IF(BN41&lt;Bewertung_Stammdaten!J$91,Bewertung_Stammdaten!I$91,IF(BN41&lt;Bewertung_Stammdaten!J$92,Bewertung_Stammdaten!I$92,IF(BN41&lt;Bewertung_Stammdaten!J$93,Bewertung_Stammdaten!I$93,IF(BN41&lt;Bewertung_Stammdaten!J$94,Bewertung_Stammdaten!I$94,IF(BN41&lt;Bewertung_Stammdaten!J$95,Bewertung_Stammdaten!I$95,IF(BN41&lt;Bewertung_Stammdaten!J$96,Bewertung_Stammdaten!I$96,IF(BN41&lt;Bewertung_Stammdaten!J$97,Bewertung_Stammdaten!I$97,IF(BN41&lt;Bewertung_Stammdaten!J$98,Bewertung_Stammdaten!I$98,Bewertung_Stammdaten!I$99)))))))))</f>
        <v>8</v>
      </c>
    </row>
    <row r="42" spans="1:69">
      <c r="A42" s="38" t="s">
        <v>6</v>
      </c>
      <c r="B42" s="38" t="s">
        <v>7</v>
      </c>
      <c r="C42" s="38" t="s">
        <v>283</v>
      </c>
      <c r="D42" s="32">
        <f t="shared" ca="1" si="11"/>
        <v>136.5</v>
      </c>
      <c r="E42" s="43"/>
      <c r="F42" s="60">
        <v>1</v>
      </c>
      <c r="G42" s="11">
        <f ca="1">VLOOKUP(A42,KGV!A$3:R$103,17,FALSE)</f>
        <v>20.746354017729484</v>
      </c>
      <c r="H42" s="11">
        <f>VLOOKUP(A42,KGV!A$3:R$103,16,FALSE)</f>
        <v>17.436305732484076</v>
      </c>
      <c r="I42" s="12">
        <f ca="1">VLOOKUP(A42,KGV!A$3:R$103,18,FALSE)</f>
        <v>0.18983655919033016</v>
      </c>
      <c r="J42" s="16">
        <f t="shared" ca="1" si="12"/>
        <v>22.244530548578894</v>
      </c>
      <c r="K42" s="12">
        <f t="shared" ca="1" si="13"/>
        <v>0.27575937758059776</v>
      </c>
      <c r="L42" s="11">
        <f ca="1">VLOOKUP(A42,KBV!A$3:R$103,17,FALSE)</f>
        <v>3.179228746713409</v>
      </c>
      <c r="M42" s="11">
        <f>VLOOKUP(A42,KBV!A$3:R$103,16,FALSE)</f>
        <v>3.0483193277310923</v>
      </c>
      <c r="N42" s="12">
        <f ca="1">VLOOKUP(A42,KBV!A$3:R$103,18,FALSE)</f>
        <v>4.2944785276073594E-2</v>
      </c>
      <c r="O42" s="16">
        <f t="shared" ca="1" si="14"/>
        <v>3.5369936184663242</v>
      </c>
      <c r="P42" s="12">
        <f t="shared" ca="1" si="15"/>
        <v>0.16030941584422487</v>
      </c>
      <c r="Q42" s="32">
        <f ca="1">IF(F42=1,IF(I42&lt;Bewertung_Stammdaten!B$12,Bewertung_Stammdaten!A$12,IF(I42&lt;Bewertung_Stammdaten!B$13,Bewertung_Stammdaten!A$13,IF(I42&lt;Bewertung_Stammdaten!B$14,Bewertung_Stammdaten!A$14,IF(I42&lt;Bewertung_Stammdaten!B$15,Bewertung_Stammdaten!A$15,IF(I42&lt;Bewertung_Stammdaten!B$16,Bewertung_Stammdaten!A$16,IF(I42&lt;Bewertung_Stammdaten!B$17,Bewertung_Stammdaten!A$17,IF(I42&lt;Bewertung_Stammdaten!B$18,Bewertung_Stammdaten!A$18,IF(I42&lt;Bewertung_Stammdaten!B$19,Bewertung_Stammdaten!A$19,IF(I42&lt;Bewertung_Stammdaten!B$20,Bewertung_Stammdaten!A$20,Bewertung_Stammdaten!A$21))))))))),IF(N42&lt;Bewertung_Stammdaten!C$12,Bewertung_Stammdaten!A$12,IF(N42&lt;Bewertung_Stammdaten!C$13,Bewertung_Stammdaten!A$13,IF(N42&lt;Bewertung_Stammdaten!C$14,Bewertung_Stammdaten!A$14,IF(N42&lt;Bewertung_Stammdaten!C$15,Bewertung_Stammdaten!A$15,IF(N42&lt;Bewertung_Stammdaten!C$16,Bewertung_Stammdaten!A$16,IF(N42&lt;Bewertung_Stammdaten!C$17,Bewertung_Stammdaten!A$17,IF(N42&lt;Bewertung_Stammdaten!C$18,Bewertung_Stammdaten!A$18,IF(N42&lt;Bewertung_Stammdaten!C$19,Bewertung_Stammdaten!A$19,IF(N42&lt;Bewertung_Stammdaten!C$20,Bewertung_Stammdaten!A$20,Bewertung_Stammdaten!A$21))))))))))</f>
        <v>18</v>
      </c>
      <c r="R42" s="32">
        <f ca="1">IF(F42=1,IF(K42&lt;Bewertung_Stammdaten!F$12,Bewertung_Stammdaten!E$12,IF(K42&lt;Bewertung_Stammdaten!F$13,Bewertung_Stammdaten!E$13,IF(K42&lt;Bewertung_Stammdaten!F$14,Bewertung_Stammdaten!E$14,IF(K42&lt;Bewertung_Stammdaten!F$15,Bewertung_Stammdaten!E$15,IF(K42&lt;Bewertung_Stammdaten!F$16,Bewertung_Stammdaten!E$16,IF(K42&lt;Bewertung_Stammdaten!F$17,Bewertung_Stammdaten!E$17,IF(K42&lt;Bewertung_Stammdaten!F$18,Bewertung_Stammdaten!E$18,IF(K42&lt;Bewertung_Stammdaten!F$19,Bewertung_Stammdaten!E$19,IF(K42&lt;Bewertung_Stammdaten!F$20,Bewertung_Stammdaten!E$20,Bewertung_Stammdaten!E$21))))))))),IF(P42&lt;Bewertung_Stammdaten!G$12,Bewertung_Stammdaten!E$12,IF(P42&lt;Bewertung_Stammdaten!G$13,Bewertung_Stammdaten!E$13,IF(P42&lt;Bewertung_Stammdaten!G$14,Bewertung_Stammdaten!E$14,IF(P42&lt;Bewertung_Stammdaten!G$15,Bewertung_Stammdaten!E$15,IF(P42&lt;Bewertung_Stammdaten!G$16,Bewertung_Stammdaten!E$16,IF(P42&lt;Bewertung_Stammdaten!G$17,Bewertung_Stammdaten!E$17,IF(P42&lt;Bewertung_Stammdaten!G$18,Bewertung_Stammdaten!E$18,IF(P42&lt;Bewertung_Stammdaten!G$19,Bewertung_Stammdaten!E$19,IF(P42&lt;Bewertung_Stammdaten!G$20,Bewertung_Stammdaten!E$20,Bewertung_Stammdaten!E$21))))))))))</f>
        <v>10</v>
      </c>
      <c r="S42" s="43"/>
      <c r="T42" s="11">
        <f ca="1">VLOOKUP(A42,Buchwert_je_Aktie!A$3:AK$103,23,FALSE)</f>
        <v>22.82</v>
      </c>
      <c r="U42" s="11">
        <f>VLOOKUP(A42,Buchwert_je_Aktie!A$3:AK$103,19,FALSE)</f>
        <v>20.595555555555553</v>
      </c>
      <c r="V42" s="12">
        <f ca="1">VLOOKUP(A42,Buchwert_je_Aktie!A$3:AK$103,24,FALSE)</f>
        <v>0.10800604229607269</v>
      </c>
      <c r="W42" s="12">
        <f>VLOOKUP(A42,Buchwert_je_Aktie!A$3:AK$103,37,FALSE)</f>
        <v>-0.10114942528735626</v>
      </c>
      <c r="X42" s="16">
        <f t="shared" ca="1" si="16"/>
        <v>20.511770114942529</v>
      </c>
      <c r="Y42" s="12">
        <f t="shared" ca="1" si="17"/>
        <v>-4.0681320970933355E-3</v>
      </c>
      <c r="Z42" s="51">
        <f ca="1">IF(V42&lt;Bewertung_Stammdaten!B$25,Bewertung_Stammdaten!A$25,IF(V42&lt;Bewertung_Stammdaten!B$26,Bewertung_Stammdaten!A$26,IF(V42&lt;Bewertung_Stammdaten!B$27,Bewertung_Stammdaten!A$27,IF(V42&lt;Bewertung_Stammdaten!B$28,Bewertung_Stammdaten!A$28,IF(V42&lt;Bewertung_Stammdaten!B$29,Bewertung_Stammdaten!A$29,IF(V42&lt;Bewertung_Stammdaten!B$30,Bewertung_Stammdaten!A$30,IF(V42&lt;Bewertung_Stammdaten!B$31,Bewertung_Stammdaten!A$31,IF(V42&lt;Bewertung_Stammdaten!B$32,Bewertung_Stammdaten!A$32,IF(V42&lt;Bewertung_Stammdaten!B$33,Bewertung_Stammdaten!A$33,Bewertung_Stammdaten!A$34)))))))))</f>
        <v>6</v>
      </c>
      <c r="AA42" s="51">
        <f>IF(W42&lt;Bewertung_Stammdaten!F$25,Bewertung_Stammdaten!E$25,IF(W42&lt;Bewertung_Stammdaten!F$26,Bewertung_Stammdaten!E$26,IF(W42&lt;Bewertung_Stammdaten!F$27,Bewertung_Stammdaten!E$27,IF(W42&lt;Bewertung_Stammdaten!F$28,Bewertung_Stammdaten!E$28,IF(W42&lt;Bewertung_Stammdaten!F$29,Bewertung_Stammdaten!E$29,IF(W42&lt;Bewertung_Stammdaten!F$30,Bewertung_Stammdaten!E$30,IF(W42&lt;Bewertung_Stammdaten!F$31,Bewertung_Stammdaten!E$31,IF(W42&lt;Bewertung_Stammdaten!F$32,Bewertung_Stammdaten!E$32,IF(W42&lt;Bewertung_Stammdaten!F$33,Bewertung_Stammdaten!E$33,Bewertung_Stammdaten!E$34)))))))))</f>
        <v>7.5</v>
      </c>
      <c r="AB42" s="51">
        <f ca="1">IF(Y42&lt;Bewertung_Stammdaten!J$25,Bewertung_Stammdaten!I$25,IF(Y42&lt;Bewertung_Stammdaten!J$26,Bewertung_Stammdaten!I$26,IF(Y42&lt;Bewertung_Stammdaten!J$27,Bewertung_Stammdaten!I$27,IF(Y42&lt;Bewertung_Stammdaten!J$28,Bewertung_Stammdaten!I$28,IF(Y42&lt;Bewertung_Stammdaten!J$29,Bewertung_Stammdaten!I$29,IF(Y42&lt;Bewertung_Stammdaten!J$30,Bewertung_Stammdaten!I$30,IF(Y42&lt;Bewertung_Stammdaten!J$31,Bewertung_Stammdaten!I$31,IF(Y42&lt;Bewertung_Stammdaten!J$32,Bewertung_Stammdaten!I$32,IF(Y42&lt;Bewertung_Stammdaten!J$33,Bewertung_Stammdaten!I$33,Bewertung_Stammdaten!I$34)))))))))</f>
        <v>2</v>
      </c>
      <c r="AC42" s="43"/>
      <c r="AD42" s="14">
        <f ca="1">VLOOKUP(A42,Ergebnis_je_Aktie_verwässert!A$3:AK$103,23,FALSE)</f>
        <v>3.4969999999999999</v>
      </c>
      <c r="AE42" s="14">
        <f>VLOOKUP(A42,Ergebnis_je_Aktie_verwässert!A$3:AK$103,19,FALSE)</f>
        <v>3.2676153846153846</v>
      </c>
      <c r="AF42" s="12">
        <f ca="1">VLOOKUP(A42,Ergebnis_je_Aktie_verwässert!A$3:AK$103,24,FALSE)</f>
        <v>7.019939264106978E-2</v>
      </c>
      <c r="AG42" s="40">
        <f>VLOOKUP(A42,Ergebnis_je_Aktie_verwässert!A$3:AK$103,37,FALSE)</f>
        <v>-6.7350332594234952E-2</v>
      </c>
      <c r="AH42" s="16">
        <f t="shared" ca="1" si="18"/>
        <v>3.2614758869179603</v>
      </c>
      <c r="AI42" s="12">
        <f t="shared" ca="1" si="19"/>
        <v>-1.8788923954545789E-3</v>
      </c>
      <c r="AJ42" s="32">
        <f ca="1">IF(AF42&lt;Bewertung_Stammdaten!B$38,Bewertung_Stammdaten!A$38,IF(AF42&lt;Bewertung_Stammdaten!B$39,Bewertung_Stammdaten!A$39,IF(AF42&lt;Bewertung_Stammdaten!B$40,Bewertung_Stammdaten!A$40,IF(AF42&lt;Bewertung_Stammdaten!B$41,Bewertung_Stammdaten!A$41,IF(AF42&lt;Bewertung_Stammdaten!B$42,Bewertung_Stammdaten!A$42,IF(AF42&lt;Bewertung_Stammdaten!B$43,Bewertung_Stammdaten!A$43,IF(AF42&lt;Bewertung_Stammdaten!B$44,Bewertung_Stammdaten!A$44,IF(AF42&lt;Bewertung_Stammdaten!B$45,Bewertung_Stammdaten!A$45,IF(AF42&lt;Bewertung_Stammdaten!B$46,Bewertung_Stammdaten!A$46,Bewertung_Stammdaten!A$47)))))))))</f>
        <v>8</v>
      </c>
      <c r="AK42" s="32">
        <f>IF(AG42&lt;Bewertung_Stammdaten!F$38,Bewertung_Stammdaten!E$38,IF(AG42&lt;Bewertung_Stammdaten!F$39,Bewertung_Stammdaten!E$39,IF(AG42&lt;Bewertung_Stammdaten!F$40,Bewertung_Stammdaten!E$40,IF(AG42&lt;Bewertung_Stammdaten!F$41,Bewertung_Stammdaten!E$41,IF(AG42&lt;Bewertung_Stammdaten!F$42,Bewertung_Stammdaten!E$42,IF(AG42&lt;Bewertung_Stammdaten!F$43,Bewertung_Stammdaten!E$43,IF(AG42&lt;Bewertung_Stammdaten!F$44,Bewertung_Stammdaten!E$44,IF(AG42&lt;Bewertung_Stammdaten!F$45,Bewertung_Stammdaten!E$45,IF(AG42&lt;Bewertung_Stammdaten!F$46,Bewertung_Stammdaten!E$46,Bewertung_Stammdaten!E$47)))))))))</f>
        <v>10.5</v>
      </c>
      <c r="AL42" s="32">
        <f ca="1">IF(AI42&lt;Bewertung_Stammdaten!J$38,Bewertung_Stammdaten!I$38,IF(AI42&lt;Bewertung_Stammdaten!J$39,Bewertung_Stammdaten!I$39,IF(AI42&lt;Bewertung_Stammdaten!J$40,Bewertung_Stammdaten!I$40,IF(AI42&lt;Bewertung_Stammdaten!J$41,Bewertung_Stammdaten!I$41,IF(AI42&lt;Bewertung_Stammdaten!J$42,Bewertung_Stammdaten!I$42,IF(AI42&lt;Bewertung_Stammdaten!J$43,Bewertung_Stammdaten!I$43,IF(AI42&lt;Bewertung_Stammdaten!J$44,Bewertung_Stammdaten!I$44,IF(AI42&lt;Bewertung_Stammdaten!J$45,Bewertung_Stammdaten!I$45,IF(AI42&lt;Bewertung_Stammdaten!J$46,Bewertung_Stammdaten!I$46,Bewertung_Stammdaten!I$47)))))))))</f>
        <v>4</v>
      </c>
      <c r="AM42" s="43"/>
      <c r="AN42" s="14">
        <f ca="1">VLOOKUP(A42,Dividende_je_Aktie!A$3:AM$103,24,FALSE)</f>
        <v>2.3529999999999998</v>
      </c>
      <c r="AO42" s="14">
        <f>VLOOKUP(A42,Dividende_je_Aktie!A$3:AM$103,20,FALSE)</f>
        <v>1.8528571428571428</v>
      </c>
      <c r="AP42" s="12">
        <f ca="1">VLOOKUP(A42,Dividende_je_Aktie!A$3:AM$103,25,FALSE)</f>
        <v>0.26993060909791811</v>
      </c>
      <c r="AQ42" s="40">
        <f>VLOOKUP(A42,Dividende_je_Aktie!A$3:AM$103,39,FALSE)</f>
        <v>2.2727272727272707E-2</v>
      </c>
      <c r="AR42" s="16">
        <f t="shared" ca="1" si="20"/>
        <v>2.3529999999999998</v>
      </c>
      <c r="AS42" s="12">
        <f t="shared" ca="1" si="21"/>
        <v>0.26993060909791811</v>
      </c>
      <c r="AT42" s="32">
        <f ca="1">IF(AP42&lt;Bewertung_Stammdaten!B$51,Bewertung_Stammdaten!A$51,IF(AP42&lt;Bewertung_Stammdaten!B$52,Bewertung_Stammdaten!A$52,IF(AP42&lt;Bewertung_Stammdaten!B$53,Bewertung_Stammdaten!A$53,IF(AP42&lt;Bewertung_Stammdaten!B$54,Bewertung_Stammdaten!A$54,IF(AP42&lt;Bewertung_Stammdaten!B$55,Bewertung_Stammdaten!A$55,IF(AP42&lt;Bewertung_Stammdaten!B$56,Bewertung_Stammdaten!A$56,IF(AP42&lt;Bewertung_Stammdaten!B$57,Bewertung_Stammdaten!A$57,IF(AP42&lt;Bewertung_Stammdaten!B$58,Bewertung_Stammdaten!A$58,IF(AP42&lt;Bewertung_Stammdaten!B$59,Bewertung_Stammdaten!A$59,Bewertung_Stammdaten!A$60)))))))))</f>
        <v>10</v>
      </c>
      <c r="AU42" s="32">
        <f>IF(AQ42&lt;Bewertung_Stammdaten!F$51,Bewertung_Stammdaten!E$51,IF(AQ42&lt;Bewertung_Stammdaten!F$52,Bewertung_Stammdaten!E$52,IF(AQ42&lt;Bewertung_Stammdaten!F$53,Bewertung_Stammdaten!E$53,IF(AQ42&lt;Bewertung_Stammdaten!F$54,Bewertung_Stammdaten!E$54,IF(AQ42&lt;Bewertung_Stammdaten!F$55,Bewertung_Stammdaten!E$55,IF(AQ42&lt;Bewertung_Stammdaten!F$56,Bewertung_Stammdaten!E$56,IF(AQ42&lt;Bewertung_Stammdaten!F$57,Bewertung_Stammdaten!E$57,IF(AQ42&lt;Bewertung_Stammdaten!F$58,Bewertung_Stammdaten!E$58,IF(AQ42&lt;Bewertung_Stammdaten!F$59,Bewertung_Stammdaten!E$59,Bewertung_Stammdaten!E$60)))))))))</f>
        <v>12</v>
      </c>
      <c r="AV42" s="32">
        <f ca="1">IF(AS42&lt;Bewertung_Stammdaten!J$51,Bewertung_Stammdaten!I$51,IF(AS42&lt;Bewertung_Stammdaten!J$52,Bewertung_Stammdaten!I$52,IF(AS42&lt;Bewertung_Stammdaten!J$53,Bewertung_Stammdaten!I$53,IF(AS42&lt;Bewertung_Stammdaten!J$54,Bewertung_Stammdaten!I$54,IF(AS42&lt;Bewertung_Stammdaten!J$55,Bewertung_Stammdaten!I$55,IF(AS42&lt;Bewertung_Stammdaten!J$56,Bewertung_Stammdaten!I$56,IF(AS42&lt;Bewertung_Stammdaten!J$57,Bewertung_Stammdaten!I$57,IF(AS42&lt;Bewertung_Stammdaten!J$58,Bewertung_Stammdaten!I$58,IF(AS42&lt;Bewertung_Stammdaten!J$59,Bewertung_Stammdaten!I$59,Bewertung_Stammdaten!I$60)))))))))</f>
        <v>7</v>
      </c>
      <c r="AW42" s="43"/>
      <c r="AX42" s="12">
        <f ca="1">VLOOKUP(A42,Dividendenrendite!A$3:R$103,17,FALSE)</f>
        <v>3.2432804962095108E-2</v>
      </c>
      <c r="AY42" s="12">
        <f>VLOOKUP(A42,Dividendenrendite!A$3:R$103,16,FALSE)</f>
        <v>3.0687688535251671E-2</v>
      </c>
      <c r="AZ42" s="12">
        <f ca="1">VLOOKUP(A42,Dividendenrendite!A$3:R$103,18,FALSE)</f>
        <v>5.6866988363714066E-2</v>
      </c>
      <c r="BA42" s="32">
        <f ca="1">IF(AX42&lt;Bewertung_Stammdaten!B$64,Bewertung_Stammdaten!A$64,IF(AX42&lt;Bewertung_Stammdaten!B$65,Bewertung_Stammdaten!A$65,IF(AX42&lt;Bewertung_Stammdaten!B$66,Bewertung_Stammdaten!A$66,IF(AX42&lt;Bewertung_Stammdaten!B$67,Bewertung_Stammdaten!A$67,IF(AX42&lt;Bewertung_Stammdaten!B$68,Bewertung_Stammdaten!A$68,IF(AX42&lt;Bewertung_Stammdaten!B$69,Bewertung_Stammdaten!A$69,IF(AX42&lt;Bewertung_Stammdaten!B$70,Bewertung_Stammdaten!A$70,IF(AX42&lt;Bewertung_Stammdaten!B$71,Bewertung_Stammdaten!A$71,IF(AX42&lt;Bewertung_Stammdaten!B$72,Bewertung_Stammdaten!A$72,Bewertung_Stammdaten!A$73)))))))))</f>
        <v>10.5</v>
      </c>
      <c r="BB42" s="32">
        <f>IF(AY42&lt;Bewertung_Stammdaten!F$64,Bewertung_Stammdaten!E$64,IF(AY42&lt;Bewertung_Stammdaten!F$65,Bewertung_Stammdaten!E$65,IF(AY42&lt;Bewertung_Stammdaten!F$66,Bewertung_Stammdaten!E$66,IF(AY42&lt;Bewertung_Stammdaten!F$67,Bewertung_Stammdaten!E$67,IF(AY42&lt;Bewertung_Stammdaten!F$68,Bewertung_Stammdaten!E$68,IF(AY42&lt;Bewertung_Stammdaten!F$69,Bewertung_Stammdaten!E$69,IF(AY42&lt;Bewertung_Stammdaten!F$70,Bewertung_Stammdaten!E$70,IF(AY42&lt;Bewertung_Stammdaten!F$71,Bewertung_Stammdaten!E$71,IF(AY42&lt;Bewertung_Stammdaten!F$72,Bewertung_Stammdaten!E$72,Bewertung_Stammdaten!E$73)))))))))</f>
        <v>7</v>
      </c>
      <c r="BC42" s="32">
        <f ca="1">IF(AZ42&lt;Bewertung_Stammdaten!J$64,Bewertung_Stammdaten!I$64,IF(AZ42&lt;Bewertung_Stammdaten!J$65,Bewertung_Stammdaten!I$65,IF(AZ42&lt;Bewertung_Stammdaten!J$66,Bewertung_Stammdaten!I$66,IF(AZ42&lt;Bewertung_Stammdaten!J$67,Bewertung_Stammdaten!I$67,IF(AZ42&lt;Bewertung_Stammdaten!J$68,Bewertung_Stammdaten!I$68,IF(AZ42&lt;Bewertung_Stammdaten!J$69,Bewertung_Stammdaten!I$69,IF(AZ42&lt;Bewertung_Stammdaten!J$70,Bewertung_Stammdaten!I$70,IF(AZ42&lt;Bewertung_Stammdaten!J$71,Bewertung_Stammdaten!I$71,IF(AZ42&lt;Bewertung_Stammdaten!J$72,Bewertung_Stammdaten!I$72,Bewertung_Stammdaten!I$73)))))))))</f>
        <v>3.5</v>
      </c>
      <c r="BD42" s="43"/>
      <c r="BE42" s="12">
        <f>VLOOKUP(A42,Aktien_im_Umlauf_splitbereinigt!A$3:AB$103,28,FALSE)</f>
        <v>-1.1472868217054288E-2</v>
      </c>
      <c r="BF42" s="12">
        <f>VLOOKUP(A42,Aktien_im_Umlauf_splitbereinigt!A$3:AA$103,26,FALSE)</f>
        <v>-2.311008063138964E-2</v>
      </c>
      <c r="BG42" s="12">
        <f>VLOOKUP(A42,Aktien_im_Umlauf_splitbereinigt!A$3:AA$103,27,FALSE)</f>
        <v>-0.50355568203985057</v>
      </c>
      <c r="BH42" s="41">
        <f>IF(BE42&lt;Bewertung_Stammdaten!B$77,Bewertung_Stammdaten!A$77,IF(BE42&lt;Bewertung_Stammdaten!B$78,Bewertung_Stammdaten!A$78,IF(BE42&lt;Bewertung_Stammdaten!B$79,Bewertung_Stammdaten!A$79,IF(BE42&lt;Bewertung_Stammdaten!B$80,Bewertung_Stammdaten!A$80,IF(BE42&lt;Bewertung_Stammdaten!B$81,Bewertung_Stammdaten!A$81,IF(BE42&lt;Bewertung_Stammdaten!B$82,Bewertung_Stammdaten!A$82,IF(BE42&lt;Bewertung_Stammdaten!B$83,Bewertung_Stammdaten!A$83,IF(BE42&lt;Bewertung_Stammdaten!B$84,Bewertung_Stammdaten!A$84,IF(BE42&lt;Bewertung_Stammdaten!B$85,Bewertung_Stammdaten!A$85,Bewertung_Stammdaten!A$86)))))))))</f>
        <v>5</v>
      </c>
      <c r="BI42" s="41">
        <f>IF(BF42&lt;Bewertung_Stammdaten!F$77,Bewertung_Stammdaten!E$77,IF(BF42&lt;Bewertung_Stammdaten!F$78,Bewertung_Stammdaten!E$78,IF(BF42&lt;Bewertung_Stammdaten!F$79,Bewertung_Stammdaten!E$79,IF(BF42&lt;Bewertung_Stammdaten!F$80,Bewertung_Stammdaten!E$80,IF(BF42&lt;Bewertung_Stammdaten!F$81,Bewertung_Stammdaten!E$81,IF(BF42&lt;Bewertung_Stammdaten!F$82,Bewertung_Stammdaten!E$82,IF(BF42&lt;Bewertung_Stammdaten!F$83,Bewertung_Stammdaten!E$83,IF(BF42&lt;Bewertung_Stammdaten!F$84,Bewertung_Stammdaten!E$84,IF(BF42&lt;Bewertung_Stammdaten!F$85,Bewertung_Stammdaten!E$85,Bewertung_Stammdaten!E$86)))))))))</f>
        <v>7</v>
      </c>
      <c r="BJ42" s="41">
        <f>IF(BG42&lt;Bewertung_Stammdaten!J$77,Bewertung_Stammdaten!I$77,IF(BG42&lt;Bewertung_Stammdaten!J$78,Bewertung_Stammdaten!I$78,IF(BG42&lt;Bewertung_Stammdaten!J$79,Bewertung_Stammdaten!I$79,IF(BG42&lt;Bewertung_Stammdaten!J$80,Bewertung_Stammdaten!I$80,IF(BG42&lt;Bewertung_Stammdaten!J$81,Bewertung_Stammdaten!I$81,IF(BG42&lt;Bewertung_Stammdaten!J$82,Bewertung_Stammdaten!I$82,IF(BG42&lt;Bewertung_Stammdaten!J$83,Bewertung_Stammdaten!I$83,IF(BG42&lt;Bewertung_Stammdaten!J$84,Bewertung_Stammdaten!I$84,IF(BG42&lt;Bewertung_Stammdaten!J$85,Bewertung_Stammdaten!I$85,Bewertung_Stammdaten!I$86)))))))))</f>
        <v>1.5</v>
      </c>
      <c r="BK42" s="43"/>
      <c r="BL42" s="12">
        <f ca="1">VLOOKUP(A42,Ausschüttungsquote!A$3:AL$103,37,FALSE)</f>
        <v>0.67327336133787741</v>
      </c>
      <c r="BM42" s="12">
        <f>VLOOKUP(A42,Ausschüttungsquote!A$3:AL$103,19,FALSE)</f>
        <v>0.89526273826661695</v>
      </c>
      <c r="BN42" s="12">
        <f ca="1">VLOOKUP(A42,Ausschüttungsquote!A$3:AL$103,38,FALSE)</f>
        <v>0.15838986983762404</v>
      </c>
      <c r="BO42" s="32">
        <f ca="1">IF(BL42&lt;Bewertung_Stammdaten!B$90,Bewertung_Stammdaten!A$90,IF(BL42&lt;Bewertung_Stammdaten!B$91,Bewertung_Stammdaten!A$91,IF(BL42&lt;Bewertung_Stammdaten!B$92,Bewertung_Stammdaten!A$92,IF(BL42&lt;Bewertung_Stammdaten!B$93,Bewertung_Stammdaten!A$93,IF(BL42&lt;Bewertung_Stammdaten!B$94,Bewertung_Stammdaten!A$94,IF(BL42&lt;Bewertung_Stammdaten!B$95,Bewertung_Stammdaten!A$95,IF(BL42&lt;Bewertung_Stammdaten!B$96,Bewertung_Stammdaten!A$96,IF(BL42&lt;Bewertung_Stammdaten!B$97,Bewertung_Stammdaten!A$97,IF(BL42&lt;Bewertung_Stammdaten!B$98,Bewertung_Stammdaten!A$98,Bewertung_Stammdaten!A$99)))))))))</f>
        <v>4</v>
      </c>
      <c r="BP42" s="41">
        <f>IF(BM42&lt;Bewertung_Stammdaten!F$90,Bewertung_Stammdaten!E$90,IF(BM42&lt;Bewertung_Stammdaten!F$91,Bewertung_Stammdaten!E$91,IF(BM42&lt;Bewertung_Stammdaten!F$92,Bewertung_Stammdaten!E$92,IF(BM42&lt;Bewertung_Stammdaten!F$93,Bewertung_Stammdaten!E$93,IF(BM42&lt;Bewertung_Stammdaten!F$94,Bewertung_Stammdaten!E$94,IF(BM42&lt;Bewertung_Stammdaten!F$95,Bewertung_Stammdaten!E$95,IF(BM42&lt;Bewertung_Stammdaten!F$96,Bewertung_Stammdaten!E$96,IF(BM42&lt;Bewertung_Stammdaten!F$97,Bewertung_Stammdaten!E$97,IF(BM42&lt;Bewertung_Stammdaten!F$98,Bewertung_Stammdaten!E$98,Bewertung_Stammdaten!E$99)))))))))</f>
        <v>1</v>
      </c>
      <c r="BQ42" s="32">
        <f ca="1">IF(BN42&lt;Bewertung_Stammdaten!J$90,Bewertung_Stammdaten!I$90,IF(BN42&lt;Bewertung_Stammdaten!J$91,Bewertung_Stammdaten!I$91,IF(BN42&lt;Bewertung_Stammdaten!J$92,Bewertung_Stammdaten!I$92,IF(BN42&lt;Bewertung_Stammdaten!J$93,Bewertung_Stammdaten!I$93,IF(BN42&lt;Bewertung_Stammdaten!J$94,Bewertung_Stammdaten!I$94,IF(BN42&lt;Bewertung_Stammdaten!J$95,Bewertung_Stammdaten!I$95,IF(BN42&lt;Bewertung_Stammdaten!J$96,Bewertung_Stammdaten!I$96,IF(BN42&lt;Bewertung_Stammdaten!J$97,Bewertung_Stammdaten!I$97,IF(BN42&lt;Bewertung_Stammdaten!J$98,Bewertung_Stammdaten!I$98,Bewertung_Stammdaten!I$99)))))))))</f>
        <v>2</v>
      </c>
    </row>
    <row r="43" spans="1:69">
      <c r="A43" s="38" t="s">
        <v>28</v>
      </c>
      <c r="B43" s="38" t="s">
        <v>29</v>
      </c>
      <c r="C43" s="38" t="s">
        <v>283</v>
      </c>
      <c r="D43" s="32">
        <f t="shared" ca="1" si="11"/>
        <v>135</v>
      </c>
      <c r="E43" s="43"/>
      <c r="F43" s="60">
        <v>1</v>
      </c>
      <c r="G43" s="11">
        <f ca="1">VLOOKUP(A43,KGV!A$3:R$103,17,FALSE)</f>
        <v>19.838082901554404</v>
      </c>
      <c r="H43" s="11">
        <f>VLOOKUP(A43,KGV!A$3:R$103,16,FALSE)</f>
        <v>18.084016393442624</v>
      </c>
      <c r="I43" s="12">
        <f ca="1">VLOOKUP(A43,KGV!A$3:R$103,18,FALSE)</f>
        <v>9.6995405774339849E-2</v>
      </c>
      <c r="J43" s="16">
        <f t="shared" ca="1" si="12"/>
        <v>24.750370096225019</v>
      </c>
      <c r="K43" s="12">
        <f t="shared" ca="1" si="13"/>
        <v>0.36863236339465244</v>
      </c>
      <c r="L43" s="11">
        <f ca="1">VLOOKUP(A43,KBV!A$3:R$103,17,FALSE)</f>
        <v>2.7046357615894041</v>
      </c>
      <c r="M43" s="11">
        <f>VLOOKUP(A43,KBV!A$3:R$103,16,FALSE)</f>
        <v>2.6211019886205684</v>
      </c>
      <c r="N43" s="12">
        <f ca="1">VLOOKUP(A43,KBV!A$3:R$103,18,FALSE)</f>
        <v>3.1869714849515507E-2</v>
      </c>
      <c r="O43" s="16">
        <f t="shared" ca="1" si="14"/>
        <v>3.0471636458696412</v>
      </c>
      <c r="P43" s="12">
        <f t="shared" ca="1" si="15"/>
        <v>0.1625505833419707</v>
      </c>
      <c r="Q43" s="32">
        <f ca="1">IF(F43=1,IF(I43&lt;Bewertung_Stammdaten!B$12,Bewertung_Stammdaten!A$12,IF(I43&lt;Bewertung_Stammdaten!B$13,Bewertung_Stammdaten!A$13,IF(I43&lt;Bewertung_Stammdaten!B$14,Bewertung_Stammdaten!A$14,IF(I43&lt;Bewertung_Stammdaten!B$15,Bewertung_Stammdaten!A$15,IF(I43&lt;Bewertung_Stammdaten!B$16,Bewertung_Stammdaten!A$16,IF(I43&lt;Bewertung_Stammdaten!B$17,Bewertung_Stammdaten!A$17,IF(I43&lt;Bewertung_Stammdaten!B$18,Bewertung_Stammdaten!A$18,IF(I43&lt;Bewertung_Stammdaten!B$19,Bewertung_Stammdaten!A$19,IF(I43&lt;Bewertung_Stammdaten!B$20,Bewertung_Stammdaten!A$20,Bewertung_Stammdaten!A$21))))))))),IF(N43&lt;Bewertung_Stammdaten!C$12,Bewertung_Stammdaten!A$12,IF(N43&lt;Bewertung_Stammdaten!C$13,Bewertung_Stammdaten!A$13,IF(N43&lt;Bewertung_Stammdaten!C$14,Bewertung_Stammdaten!A$14,IF(N43&lt;Bewertung_Stammdaten!C$15,Bewertung_Stammdaten!A$15,IF(N43&lt;Bewertung_Stammdaten!C$16,Bewertung_Stammdaten!A$16,IF(N43&lt;Bewertung_Stammdaten!C$17,Bewertung_Stammdaten!A$17,IF(N43&lt;Bewertung_Stammdaten!C$18,Bewertung_Stammdaten!A$18,IF(N43&lt;Bewertung_Stammdaten!C$19,Bewertung_Stammdaten!A$19,IF(N43&lt;Bewertung_Stammdaten!C$20,Bewertung_Stammdaten!A$20,Bewertung_Stammdaten!A$21))))))))))</f>
        <v>30</v>
      </c>
      <c r="R43" s="32">
        <f ca="1">IF(F43=1,IF(K43&lt;Bewertung_Stammdaten!F$12,Bewertung_Stammdaten!E$12,IF(K43&lt;Bewertung_Stammdaten!F$13,Bewertung_Stammdaten!E$13,IF(K43&lt;Bewertung_Stammdaten!F$14,Bewertung_Stammdaten!E$14,IF(K43&lt;Bewertung_Stammdaten!F$15,Bewertung_Stammdaten!E$15,IF(K43&lt;Bewertung_Stammdaten!F$16,Bewertung_Stammdaten!E$16,IF(K43&lt;Bewertung_Stammdaten!F$17,Bewertung_Stammdaten!E$17,IF(K43&lt;Bewertung_Stammdaten!F$18,Bewertung_Stammdaten!E$18,IF(K43&lt;Bewertung_Stammdaten!F$19,Bewertung_Stammdaten!E$19,IF(K43&lt;Bewertung_Stammdaten!F$20,Bewertung_Stammdaten!E$20,Bewertung_Stammdaten!E$21))))))))),IF(P43&lt;Bewertung_Stammdaten!G$12,Bewertung_Stammdaten!E$12,IF(P43&lt;Bewertung_Stammdaten!G$13,Bewertung_Stammdaten!E$13,IF(P43&lt;Bewertung_Stammdaten!G$14,Bewertung_Stammdaten!E$14,IF(P43&lt;Bewertung_Stammdaten!G$15,Bewertung_Stammdaten!E$15,IF(P43&lt;Bewertung_Stammdaten!G$16,Bewertung_Stammdaten!E$16,IF(P43&lt;Bewertung_Stammdaten!G$17,Bewertung_Stammdaten!E$17,IF(P43&lt;Bewertung_Stammdaten!G$18,Bewertung_Stammdaten!E$18,IF(P43&lt;Bewertung_Stammdaten!G$19,Bewertung_Stammdaten!E$19,IF(P43&lt;Bewertung_Stammdaten!G$20,Bewertung_Stammdaten!E$20,Bewertung_Stammdaten!E$21))))))))))</f>
        <v>5</v>
      </c>
      <c r="S43" s="43"/>
      <c r="T43" s="11">
        <f ca="1">VLOOKUP(A43,Buchwert_je_Aktie!A$3:AK$103,23,FALSE)</f>
        <v>22.65</v>
      </c>
      <c r="U43" s="11">
        <f>VLOOKUP(A43,Buchwert_je_Aktie!A$3:AK$103,19,FALSE)</f>
        <v>20.618333333333332</v>
      </c>
      <c r="V43" s="12">
        <f ca="1">VLOOKUP(A43,Buchwert_je_Aktie!A$3:AK$103,24,FALSE)</f>
        <v>9.853690081642541E-2</v>
      </c>
      <c r="W43" s="12">
        <f>VLOOKUP(A43,Buchwert_je_Aktie!A$3:AK$103,37,FALSE)</f>
        <v>-0.11240875912408765</v>
      </c>
      <c r="X43" s="16">
        <f t="shared" ca="1" si="16"/>
        <v>20.103941605839413</v>
      </c>
      <c r="Y43" s="12">
        <f t="shared" ca="1" si="17"/>
        <v>-2.4948269056369821E-2</v>
      </c>
      <c r="Z43" s="51">
        <f ca="1">IF(V43&lt;Bewertung_Stammdaten!B$25,Bewertung_Stammdaten!A$25,IF(V43&lt;Bewertung_Stammdaten!B$26,Bewertung_Stammdaten!A$26,IF(V43&lt;Bewertung_Stammdaten!B$27,Bewertung_Stammdaten!A$27,IF(V43&lt;Bewertung_Stammdaten!B$28,Bewertung_Stammdaten!A$28,IF(V43&lt;Bewertung_Stammdaten!B$29,Bewertung_Stammdaten!A$29,IF(V43&lt;Bewertung_Stammdaten!B$30,Bewertung_Stammdaten!A$30,IF(V43&lt;Bewertung_Stammdaten!B$31,Bewertung_Stammdaten!A$31,IF(V43&lt;Bewertung_Stammdaten!B$32,Bewertung_Stammdaten!A$32,IF(V43&lt;Bewertung_Stammdaten!B$33,Bewertung_Stammdaten!A$33,Bewertung_Stammdaten!A$34)))))))))</f>
        <v>4.5</v>
      </c>
      <c r="AA43" s="51">
        <f>IF(W43&lt;Bewertung_Stammdaten!F$25,Bewertung_Stammdaten!E$25,IF(W43&lt;Bewertung_Stammdaten!F$26,Bewertung_Stammdaten!E$26,IF(W43&lt;Bewertung_Stammdaten!F$27,Bewertung_Stammdaten!E$27,IF(W43&lt;Bewertung_Stammdaten!F$28,Bewertung_Stammdaten!E$28,IF(W43&lt;Bewertung_Stammdaten!F$29,Bewertung_Stammdaten!E$29,IF(W43&lt;Bewertung_Stammdaten!F$30,Bewertung_Stammdaten!E$30,IF(W43&lt;Bewertung_Stammdaten!F$31,Bewertung_Stammdaten!E$31,IF(W43&lt;Bewertung_Stammdaten!F$32,Bewertung_Stammdaten!E$32,IF(W43&lt;Bewertung_Stammdaten!F$33,Bewertung_Stammdaten!E$33,Bewertung_Stammdaten!E$34)))))))))</f>
        <v>7.5</v>
      </c>
      <c r="AB43" s="51">
        <f ca="1">IF(Y43&lt;Bewertung_Stammdaten!J$25,Bewertung_Stammdaten!I$25,IF(Y43&lt;Bewertung_Stammdaten!J$26,Bewertung_Stammdaten!I$26,IF(Y43&lt;Bewertung_Stammdaten!J$27,Bewertung_Stammdaten!I$27,IF(Y43&lt;Bewertung_Stammdaten!J$28,Bewertung_Stammdaten!I$28,IF(Y43&lt;Bewertung_Stammdaten!J$29,Bewertung_Stammdaten!I$29,IF(Y43&lt;Bewertung_Stammdaten!J$30,Bewertung_Stammdaten!I$30,IF(Y43&lt;Bewertung_Stammdaten!J$31,Bewertung_Stammdaten!I$31,IF(Y43&lt;Bewertung_Stammdaten!J$32,Bewertung_Stammdaten!I$32,IF(Y43&lt;Bewertung_Stammdaten!J$33,Bewertung_Stammdaten!I$33,Bewertung_Stammdaten!I$34)))))))))</f>
        <v>2</v>
      </c>
      <c r="AC43" s="43"/>
      <c r="AD43" s="14">
        <f ca="1">VLOOKUP(A43,Ergebnis_je_Aktie_verwässert!A$3:AK$103,23,FALSE)</f>
        <v>3.0880000000000001</v>
      </c>
      <c r="AE43" s="14">
        <f>VLOOKUP(A43,Ergebnis_je_Aktie_verwässert!A$3:AK$103,19,FALSE)</f>
        <v>2.773076923076923</v>
      </c>
      <c r="AF43" s="12">
        <f ca="1">VLOOKUP(A43,Ergebnis_je_Aktie_verwässert!A$3:AK$103,24,FALSE)</f>
        <v>0.11356449375866862</v>
      </c>
      <c r="AG43" s="40">
        <f>VLOOKUP(A43,Ergebnis_je_Aktie_verwässert!A$3:AK$103,37,FALSE)</f>
        <v>-0.19847328244274809</v>
      </c>
      <c r="AH43" s="16">
        <f t="shared" ca="1" si="18"/>
        <v>2.4751145038167941</v>
      </c>
      <c r="AI43" s="12">
        <f t="shared" ca="1" si="19"/>
        <v>-0.10744830652931137</v>
      </c>
      <c r="AJ43" s="32">
        <f ca="1">IF(AF43&lt;Bewertung_Stammdaten!B$38,Bewertung_Stammdaten!A$38,IF(AF43&lt;Bewertung_Stammdaten!B$39,Bewertung_Stammdaten!A$39,IF(AF43&lt;Bewertung_Stammdaten!B$40,Bewertung_Stammdaten!A$40,IF(AF43&lt;Bewertung_Stammdaten!B$41,Bewertung_Stammdaten!A$41,IF(AF43&lt;Bewertung_Stammdaten!B$42,Bewertung_Stammdaten!A$42,IF(AF43&lt;Bewertung_Stammdaten!B$43,Bewertung_Stammdaten!A$43,IF(AF43&lt;Bewertung_Stammdaten!B$44,Bewertung_Stammdaten!A$44,IF(AF43&lt;Bewertung_Stammdaten!B$45,Bewertung_Stammdaten!A$45,IF(AF43&lt;Bewertung_Stammdaten!B$46,Bewertung_Stammdaten!A$46,Bewertung_Stammdaten!A$47)))))))))</f>
        <v>10</v>
      </c>
      <c r="AK43" s="32">
        <f>IF(AG43&lt;Bewertung_Stammdaten!F$38,Bewertung_Stammdaten!E$38,IF(AG43&lt;Bewertung_Stammdaten!F$39,Bewertung_Stammdaten!E$39,IF(AG43&lt;Bewertung_Stammdaten!F$40,Bewertung_Stammdaten!E$40,IF(AG43&lt;Bewertung_Stammdaten!F$41,Bewertung_Stammdaten!E$41,IF(AG43&lt;Bewertung_Stammdaten!F$42,Bewertung_Stammdaten!E$42,IF(AG43&lt;Bewertung_Stammdaten!F$43,Bewertung_Stammdaten!E$43,IF(AG43&lt;Bewertung_Stammdaten!F$44,Bewertung_Stammdaten!E$44,IF(AG43&lt;Bewertung_Stammdaten!F$45,Bewertung_Stammdaten!E$45,IF(AG43&lt;Bewertung_Stammdaten!F$46,Bewertung_Stammdaten!E$46,Bewertung_Stammdaten!E$47)))))))))</f>
        <v>9</v>
      </c>
      <c r="AL43" s="32">
        <f ca="1">IF(AI43&lt;Bewertung_Stammdaten!J$38,Bewertung_Stammdaten!I$38,IF(AI43&lt;Bewertung_Stammdaten!J$39,Bewertung_Stammdaten!I$39,IF(AI43&lt;Bewertung_Stammdaten!J$40,Bewertung_Stammdaten!I$40,IF(AI43&lt;Bewertung_Stammdaten!J$41,Bewertung_Stammdaten!I$41,IF(AI43&lt;Bewertung_Stammdaten!J$42,Bewertung_Stammdaten!I$42,IF(AI43&lt;Bewertung_Stammdaten!J$43,Bewertung_Stammdaten!I$43,IF(AI43&lt;Bewertung_Stammdaten!J$44,Bewertung_Stammdaten!I$44,IF(AI43&lt;Bewertung_Stammdaten!J$45,Bewertung_Stammdaten!I$45,IF(AI43&lt;Bewertung_Stammdaten!J$46,Bewertung_Stammdaten!I$46,Bewertung_Stammdaten!I$47)))))))))</f>
        <v>3</v>
      </c>
      <c r="AM43" s="43"/>
      <c r="AN43" s="14">
        <f ca="1">VLOOKUP(A43,Dividende_je_Aktie!A$3:AM$103,24,FALSE)</f>
        <v>1.7189999999999999</v>
      </c>
      <c r="AO43" s="14">
        <f>VLOOKUP(A43,Dividende_je_Aktie!A$3:AM$103,20,FALSE)</f>
        <v>1.3907142857142858</v>
      </c>
      <c r="AP43" s="12">
        <f ca="1">VLOOKUP(A43,Dividende_je_Aktie!A$3:AM$103,25,FALSE)</f>
        <v>0.23605546995377491</v>
      </c>
      <c r="AQ43" s="40">
        <f>VLOOKUP(A43,Dividende_je_Aktie!A$3:AM$103,39,FALSE)</f>
        <v>0</v>
      </c>
      <c r="AR43" s="16">
        <f t="shared" ca="1" si="20"/>
        <v>1.7189999999999999</v>
      </c>
      <c r="AS43" s="12">
        <f t="shared" ca="1" si="21"/>
        <v>0.23605546995377491</v>
      </c>
      <c r="AT43" s="32">
        <f ca="1">IF(AP43&lt;Bewertung_Stammdaten!B$51,Bewertung_Stammdaten!A$51,IF(AP43&lt;Bewertung_Stammdaten!B$52,Bewertung_Stammdaten!A$52,IF(AP43&lt;Bewertung_Stammdaten!B$53,Bewertung_Stammdaten!A$53,IF(AP43&lt;Bewertung_Stammdaten!B$54,Bewertung_Stammdaten!A$54,IF(AP43&lt;Bewertung_Stammdaten!B$55,Bewertung_Stammdaten!A$55,IF(AP43&lt;Bewertung_Stammdaten!B$56,Bewertung_Stammdaten!A$56,IF(AP43&lt;Bewertung_Stammdaten!B$57,Bewertung_Stammdaten!A$57,IF(AP43&lt;Bewertung_Stammdaten!B$58,Bewertung_Stammdaten!A$58,IF(AP43&lt;Bewertung_Stammdaten!B$59,Bewertung_Stammdaten!A$59,Bewertung_Stammdaten!A$60)))))))))</f>
        <v>10</v>
      </c>
      <c r="AU43" s="32">
        <f>IF(AQ43&lt;Bewertung_Stammdaten!F$51,Bewertung_Stammdaten!E$51,IF(AQ43&lt;Bewertung_Stammdaten!F$52,Bewertung_Stammdaten!E$52,IF(AQ43&lt;Bewertung_Stammdaten!F$53,Bewertung_Stammdaten!E$53,IF(AQ43&lt;Bewertung_Stammdaten!F$54,Bewertung_Stammdaten!E$54,IF(AQ43&lt;Bewertung_Stammdaten!F$55,Bewertung_Stammdaten!E$55,IF(AQ43&lt;Bewertung_Stammdaten!F$56,Bewertung_Stammdaten!E$56,IF(AQ43&lt;Bewertung_Stammdaten!F$57,Bewertung_Stammdaten!E$57,IF(AQ43&lt;Bewertung_Stammdaten!F$58,Bewertung_Stammdaten!E$58,IF(AQ43&lt;Bewertung_Stammdaten!F$59,Bewertung_Stammdaten!E$59,Bewertung_Stammdaten!E$60)))))))))</f>
        <v>12</v>
      </c>
      <c r="AV43" s="32">
        <f ca="1">IF(AS43&lt;Bewertung_Stammdaten!J$51,Bewertung_Stammdaten!I$51,IF(AS43&lt;Bewertung_Stammdaten!J$52,Bewertung_Stammdaten!I$52,IF(AS43&lt;Bewertung_Stammdaten!J$53,Bewertung_Stammdaten!I$53,IF(AS43&lt;Bewertung_Stammdaten!J$54,Bewertung_Stammdaten!I$54,IF(AS43&lt;Bewertung_Stammdaten!J$55,Bewertung_Stammdaten!I$55,IF(AS43&lt;Bewertung_Stammdaten!J$56,Bewertung_Stammdaten!I$56,IF(AS43&lt;Bewertung_Stammdaten!J$57,Bewertung_Stammdaten!I$57,IF(AS43&lt;Bewertung_Stammdaten!J$58,Bewertung_Stammdaten!I$58,IF(AS43&lt;Bewertung_Stammdaten!J$59,Bewertung_Stammdaten!I$59,Bewertung_Stammdaten!I$60)))))))))</f>
        <v>6</v>
      </c>
      <c r="AW43" s="43"/>
      <c r="AX43" s="12">
        <f ca="1">VLOOKUP(A43,Dividendenrendite!A$3:R$103,17,FALSE)</f>
        <v>2.8060724779627816E-2</v>
      </c>
      <c r="AY43" s="12">
        <f>VLOOKUP(A43,Dividendenrendite!A$3:R$103,16,FALSE)</f>
        <v>2.5665635180604593E-2</v>
      </c>
      <c r="AZ43" s="12">
        <f ca="1">VLOOKUP(A43,Dividendenrendite!A$3:R$103,18,FALSE)</f>
        <v>9.3318929462271161E-2</v>
      </c>
      <c r="BA43" s="32">
        <f ca="1">IF(AX43&lt;Bewertung_Stammdaten!B$64,Bewertung_Stammdaten!A$64,IF(AX43&lt;Bewertung_Stammdaten!B$65,Bewertung_Stammdaten!A$65,IF(AX43&lt;Bewertung_Stammdaten!B$66,Bewertung_Stammdaten!A$66,IF(AX43&lt;Bewertung_Stammdaten!B$67,Bewertung_Stammdaten!A$67,IF(AX43&lt;Bewertung_Stammdaten!B$68,Bewertung_Stammdaten!A$68,IF(AX43&lt;Bewertung_Stammdaten!B$69,Bewertung_Stammdaten!A$69,IF(AX43&lt;Bewertung_Stammdaten!B$70,Bewertung_Stammdaten!A$70,IF(AX43&lt;Bewertung_Stammdaten!B$71,Bewertung_Stammdaten!A$71,IF(AX43&lt;Bewertung_Stammdaten!B$72,Bewertung_Stammdaten!A$72,Bewertung_Stammdaten!A$73)))))))))</f>
        <v>9</v>
      </c>
      <c r="BB43" s="32">
        <f>IF(AY43&lt;Bewertung_Stammdaten!F$64,Bewertung_Stammdaten!E$64,IF(AY43&lt;Bewertung_Stammdaten!F$65,Bewertung_Stammdaten!E$65,IF(AY43&lt;Bewertung_Stammdaten!F$66,Bewertung_Stammdaten!E$66,IF(AY43&lt;Bewertung_Stammdaten!F$67,Bewertung_Stammdaten!E$67,IF(AY43&lt;Bewertung_Stammdaten!F$68,Bewertung_Stammdaten!E$68,IF(AY43&lt;Bewertung_Stammdaten!F$69,Bewertung_Stammdaten!E$69,IF(AY43&lt;Bewertung_Stammdaten!F$70,Bewertung_Stammdaten!E$70,IF(AY43&lt;Bewertung_Stammdaten!F$71,Bewertung_Stammdaten!E$71,IF(AY43&lt;Bewertung_Stammdaten!F$72,Bewertung_Stammdaten!E$72,Bewertung_Stammdaten!E$73)))))))))</f>
        <v>6</v>
      </c>
      <c r="BC43" s="32">
        <f ca="1">IF(AZ43&lt;Bewertung_Stammdaten!J$64,Bewertung_Stammdaten!I$64,IF(AZ43&lt;Bewertung_Stammdaten!J$65,Bewertung_Stammdaten!I$65,IF(AZ43&lt;Bewertung_Stammdaten!J$66,Bewertung_Stammdaten!I$66,IF(AZ43&lt;Bewertung_Stammdaten!J$67,Bewertung_Stammdaten!I$67,IF(AZ43&lt;Bewertung_Stammdaten!J$68,Bewertung_Stammdaten!I$68,IF(AZ43&lt;Bewertung_Stammdaten!J$69,Bewertung_Stammdaten!I$69,IF(AZ43&lt;Bewertung_Stammdaten!J$70,Bewertung_Stammdaten!I$70,IF(AZ43&lt;Bewertung_Stammdaten!J$71,Bewertung_Stammdaten!I$71,IF(AZ43&lt;Bewertung_Stammdaten!J$72,Bewertung_Stammdaten!I$72,Bewertung_Stammdaten!I$73)))))))))</f>
        <v>3.5</v>
      </c>
      <c r="BD43" s="43"/>
      <c r="BE43" s="12">
        <f>VLOOKUP(A43,Aktien_im_Umlauf_splitbereinigt!A$3:AB$103,28,FALSE)</f>
        <v>2.5246633782162409E-2</v>
      </c>
      <c r="BF43" s="12">
        <f>VLOOKUP(A43,Aktien_im_Umlauf_splitbereinigt!A$3:AA$103,26,FALSE)</f>
        <v>1.7012466484619036E-2</v>
      </c>
      <c r="BG43" s="12">
        <f>VLOOKUP(A43,Aktien_im_Umlauf_splitbereinigt!A$3:AA$103,27,FALSE)</f>
        <v>-99.999989999999997</v>
      </c>
      <c r="BH43" s="41">
        <f>IF(BE43&lt;Bewertung_Stammdaten!B$77,Bewertung_Stammdaten!A$77,IF(BE43&lt;Bewertung_Stammdaten!B$78,Bewertung_Stammdaten!A$78,IF(BE43&lt;Bewertung_Stammdaten!B$79,Bewertung_Stammdaten!A$79,IF(BE43&lt;Bewertung_Stammdaten!B$80,Bewertung_Stammdaten!A$80,IF(BE43&lt;Bewertung_Stammdaten!B$81,Bewertung_Stammdaten!A$81,IF(BE43&lt;Bewertung_Stammdaten!B$82,Bewertung_Stammdaten!A$82,IF(BE43&lt;Bewertung_Stammdaten!B$83,Bewertung_Stammdaten!A$83,IF(BE43&lt;Bewertung_Stammdaten!B$84,Bewertung_Stammdaten!A$84,IF(BE43&lt;Bewertung_Stammdaten!B$85,Bewertung_Stammdaten!A$85,Bewertung_Stammdaten!A$86)))))))))</f>
        <v>1</v>
      </c>
      <c r="BI43" s="41">
        <f>IF(BF43&lt;Bewertung_Stammdaten!F$77,Bewertung_Stammdaten!E$77,IF(BF43&lt;Bewertung_Stammdaten!F$78,Bewertung_Stammdaten!E$78,IF(BF43&lt;Bewertung_Stammdaten!F$79,Bewertung_Stammdaten!E$79,IF(BF43&lt;Bewertung_Stammdaten!F$80,Bewertung_Stammdaten!E$80,IF(BF43&lt;Bewertung_Stammdaten!F$81,Bewertung_Stammdaten!E$81,IF(BF43&lt;Bewertung_Stammdaten!F$82,Bewertung_Stammdaten!E$82,IF(BF43&lt;Bewertung_Stammdaten!F$83,Bewertung_Stammdaten!E$83,IF(BF43&lt;Bewertung_Stammdaten!F$84,Bewertung_Stammdaten!E$84,IF(BF43&lt;Bewertung_Stammdaten!F$85,Bewertung_Stammdaten!E$85,Bewertung_Stammdaten!E$86)))))))))</f>
        <v>1</v>
      </c>
      <c r="BJ43" s="41">
        <f>IF(BG43&lt;Bewertung_Stammdaten!J$77,Bewertung_Stammdaten!I$77,IF(BG43&lt;Bewertung_Stammdaten!J$78,Bewertung_Stammdaten!I$78,IF(BG43&lt;Bewertung_Stammdaten!J$79,Bewertung_Stammdaten!I$79,IF(BG43&lt;Bewertung_Stammdaten!J$80,Bewertung_Stammdaten!I$80,IF(BG43&lt;Bewertung_Stammdaten!J$81,Bewertung_Stammdaten!I$81,IF(BG43&lt;Bewertung_Stammdaten!J$82,Bewertung_Stammdaten!I$82,IF(BG43&lt;Bewertung_Stammdaten!J$83,Bewertung_Stammdaten!I$83,IF(BG43&lt;Bewertung_Stammdaten!J$84,Bewertung_Stammdaten!I$84,IF(BG43&lt;Bewertung_Stammdaten!J$85,Bewertung_Stammdaten!I$85,Bewertung_Stammdaten!I$86)))))))))</f>
        <v>0.5</v>
      </c>
      <c r="BK43" s="43"/>
      <c r="BL43" s="12">
        <f ca="1">VLOOKUP(A43,Ausschüttungsquote!A$3:AL$103,37,FALSE)</f>
        <v>0.55675272029016432</v>
      </c>
      <c r="BM43" s="12">
        <f>VLOOKUP(A43,Ausschüttungsquote!A$3:AL$103,19,FALSE)</f>
        <v>0.64079395940381356</v>
      </c>
      <c r="BN43" s="12">
        <f ca="1">VLOOKUP(A43,Ausschüttungsquote!A$3:AL$103,38,FALSE)</f>
        <v>7.4773707879739248E-2</v>
      </c>
      <c r="BO43" s="32">
        <f ca="1">IF(BL43&lt;Bewertung_Stammdaten!B$90,Bewertung_Stammdaten!A$90,IF(BL43&lt;Bewertung_Stammdaten!B$91,Bewertung_Stammdaten!A$91,IF(BL43&lt;Bewertung_Stammdaten!B$92,Bewertung_Stammdaten!A$92,IF(BL43&lt;Bewertung_Stammdaten!B$93,Bewertung_Stammdaten!A$93,IF(BL43&lt;Bewertung_Stammdaten!B$94,Bewertung_Stammdaten!A$94,IF(BL43&lt;Bewertung_Stammdaten!B$95,Bewertung_Stammdaten!A$95,IF(BL43&lt;Bewertung_Stammdaten!B$96,Bewertung_Stammdaten!A$96,IF(BL43&lt;Bewertung_Stammdaten!B$97,Bewertung_Stammdaten!A$97,IF(BL43&lt;Bewertung_Stammdaten!B$98,Bewertung_Stammdaten!A$98,Bewertung_Stammdaten!A$99)))))))))</f>
        <v>6</v>
      </c>
      <c r="BP43" s="41">
        <f>IF(BM43&lt;Bewertung_Stammdaten!F$90,Bewertung_Stammdaten!E$90,IF(BM43&lt;Bewertung_Stammdaten!F$91,Bewertung_Stammdaten!E$91,IF(BM43&lt;Bewertung_Stammdaten!F$92,Bewertung_Stammdaten!E$92,IF(BM43&lt;Bewertung_Stammdaten!F$93,Bewertung_Stammdaten!E$93,IF(BM43&lt;Bewertung_Stammdaten!F$94,Bewertung_Stammdaten!E$94,IF(BM43&lt;Bewertung_Stammdaten!F$95,Bewertung_Stammdaten!E$95,IF(BM43&lt;Bewertung_Stammdaten!F$96,Bewertung_Stammdaten!E$96,IF(BM43&lt;Bewertung_Stammdaten!F$97,Bewertung_Stammdaten!E$97,IF(BM43&lt;Bewertung_Stammdaten!F$98,Bewertung_Stammdaten!E$98,Bewertung_Stammdaten!E$99)))))))))</f>
        <v>5</v>
      </c>
      <c r="BQ43" s="32">
        <f ca="1">IF(BN43&lt;Bewertung_Stammdaten!J$90,Bewertung_Stammdaten!I$90,IF(BN43&lt;Bewertung_Stammdaten!J$91,Bewertung_Stammdaten!I$91,IF(BN43&lt;Bewertung_Stammdaten!J$92,Bewertung_Stammdaten!I$92,IF(BN43&lt;Bewertung_Stammdaten!J$93,Bewertung_Stammdaten!I$93,IF(BN43&lt;Bewertung_Stammdaten!J$94,Bewertung_Stammdaten!I$94,IF(BN43&lt;Bewertung_Stammdaten!J$95,Bewertung_Stammdaten!I$95,IF(BN43&lt;Bewertung_Stammdaten!J$96,Bewertung_Stammdaten!I$96,IF(BN43&lt;Bewertung_Stammdaten!J$97,Bewertung_Stammdaten!I$97,IF(BN43&lt;Bewertung_Stammdaten!J$98,Bewertung_Stammdaten!I$98,Bewertung_Stammdaten!I$99)))))))))</f>
        <v>4</v>
      </c>
    </row>
    <row r="44" spans="1:69">
      <c r="A44" s="38" t="s">
        <v>62</v>
      </c>
      <c r="B44" s="38" t="s">
        <v>63</v>
      </c>
      <c r="C44" s="38" t="s">
        <v>283</v>
      </c>
      <c r="D44" s="32">
        <f t="shared" ca="1" si="11"/>
        <v>135</v>
      </c>
      <c r="E44" s="43"/>
      <c r="F44" s="60">
        <v>1</v>
      </c>
      <c r="G44" s="11">
        <f ca="1">VLOOKUP(A44,KGV!A$3:R$103,17,FALSE)</f>
        <v>21.919065498539844</v>
      </c>
      <c r="H44" s="11">
        <f>VLOOKUP(A44,KGV!A$3:R$103,16,FALSE)</f>
        <v>18.538461538461537</v>
      </c>
      <c r="I44" s="12">
        <f ca="1">VLOOKUP(A44,KGV!A$3:R$103,18,FALSE)</f>
        <v>0.182356230211693</v>
      </c>
      <c r="J44" s="16">
        <f t="shared" ca="1" si="12"/>
        <v>23.522899559408618</v>
      </c>
      <c r="K44" s="12">
        <f t="shared" ca="1" si="13"/>
        <v>0.26887010071498785</v>
      </c>
      <c r="L44" s="11">
        <f ca="1">VLOOKUP(A44,KBV!A$3:R$103,17,FALSE)</f>
        <v>12.872718363346808</v>
      </c>
      <c r="M44" s="11">
        <f>VLOOKUP(A44,KBV!A$3:R$103,16,FALSE)</f>
        <v>6.2926829268292686</v>
      </c>
      <c r="N44" s="12">
        <f ca="1">VLOOKUP(A44,KBV!A$3:R$103,18,FALSE)</f>
        <v>1.0456645461132523</v>
      </c>
      <c r="O44" s="16">
        <f t="shared" ca="1" si="14"/>
        <v>18.238899058756225</v>
      </c>
      <c r="P44" s="12">
        <f t="shared" ca="1" si="15"/>
        <v>1.898429695383741</v>
      </c>
      <c r="Q44" s="32">
        <f ca="1">IF(F44=1,IF(I44&lt;Bewertung_Stammdaten!B$12,Bewertung_Stammdaten!A$12,IF(I44&lt;Bewertung_Stammdaten!B$13,Bewertung_Stammdaten!A$13,IF(I44&lt;Bewertung_Stammdaten!B$14,Bewertung_Stammdaten!A$14,IF(I44&lt;Bewertung_Stammdaten!B$15,Bewertung_Stammdaten!A$15,IF(I44&lt;Bewertung_Stammdaten!B$16,Bewertung_Stammdaten!A$16,IF(I44&lt;Bewertung_Stammdaten!B$17,Bewertung_Stammdaten!A$17,IF(I44&lt;Bewertung_Stammdaten!B$18,Bewertung_Stammdaten!A$18,IF(I44&lt;Bewertung_Stammdaten!B$19,Bewertung_Stammdaten!A$19,IF(I44&lt;Bewertung_Stammdaten!B$20,Bewertung_Stammdaten!A$20,Bewertung_Stammdaten!A$21))))))))),IF(N44&lt;Bewertung_Stammdaten!C$12,Bewertung_Stammdaten!A$12,IF(N44&lt;Bewertung_Stammdaten!C$13,Bewertung_Stammdaten!A$13,IF(N44&lt;Bewertung_Stammdaten!C$14,Bewertung_Stammdaten!A$14,IF(N44&lt;Bewertung_Stammdaten!C$15,Bewertung_Stammdaten!A$15,IF(N44&lt;Bewertung_Stammdaten!C$16,Bewertung_Stammdaten!A$16,IF(N44&lt;Bewertung_Stammdaten!C$17,Bewertung_Stammdaten!A$17,IF(N44&lt;Bewertung_Stammdaten!C$18,Bewertung_Stammdaten!A$18,IF(N44&lt;Bewertung_Stammdaten!C$19,Bewertung_Stammdaten!A$19,IF(N44&lt;Bewertung_Stammdaten!C$20,Bewertung_Stammdaten!A$20,Bewertung_Stammdaten!A$21))))))))))</f>
        <v>18</v>
      </c>
      <c r="R44" s="32">
        <f ca="1">IF(F44=1,IF(K44&lt;Bewertung_Stammdaten!F$12,Bewertung_Stammdaten!E$12,IF(K44&lt;Bewertung_Stammdaten!F$13,Bewertung_Stammdaten!E$13,IF(K44&lt;Bewertung_Stammdaten!F$14,Bewertung_Stammdaten!E$14,IF(K44&lt;Bewertung_Stammdaten!F$15,Bewertung_Stammdaten!E$15,IF(K44&lt;Bewertung_Stammdaten!F$16,Bewertung_Stammdaten!E$16,IF(K44&lt;Bewertung_Stammdaten!F$17,Bewertung_Stammdaten!E$17,IF(K44&lt;Bewertung_Stammdaten!F$18,Bewertung_Stammdaten!E$18,IF(K44&lt;Bewertung_Stammdaten!F$19,Bewertung_Stammdaten!E$19,IF(K44&lt;Bewertung_Stammdaten!F$20,Bewertung_Stammdaten!E$20,Bewertung_Stammdaten!E$21))))))))),IF(P44&lt;Bewertung_Stammdaten!G$12,Bewertung_Stammdaten!E$12,IF(P44&lt;Bewertung_Stammdaten!G$13,Bewertung_Stammdaten!E$13,IF(P44&lt;Bewertung_Stammdaten!G$14,Bewertung_Stammdaten!E$14,IF(P44&lt;Bewertung_Stammdaten!G$15,Bewertung_Stammdaten!E$15,IF(P44&lt;Bewertung_Stammdaten!G$16,Bewertung_Stammdaten!E$16,IF(P44&lt;Bewertung_Stammdaten!G$17,Bewertung_Stammdaten!E$17,IF(P44&lt;Bewertung_Stammdaten!G$18,Bewertung_Stammdaten!E$18,IF(P44&lt;Bewertung_Stammdaten!G$19,Bewertung_Stammdaten!E$19,IF(P44&lt;Bewertung_Stammdaten!G$20,Bewertung_Stammdaten!E$20,Bewertung_Stammdaten!E$21))))))))))</f>
        <v>10</v>
      </c>
      <c r="S44" s="43"/>
      <c r="T44" s="11">
        <f ca="1">VLOOKUP(A44,Buchwert_je_Aktie!A$3:AK$103,23,FALSE)</f>
        <v>8.1630000000000003</v>
      </c>
      <c r="U44" s="11">
        <f>VLOOKUP(A44,Buchwert_je_Aktie!A$3:AK$103,19,FALSE)</f>
        <v>10.892307692307694</v>
      </c>
      <c r="V44" s="12">
        <f ca="1">VLOOKUP(A44,Buchwert_je_Aktie!A$3:AK$103,24,FALSE)</f>
        <v>-0.25057203389830518</v>
      </c>
      <c r="W44" s="12">
        <f>VLOOKUP(A44,Buchwert_je_Aktie!A$3:AK$103,37,FALSE)</f>
        <v>-0.29421626152556579</v>
      </c>
      <c r="X44" s="16">
        <f t="shared" ca="1" si="16"/>
        <v>5.7613126571668065</v>
      </c>
      <c r="Y44" s="12">
        <f t="shared" ca="1" si="17"/>
        <v>-0.47106592836745431</v>
      </c>
      <c r="Z44" s="51">
        <f ca="1">IF(V44&lt;Bewertung_Stammdaten!B$25,Bewertung_Stammdaten!A$25,IF(V44&lt;Bewertung_Stammdaten!B$26,Bewertung_Stammdaten!A$26,IF(V44&lt;Bewertung_Stammdaten!B$27,Bewertung_Stammdaten!A$27,IF(V44&lt;Bewertung_Stammdaten!B$28,Bewertung_Stammdaten!A$28,IF(V44&lt;Bewertung_Stammdaten!B$29,Bewertung_Stammdaten!A$29,IF(V44&lt;Bewertung_Stammdaten!B$30,Bewertung_Stammdaten!A$30,IF(V44&lt;Bewertung_Stammdaten!B$31,Bewertung_Stammdaten!A$31,IF(V44&lt;Bewertung_Stammdaten!B$32,Bewertung_Stammdaten!A$32,IF(V44&lt;Bewertung_Stammdaten!B$33,Bewertung_Stammdaten!A$33,Bewertung_Stammdaten!A$34)))))))))</f>
        <v>1.5</v>
      </c>
      <c r="AA44" s="51">
        <f>IF(W44&lt;Bewertung_Stammdaten!F$25,Bewertung_Stammdaten!E$25,IF(W44&lt;Bewertung_Stammdaten!F$26,Bewertung_Stammdaten!E$26,IF(W44&lt;Bewertung_Stammdaten!F$27,Bewertung_Stammdaten!E$27,IF(W44&lt;Bewertung_Stammdaten!F$28,Bewertung_Stammdaten!E$28,IF(W44&lt;Bewertung_Stammdaten!F$29,Bewertung_Stammdaten!E$29,IF(W44&lt;Bewertung_Stammdaten!F$30,Bewertung_Stammdaten!E$30,IF(W44&lt;Bewertung_Stammdaten!F$31,Bewertung_Stammdaten!E$31,IF(W44&lt;Bewertung_Stammdaten!F$32,Bewertung_Stammdaten!E$32,IF(W44&lt;Bewertung_Stammdaten!F$33,Bewertung_Stammdaten!E$33,Bewertung_Stammdaten!E$34)))))))))</f>
        <v>3</v>
      </c>
      <c r="AB44" s="51">
        <f ca="1">IF(Y44&lt;Bewertung_Stammdaten!J$25,Bewertung_Stammdaten!I$25,IF(Y44&lt;Bewertung_Stammdaten!J$26,Bewertung_Stammdaten!I$26,IF(Y44&lt;Bewertung_Stammdaten!J$27,Bewertung_Stammdaten!I$27,IF(Y44&lt;Bewertung_Stammdaten!J$28,Bewertung_Stammdaten!I$28,IF(Y44&lt;Bewertung_Stammdaten!J$29,Bewertung_Stammdaten!I$29,IF(Y44&lt;Bewertung_Stammdaten!J$30,Bewertung_Stammdaten!I$30,IF(Y44&lt;Bewertung_Stammdaten!J$31,Bewertung_Stammdaten!I$31,IF(Y44&lt;Bewertung_Stammdaten!J$32,Bewertung_Stammdaten!I$32,IF(Y44&lt;Bewertung_Stammdaten!J$33,Bewertung_Stammdaten!I$33,Bewertung_Stammdaten!I$34)))))))))</f>
        <v>1</v>
      </c>
      <c r="AC44" s="43"/>
      <c r="AD44" s="14">
        <f ca="1">VLOOKUP(A44,Ergebnis_je_Aktie_verwässert!A$3:AK$103,23,FALSE)</f>
        <v>4.7939999999999996</v>
      </c>
      <c r="AE44" s="14">
        <f>VLOOKUP(A44,Ergebnis_je_Aktie_verwässert!A$3:AK$103,19,FALSE)</f>
        <v>4.2415384615384619</v>
      </c>
      <c r="AF44" s="12">
        <f ca="1">VLOOKUP(A44,Ergebnis_je_Aktie_verwässert!A$3:AK$103,24,FALSE)</f>
        <v>0.1302502720348202</v>
      </c>
      <c r="AG44" s="40">
        <f>VLOOKUP(A44,Ergebnis_je_Aktie_verwässert!A$3:AK$103,37,FALSE)</f>
        <v>-6.8181818181818343E-2</v>
      </c>
      <c r="AH44" s="16">
        <f t="shared" ca="1" si="18"/>
        <v>4.4671363636363628</v>
      </c>
      <c r="AI44" s="12">
        <f t="shared" ca="1" si="19"/>
        <v>5.3187753486991562E-2</v>
      </c>
      <c r="AJ44" s="32">
        <f ca="1">IF(AF44&lt;Bewertung_Stammdaten!B$38,Bewertung_Stammdaten!A$38,IF(AF44&lt;Bewertung_Stammdaten!B$39,Bewertung_Stammdaten!A$39,IF(AF44&lt;Bewertung_Stammdaten!B$40,Bewertung_Stammdaten!A$40,IF(AF44&lt;Bewertung_Stammdaten!B$41,Bewertung_Stammdaten!A$41,IF(AF44&lt;Bewertung_Stammdaten!B$42,Bewertung_Stammdaten!A$42,IF(AF44&lt;Bewertung_Stammdaten!B$43,Bewertung_Stammdaten!A$43,IF(AF44&lt;Bewertung_Stammdaten!B$44,Bewertung_Stammdaten!A$44,IF(AF44&lt;Bewertung_Stammdaten!B$45,Bewertung_Stammdaten!A$45,IF(AF44&lt;Bewertung_Stammdaten!B$46,Bewertung_Stammdaten!A$46,Bewertung_Stammdaten!A$47)))))))))</f>
        <v>10</v>
      </c>
      <c r="AK44" s="32">
        <f>IF(AG44&lt;Bewertung_Stammdaten!F$38,Bewertung_Stammdaten!E$38,IF(AG44&lt;Bewertung_Stammdaten!F$39,Bewertung_Stammdaten!E$39,IF(AG44&lt;Bewertung_Stammdaten!F$40,Bewertung_Stammdaten!E$40,IF(AG44&lt;Bewertung_Stammdaten!F$41,Bewertung_Stammdaten!E$41,IF(AG44&lt;Bewertung_Stammdaten!F$42,Bewertung_Stammdaten!E$42,IF(AG44&lt;Bewertung_Stammdaten!F$43,Bewertung_Stammdaten!E$43,IF(AG44&lt;Bewertung_Stammdaten!F$44,Bewertung_Stammdaten!E$44,IF(AG44&lt;Bewertung_Stammdaten!F$45,Bewertung_Stammdaten!E$45,IF(AG44&lt;Bewertung_Stammdaten!F$46,Bewertung_Stammdaten!E$46,Bewertung_Stammdaten!E$47)))))))))</f>
        <v>10.5</v>
      </c>
      <c r="AL44" s="32">
        <f ca="1">IF(AI44&lt;Bewertung_Stammdaten!J$38,Bewertung_Stammdaten!I$38,IF(AI44&lt;Bewertung_Stammdaten!J$39,Bewertung_Stammdaten!I$39,IF(AI44&lt;Bewertung_Stammdaten!J$40,Bewertung_Stammdaten!I$40,IF(AI44&lt;Bewertung_Stammdaten!J$41,Bewertung_Stammdaten!I$41,IF(AI44&lt;Bewertung_Stammdaten!J$42,Bewertung_Stammdaten!I$42,IF(AI44&lt;Bewertung_Stammdaten!J$43,Bewertung_Stammdaten!I$43,IF(AI44&lt;Bewertung_Stammdaten!J$44,Bewertung_Stammdaten!I$44,IF(AI44&lt;Bewertung_Stammdaten!J$45,Bewertung_Stammdaten!I$45,IF(AI44&lt;Bewertung_Stammdaten!J$46,Bewertung_Stammdaten!I$46,Bewertung_Stammdaten!I$47)))))))))</f>
        <v>5</v>
      </c>
      <c r="AM44" s="43"/>
      <c r="AN44" s="14">
        <f ca="1">VLOOKUP(A44,Dividende_je_Aktie!A$3:AM$103,24,FALSE)</f>
        <v>3.0059999999999998</v>
      </c>
      <c r="AO44" s="14">
        <f>VLOOKUP(A44,Dividende_je_Aktie!A$3:AM$103,20,FALSE)</f>
        <v>2.1514285714285717</v>
      </c>
      <c r="AP44" s="12">
        <f ca="1">VLOOKUP(A44,Dividende_je_Aktie!A$3:AM$103,25,FALSE)</f>
        <v>0.39721115537848584</v>
      </c>
      <c r="AQ44" s="40">
        <f>VLOOKUP(A44,Dividende_je_Aktie!A$3:AM$103,39,FALSE)</f>
        <v>4.9261083743842304E-2</v>
      </c>
      <c r="AR44" s="16">
        <f t="shared" ca="1" si="20"/>
        <v>3.0059999999999998</v>
      </c>
      <c r="AS44" s="12">
        <f t="shared" ca="1" si="21"/>
        <v>0.39721115537848584</v>
      </c>
      <c r="AT44" s="32">
        <f ca="1">IF(AP44&lt;Bewertung_Stammdaten!B$51,Bewertung_Stammdaten!A$51,IF(AP44&lt;Bewertung_Stammdaten!B$52,Bewertung_Stammdaten!A$52,IF(AP44&lt;Bewertung_Stammdaten!B$53,Bewertung_Stammdaten!A$53,IF(AP44&lt;Bewertung_Stammdaten!B$54,Bewertung_Stammdaten!A$54,IF(AP44&lt;Bewertung_Stammdaten!B$55,Bewertung_Stammdaten!A$55,IF(AP44&lt;Bewertung_Stammdaten!B$56,Bewertung_Stammdaten!A$56,IF(AP44&lt;Bewertung_Stammdaten!B$57,Bewertung_Stammdaten!A$57,IF(AP44&lt;Bewertung_Stammdaten!B$58,Bewertung_Stammdaten!A$58,IF(AP44&lt;Bewertung_Stammdaten!B$59,Bewertung_Stammdaten!A$59,Bewertung_Stammdaten!A$60)))))))))</f>
        <v>12</v>
      </c>
      <c r="AU44" s="32">
        <f>IF(AQ44&lt;Bewertung_Stammdaten!F$51,Bewertung_Stammdaten!E$51,IF(AQ44&lt;Bewertung_Stammdaten!F$52,Bewertung_Stammdaten!E$52,IF(AQ44&lt;Bewertung_Stammdaten!F$53,Bewertung_Stammdaten!E$53,IF(AQ44&lt;Bewertung_Stammdaten!F$54,Bewertung_Stammdaten!E$54,IF(AQ44&lt;Bewertung_Stammdaten!F$55,Bewertung_Stammdaten!E$55,IF(AQ44&lt;Bewertung_Stammdaten!F$56,Bewertung_Stammdaten!E$56,IF(AQ44&lt;Bewertung_Stammdaten!F$57,Bewertung_Stammdaten!E$57,IF(AQ44&lt;Bewertung_Stammdaten!F$58,Bewertung_Stammdaten!E$58,IF(AQ44&lt;Bewertung_Stammdaten!F$59,Bewertung_Stammdaten!E$59,Bewertung_Stammdaten!E$60)))))))))</f>
        <v>12</v>
      </c>
      <c r="AV44" s="32">
        <f ca="1">IF(AS44&lt;Bewertung_Stammdaten!J$51,Bewertung_Stammdaten!I$51,IF(AS44&lt;Bewertung_Stammdaten!J$52,Bewertung_Stammdaten!I$52,IF(AS44&lt;Bewertung_Stammdaten!J$53,Bewertung_Stammdaten!I$53,IF(AS44&lt;Bewertung_Stammdaten!J$54,Bewertung_Stammdaten!I$54,IF(AS44&lt;Bewertung_Stammdaten!J$55,Bewertung_Stammdaten!I$55,IF(AS44&lt;Bewertung_Stammdaten!J$56,Bewertung_Stammdaten!I$56,IF(AS44&lt;Bewertung_Stammdaten!J$57,Bewertung_Stammdaten!I$57,IF(AS44&lt;Bewertung_Stammdaten!J$58,Bewertung_Stammdaten!I$58,IF(AS44&lt;Bewertung_Stammdaten!J$59,Bewertung_Stammdaten!I$59,Bewertung_Stammdaten!I$60)))))))))</f>
        <v>8</v>
      </c>
      <c r="AW44" s="43"/>
      <c r="AX44" s="12">
        <f ca="1">VLOOKUP(A44,Dividendenrendite!A$3:R$103,17,FALSE)</f>
        <v>2.8606775789874379E-2</v>
      </c>
      <c r="AY44" s="12">
        <f>VLOOKUP(A44,Dividendenrendite!A$3:R$103,16,FALSE)</f>
        <v>2.6451092233360909E-2</v>
      </c>
      <c r="AZ44" s="12">
        <f ca="1">VLOOKUP(A44,Dividendenrendite!A$3:R$103,18,FALSE)</f>
        <v>8.1496958140528264E-2</v>
      </c>
      <c r="BA44" s="32">
        <f ca="1">IF(AX44&lt;Bewertung_Stammdaten!B$64,Bewertung_Stammdaten!A$64,IF(AX44&lt;Bewertung_Stammdaten!B$65,Bewertung_Stammdaten!A$65,IF(AX44&lt;Bewertung_Stammdaten!B$66,Bewertung_Stammdaten!A$66,IF(AX44&lt;Bewertung_Stammdaten!B$67,Bewertung_Stammdaten!A$67,IF(AX44&lt;Bewertung_Stammdaten!B$68,Bewertung_Stammdaten!A$68,IF(AX44&lt;Bewertung_Stammdaten!B$69,Bewertung_Stammdaten!A$69,IF(AX44&lt;Bewertung_Stammdaten!B$70,Bewertung_Stammdaten!A$70,IF(AX44&lt;Bewertung_Stammdaten!B$71,Bewertung_Stammdaten!A$71,IF(AX44&lt;Bewertung_Stammdaten!B$72,Bewertung_Stammdaten!A$72,Bewertung_Stammdaten!A$73)))))))))</f>
        <v>9</v>
      </c>
      <c r="BB44" s="32">
        <f>IF(AY44&lt;Bewertung_Stammdaten!F$64,Bewertung_Stammdaten!E$64,IF(AY44&lt;Bewertung_Stammdaten!F$65,Bewertung_Stammdaten!E$65,IF(AY44&lt;Bewertung_Stammdaten!F$66,Bewertung_Stammdaten!E$66,IF(AY44&lt;Bewertung_Stammdaten!F$67,Bewertung_Stammdaten!E$67,IF(AY44&lt;Bewertung_Stammdaten!F$68,Bewertung_Stammdaten!E$68,IF(AY44&lt;Bewertung_Stammdaten!F$69,Bewertung_Stammdaten!E$69,IF(AY44&lt;Bewertung_Stammdaten!F$70,Bewertung_Stammdaten!E$70,IF(AY44&lt;Bewertung_Stammdaten!F$71,Bewertung_Stammdaten!E$71,IF(AY44&lt;Bewertung_Stammdaten!F$72,Bewertung_Stammdaten!E$72,Bewertung_Stammdaten!E$73)))))))))</f>
        <v>6</v>
      </c>
      <c r="BC44" s="32">
        <f ca="1">IF(AZ44&lt;Bewertung_Stammdaten!J$64,Bewertung_Stammdaten!I$64,IF(AZ44&lt;Bewertung_Stammdaten!J$65,Bewertung_Stammdaten!I$65,IF(AZ44&lt;Bewertung_Stammdaten!J$66,Bewertung_Stammdaten!I$66,IF(AZ44&lt;Bewertung_Stammdaten!J$67,Bewertung_Stammdaten!I$67,IF(AZ44&lt;Bewertung_Stammdaten!J$68,Bewertung_Stammdaten!I$68,IF(AZ44&lt;Bewertung_Stammdaten!J$69,Bewertung_Stammdaten!I$69,IF(AZ44&lt;Bewertung_Stammdaten!J$70,Bewertung_Stammdaten!I$70,IF(AZ44&lt;Bewertung_Stammdaten!J$71,Bewertung_Stammdaten!I$71,IF(AZ44&lt;Bewertung_Stammdaten!J$72,Bewertung_Stammdaten!I$72,Bewertung_Stammdaten!I$73)))))))))</f>
        <v>3.5</v>
      </c>
      <c r="BD44" s="43"/>
      <c r="BE44" s="12">
        <f>VLOOKUP(A44,Aktien_im_Umlauf_splitbereinigt!A$3:AB$103,28,FALSE)</f>
        <v>-2.496626180836703E-2</v>
      </c>
      <c r="BF44" s="12">
        <f>VLOOKUP(A44,Aktien_im_Umlauf_splitbereinigt!A$3:AA$103,26,FALSE)</f>
        <v>-1.3450133687700715E-2</v>
      </c>
      <c r="BG44" s="12">
        <f>VLOOKUP(A44,Aktien_im_Umlauf_splitbereinigt!A$3:AA$103,27,FALSE)</f>
        <v>0.85620919375671889</v>
      </c>
      <c r="BH44" s="41">
        <f>IF(BE44&lt;Bewertung_Stammdaten!B$77,Bewertung_Stammdaten!A$77,IF(BE44&lt;Bewertung_Stammdaten!B$78,Bewertung_Stammdaten!A$78,IF(BE44&lt;Bewertung_Stammdaten!B$79,Bewertung_Stammdaten!A$79,IF(BE44&lt;Bewertung_Stammdaten!B$80,Bewertung_Stammdaten!A$80,IF(BE44&lt;Bewertung_Stammdaten!B$81,Bewertung_Stammdaten!A$81,IF(BE44&lt;Bewertung_Stammdaten!B$82,Bewertung_Stammdaten!A$82,IF(BE44&lt;Bewertung_Stammdaten!B$83,Bewertung_Stammdaten!A$83,IF(BE44&lt;Bewertung_Stammdaten!B$84,Bewertung_Stammdaten!A$84,IF(BE44&lt;Bewertung_Stammdaten!B$85,Bewertung_Stammdaten!A$85,Bewertung_Stammdaten!A$86)))))))))</f>
        <v>7</v>
      </c>
      <c r="BI44" s="41">
        <f>IF(BF44&lt;Bewertung_Stammdaten!F$77,Bewertung_Stammdaten!E$77,IF(BF44&lt;Bewertung_Stammdaten!F$78,Bewertung_Stammdaten!E$78,IF(BF44&lt;Bewertung_Stammdaten!F$79,Bewertung_Stammdaten!E$79,IF(BF44&lt;Bewertung_Stammdaten!F$80,Bewertung_Stammdaten!E$80,IF(BF44&lt;Bewertung_Stammdaten!F$81,Bewertung_Stammdaten!E$81,IF(BF44&lt;Bewertung_Stammdaten!F$82,Bewertung_Stammdaten!E$82,IF(BF44&lt;Bewertung_Stammdaten!F$83,Bewertung_Stammdaten!E$83,IF(BF44&lt;Bewertung_Stammdaten!F$84,Bewertung_Stammdaten!E$84,IF(BF44&lt;Bewertung_Stammdaten!F$85,Bewertung_Stammdaten!E$85,Bewertung_Stammdaten!E$86)))))))))</f>
        <v>5</v>
      </c>
      <c r="BJ44" s="41">
        <f>IF(BG44&lt;Bewertung_Stammdaten!J$77,Bewertung_Stammdaten!I$77,IF(BG44&lt;Bewertung_Stammdaten!J$78,Bewertung_Stammdaten!I$78,IF(BG44&lt;Bewertung_Stammdaten!J$79,Bewertung_Stammdaten!I$79,IF(BG44&lt;Bewertung_Stammdaten!J$80,Bewertung_Stammdaten!I$80,IF(BG44&lt;Bewertung_Stammdaten!J$81,Bewertung_Stammdaten!I$81,IF(BG44&lt;Bewertung_Stammdaten!J$82,Bewertung_Stammdaten!I$82,IF(BG44&lt;Bewertung_Stammdaten!J$83,Bewertung_Stammdaten!I$83,IF(BG44&lt;Bewertung_Stammdaten!J$84,Bewertung_Stammdaten!I$84,IF(BG44&lt;Bewertung_Stammdaten!J$85,Bewertung_Stammdaten!I$85,Bewertung_Stammdaten!I$86)))))))))</f>
        <v>4.5</v>
      </c>
      <c r="BK44" s="43"/>
      <c r="BL44" s="12">
        <f ca="1">VLOOKUP(A44,Ausschüttungsquote!A$3:AL$103,37,FALSE)</f>
        <v>0.62709536839971625</v>
      </c>
      <c r="BM44" s="12">
        <f>VLOOKUP(A44,Ausschüttungsquote!A$3:AL$103,19,FALSE)</f>
        <v>0.74412691919800367</v>
      </c>
      <c r="BN44" s="12">
        <f ca="1">VLOOKUP(A44,Ausschüttungsquote!A$3:AL$103,38,FALSE)</f>
        <v>0.21311918867728097</v>
      </c>
      <c r="BO44" s="32">
        <f ca="1">IF(BL44&lt;Bewertung_Stammdaten!B$90,Bewertung_Stammdaten!A$90,IF(BL44&lt;Bewertung_Stammdaten!B$91,Bewertung_Stammdaten!A$91,IF(BL44&lt;Bewertung_Stammdaten!B$92,Bewertung_Stammdaten!A$92,IF(BL44&lt;Bewertung_Stammdaten!B$93,Bewertung_Stammdaten!A$93,IF(BL44&lt;Bewertung_Stammdaten!B$94,Bewertung_Stammdaten!A$94,IF(BL44&lt;Bewertung_Stammdaten!B$95,Bewertung_Stammdaten!A$95,IF(BL44&lt;Bewertung_Stammdaten!B$96,Bewertung_Stammdaten!A$96,IF(BL44&lt;Bewertung_Stammdaten!B$97,Bewertung_Stammdaten!A$97,IF(BL44&lt;Bewertung_Stammdaten!B$98,Bewertung_Stammdaten!A$98,Bewertung_Stammdaten!A$99)))))))))</f>
        <v>5</v>
      </c>
      <c r="BP44" s="41">
        <f>IF(BM44&lt;Bewertung_Stammdaten!F$90,Bewertung_Stammdaten!E$90,IF(BM44&lt;Bewertung_Stammdaten!F$91,Bewertung_Stammdaten!E$91,IF(BM44&lt;Bewertung_Stammdaten!F$92,Bewertung_Stammdaten!E$92,IF(BM44&lt;Bewertung_Stammdaten!F$93,Bewertung_Stammdaten!E$93,IF(BM44&lt;Bewertung_Stammdaten!F$94,Bewertung_Stammdaten!E$94,IF(BM44&lt;Bewertung_Stammdaten!F$95,Bewertung_Stammdaten!E$95,IF(BM44&lt;Bewertung_Stammdaten!F$96,Bewertung_Stammdaten!E$96,IF(BM44&lt;Bewertung_Stammdaten!F$97,Bewertung_Stammdaten!E$97,IF(BM44&lt;Bewertung_Stammdaten!F$98,Bewertung_Stammdaten!E$98,Bewertung_Stammdaten!E$99)))))))))</f>
        <v>3</v>
      </c>
      <c r="BQ44" s="32">
        <f ca="1">IF(BN44&lt;Bewertung_Stammdaten!J$90,Bewertung_Stammdaten!I$90,IF(BN44&lt;Bewertung_Stammdaten!J$91,Bewertung_Stammdaten!I$91,IF(BN44&lt;Bewertung_Stammdaten!J$92,Bewertung_Stammdaten!I$92,IF(BN44&lt;Bewertung_Stammdaten!J$93,Bewertung_Stammdaten!I$93,IF(BN44&lt;Bewertung_Stammdaten!J$94,Bewertung_Stammdaten!I$94,IF(BN44&lt;Bewertung_Stammdaten!J$95,Bewertung_Stammdaten!I$95,IF(BN44&lt;Bewertung_Stammdaten!J$96,Bewertung_Stammdaten!I$96,IF(BN44&lt;Bewertung_Stammdaten!J$97,Bewertung_Stammdaten!I$97,IF(BN44&lt;Bewertung_Stammdaten!J$98,Bewertung_Stammdaten!I$98,Bewertung_Stammdaten!I$99)))))))))</f>
        <v>1</v>
      </c>
    </row>
    <row r="45" spans="1:69">
      <c r="A45" s="38" t="s">
        <v>87</v>
      </c>
      <c r="B45" s="38" t="s">
        <v>88</v>
      </c>
      <c r="C45" s="38" t="s">
        <v>282</v>
      </c>
      <c r="D45" s="32">
        <f t="shared" ca="1" si="11"/>
        <v>130.5</v>
      </c>
      <c r="E45" s="43"/>
      <c r="F45" s="60">
        <v>1</v>
      </c>
      <c r="G45" s="11">
        <f ca="1">VLOOKUP(A45,KGV!A$3:R$103,17,FALSE)</f>
        <v>24.504699927693419</v>
      </c>
      <c r="H45" s="11">
        <f>VLOOKUP(A45,KGV!A$3:R$103,16,FALSE)</f>
        <v>17.424528478057891</v>
      </c>
      <c r="I45" s="12">
        <f ca="1">VLOOKUP(A45,KGV!A$3:R$103,18,FALSE)</f>
        <v>0.40633360372140603</v>
      </c>
      <c r="J45" s="16">
        <f t="shared" ca="1" si="12"/>
        <v>27.300879380023581</v>
      </c>
      <c r="K45" s="12">
        <f t="shared" ca="1" si="13"/>
        <v>0.56680735518339209</v>
      </c>
      <c r="L45" s="11">
        <f ca="1">VLOOKUP(A45,KBV!A$3:R$103,17,FALSE)</f>
        <v>6.374494498260133</v>
      </c>
      <c r="M45" s="11">
        <f>VLOOKUP(A45,KBV!A$3:R$103,16,FALSE)</f>
        <v>5.5557377049180321</v>
      </c>
      <c r="N45" s="12">
        <f ca="1">VLOOKUP(A45,KBV!A$3:R$103,18,FALSE)</f>
        <v>0.14737139095269458</v>
      </c>
      <c r="O45" s="16">
        <f t="shared" ca="1" si="14"/>
        <v>6.374494498260133</v>
      </c>
      <c r="P45" s="12">
        <f t="shared" ca="1" si="15"/>
        <v>0.14737139095269458</v>
      </c>
      <c r="Q45" s="32">
        <f ca="1">IF(F45=1,IF(I45&lt;Bewertung_Stammdaten!B$12,Bewertung_Stammdaten!A$12,IF(I45&lt;Bewertung_Stammdaten!B$13,Bewertung_Stammdaten!A$13,IF(I45&lt;Bewertung_Stammdaten!B$14,Bewertung_Stammdaten!A$14,IF(I45&lt;Bewertung_Stammdaten!B$15,Bewertung_Stammdaten!A$15,IF(I45&lt;Bewertung_Stammdaten!B$16,Bewertung_Stammdaten!A$16,IF(I45&lt;Bewertung_Stammdaten!B$17,Bewertung_Stammdaten!A$17,IF(I45&lt;Bewertung_Stammdaten!B$18,Bewertung_Stammdaten!A$18,IF(I45&lt;Bewertung_Stammdaten!B$19,Bewertung_Stammdaten!A$19,IF(I45&lt;Bewertung_Stammdaten!B$20,Bewertung_Stammdaten!A$20,Bewertung_Stammdaten!A$21))))))))),IF(N45&lt;Bewertung_Stammdaten!C$12,Bewertung_Stammdaten!A$12,IF(N45&lt;Bewertung_Stammdaten!C$13,Bewertung_Stammdaten!A$13,IF(N45&lt;Bewertung_Stammdaten!C$14,Bewertung_Stammdaten!A$14,IF(N45&lt;Bewertung_Stammdaten!C$15,Bewertung_Stammdaten!A$15,IF(N45&lt;Bewertung_Stammdaten!C$16,Bewertung_Stammdaten!A$16,IF(N45&lt;Bewertung_Stammdaten!C$17,Bewertung_Stammdaten!A$17,IF(N45&lt;Bewertung_Stammdaten!C$18,Bewertung_Stammdaten!A$18,IF(N45&lt;Bewertung_Stammdaten!C$19,Bewertung_Stammdaten!A$19,IF(N45&lt;Bewertung_Stammdaten!C$20,Bewertung_Stammdaten!A$20,Bewertung_Stammdaten!A$21))))))))))</f>
        <v>6</v>
      </c>
      <c r="R45" s="32">
        <f ca="1">IF(F45=1,IF(K45&lt;Bewertung_Stammdaten!F$12,Bewertung_Stammdaten!E$12,IF(K45&lt;Bewertung_Stammdaten!F$13,Bewertung_Stammdaten!E$13,IF(K45&lt;Bewertung_Stammdaten!F$14,Bewertung_Stammdaten!E$14,IF(K45&lt;Bewertung_Stammdaten!F$15,Bewertung_Stammdaten!E$15,IF(K45&lt;Bewertung_Stammdaten!F$16,Bewertung_Stammdaten!E$16,IF(K45&lt;Bewertung_Stammdaten!F$17,Bewertung_Stammdaten!E$17,IF(K45&lt;Bewertung_Stammdaten!F$18,Bewertung_Stammdaten!E$18,IF(K45&lt;Bewertung_Stammdaten!F$19,Bewertung_Stammdaten!E$19,IF(K45&lt;Bewertung_Stammdaten!F$20,Bewertung_Stammdaten!E$20,Bewertung_Stammdaten!E$21))))))))),IF(P45&lt;Bewertung_Stammdaten!G$12,Bewertung_Stammdaten!E$12,IF(P45&lt;Bewertung_Stammdaten!G$13,Bewertung_Stammdaten!E$13,IF(P45&lt;Bewertung_Stammdaten!G$14,Bewertung_Stammdaten!E$14,IF(P45&lt;Bewertung_Stammdaten!G$15,Bewertung_Stammdaten!E$15,IF(P45&lt;Bewertung_Stammdaten!G$16,Bewertung_Stammdaten!E$16,IF(P45&lt;Bewertung_Stammdaten!G$17,Bewertung_Stammdaten!E$17,IF(P45&lt;Bewertung_Stammdaten!G$18,Bewertung_Stammdaten!E$18,IF(P45&lt;Bewertung_Stammdaten!G$19,Bewertung_Stammdaten!E$19,IF(P45&lt;Bewertung_Stammdaten!G$20,Bewertung_Stammdaten!E$20,Bewertung_Stammdaten!E$21))))))))))</f>
        <v>2.5</v>
      </c>
      <c r="S45" s="43"/>
      <c r="T45" s="11">
        <f ca="1">VLOOKUP(A45,Buchwert_je_Aktie!A$3:AK$103,23,FALSE)</f>
        <v>10.633000000000001</v>
      </c>
      <c r="U45" s="11">
        <f>VLOOKUP(A45,Buchwert_je_Aktie!A$3:AK$103,19,FALSE)</f>
        <v>7.6915384615384612</v>
      </c>
      <c r="V45" s="12">
        <f ca="1">VLOOKUP(A45,Buchwert_je_Aktie!A$3:AK$103,24,FALSE)</f>
        <v>0.38242824282428267</v>
      </c>
      <c r="W45" s="12">
        <f>VLOOKUP(A45,Buchwert_je_Aktie!A$3:AK$103,37,FALSE)</f>
        <v>9.6982758620689502E-3</v>
      </c>
      <c r="X45" s="16">
        <f t="shared" ca="1" si="16"/>
        <v>10.633000000000001</v>
      </c>
      <c r="Y45" s="12">
        <f t="shared" ca="1" si="17"/>
        <v>0.38242824282428267</v>
      </c>
      <c r="Z45" s="51">
        <f ca="1">IF(V45&lt;Bewertung_Stammdaten!B$25,Bewertung_Stammdaten!A$25,IF(V45&lt;Bewertung_Stammdaten!B$26,Bewertung_Stammdaten!A$26,IF(V45&lt;Bewertung_Stammdaten!B$27,Bewertung_Stammdaten!A$27,IF(V45&lt;Bewertung_Stammdaten!B$28,Bewertung_Stammdaten!A$28,IF(V45&lt;Bewertung_Stammdaten!B$29,Bewertung_Stammdaten!A$29,IF(V45&lt;Bewertung_Stammdaten!B$30,Bewertung_Stammdaten!A$30,IF(V45&lt;Bewertung_Stammdaten!B$31,Bewertung_Stammdaten!A$31,IF(V45&lt;Bewertung_Stammdaten!B$32,Bewertung_Stammdaten!A$32,IF(V45&lt;Bewertung_Stammdaten!B$33,Bewertung_Stammdaten!A$33,Bewertung_Stammdaten!A$34)))))))))</f>
        <v>9</v>
      </c>
      <c r="AA45" s="51">
        <f>IF(W45&lt;Bewertung_Stammdaten!F$25,Bewertung_Stammdaten!E$25,IF(W45&lt;Bewertung_Stammdaten!F$26,Bewertung_Stammdaten!E$26,IF(W45&lt;Bewertung_Stammdaten!F$27,Bewertung_Stammdaten!E$27,IF(W45&lt;Bewertung_Stammdaten!F$28,Bewertung_Stammdaten!E$28,IF(W45&lt;Bewertung_Stammdaten!F$29,Bewertung_Stammdaten!E$29,IF(W45&lt;Bewertung_Stammdaten!F$30,Bewertung_Stammdaten!E$30,IF(W45&lt;Bewertung_Stammdaten!F$31,Bewertung_Stammdaten!E$31,IF(W45&lt;Bewertung_Stammdaten!F$32,Bewertung_Stammdaten!E$32,IF(W45&lt;Bewertung_Stammdaten!F$33,Bewertung_Stammdaten!E$33,Bewertung_Stammdaten!E$34)))))))))</f>
        <v>12</v>
      </c>
      <c r="AB45" s="51">
        <f ca="1">IF(Y45&lt;Bewertung_Stammdaten!J$25,Bewertung_Stammdaten!I$25,IF(Y45&lt;Bewertung_Stammdaten!J$26,Bewertung_Stammdaten!I$26,IF(Y45&lt;Bewertung_Stammdaten!J$27,Bewertung_Stammdaten!I$27,IF(Y45&lt;Bewertung_Stammdaten!J$28,Bewertung_Stammdaten!I$28,IF(Y45&lt;Bewertung_Stammdaten!J$29,Bewertung_Stammdaten!I$29,IF(Y45&lt;Bewertung_Stammdaten!J$30,Bewertung_Stammdaten!I$30,IF(Y45&lt;Bewertung_Stammdaten!J$31,Bewertung_Stammdaten!I$31,IF(Y45&lt;Bewertung_Stammdaten!J$32,Bewertung_Stammdaten!I$32,IF(Y45&lt;Bewertung_Stammdaten!J$33,Bewertung_Stammdaten!I$33,Bewertung_Stammdaten!I$34)))))))))</f>
        <v>6</v>
      </c>
      <c r="AC45" s="43"/>
      <c r="AD45" s="14">
        <f ca="1">VLOOKUP(A45,Ergebnis_je_Aktie_verwässert!A$3:AK$103,23,FALSE)</f>
        <v>2.766</v>
      </c>
      <c r="AE45" s="14">
        <f>VLOOKUP(A45,Ergebnis_je_Aktie_verwässert!A$3:AK$103,19,FALSE)</f>
        <v>2.2876923076923075</v>
      </c>
      <c r="AF45" s="12">
        <f ca="1">VLOOKUP(A45,Ergebnis_je_Aktie_verwässert!A$3:AK$103,24,FALSE)</f>
        <v>0.20907868190988577</v>
      </c>
      <c r="AG45" s="40">
        <f>VLOOKUP(A45,Ergebnis_je_Aktie_verwässert!A$3:AK$103,37,FALSE)</f>
        <v>-0.10242085661080069</v>
      </c>
      <c r="AH45" s="16">
        <f t="shared" ca="1" si="18"/>
        <v>2.4827039106145254</v>
      </c>
      <c r="AI45" s="12">
        <f t="shared" ca="1" si="19"/>
        <v>8.5243807598817556E-2</v>
      </c>
      <c r="AJ45" s="32">
        <f ca="1">IF(AF45&lt;Bewertung_Stammdaten!B$38,Bewertung_Stammdaten!A$38,IF(AF45&lt;Bewertung_Stammdaten!B$39,Bewertung_Stammdaten!A$39,IF(AF45&lt;Bewertung_Stammdaten!B$40,Bewertung_Stammdaten!A$40,IF(AF45&lt;Bewertung_Stammdaten!B$41,Bewertung_Stammdaten!A$41,IF(AF45&lt;Bewertung_Stammdaten!B$42,Bewertung_Stammdaten!A$42,IF(AF45&lt;Bewertung_Stammdaten!B$43,Bewertung_Stammdaten!A$43,IF(AF45&lt;Bewertung_Stammdaten!B$44,Bewertung_Stammdaten!A$44,IF(AF45&lt;Bewertung_Stammdaten!B$45,Bewertung_Stammdaten!A$45,IF(AF45&lt;Bewertung_Stammdaten!B$46,Bewertung_Stammdaten!A$46,Bewertung_Stammdaten!A$47)))))))))</f>
        <v>12</v>
      </c>
      <c r="AK45" s="32">
        <f>IF(AG45&lt;Bewertung_Stammdaten!F$38,Bewertung_Stammdaten!E$38,IF(AG45&lt;Bewertung_Stammdaten!F$39,Bewertung_Stammdaten!E$39,IF(AG45&lt;Bewertung_Stammdaten!F$40,Bewertung_Stammdaten!E$40,IF(AG45&lt;Bewertung_Stammdaten!F$41,Bewertung_Stammdaten!E$41,IF(AG45&lt;Bewertung_Stammdaten!F$42,Bewertung_Stammdaten!E$42,IF(AG45&lt;Bewertung_Stammdaten!F$43,Bewertung_Stammdaten!E$43,IF(AG45&lt;Bewertung_Stammdaten!F$44,Bewertung_Stammdaten!E$44,IF(AG45&lt;Bewertung_Stammdaten!F$45,Bewertung_Stammdaten!E$45,IF(AG45&lt;Bewertung_Stammdaten!F$46,Bewertung_Stammdaten!E$46,Bewertung_Stammdaten!E$47)))))))))</f>
        <v>9</v>
      </c>
      <c r="AL45" s="32">
        <f ca="1">IF(AI45&lt;Bewertung_Stammdaten!J$38,Bewertung_Stammdaten!I$38,IF(AI45&lt;Bewertung_Stammdaten!J$39,Bewertung_Stammdaten!I$39,IF(AI45&lt;Bewertung_Stammdaten!J$40,Bewertung_Stammdaten!I$40,IF(AI45&lt;Bewertung_Stammdaten!J$41,Bewertung_Stammdaten!I$41,IF(AI45&lt;Bewertung_Stammdaten!J$42,Bewertung_Stammdaten!I$42,IF(AI45&lt;Bewertung_Stammdaten!J$43,Bewertung_Stammdaten!I$43,IF(AI45&lt;Bewertung_Stammdaten!J$44,Bewertung_Stammdaten!I$44,IF(AI45&lt;Bewertung_Stammdaten!J$45,Bewertung_Stammdaten!I$45,IF(AI45&lt;Bewertung_Stammdaten!J$46,Bewertung_Stammdaten!I$46,Bewertung_Stammdaten!I$47)))))))))</f>
        <v>5</v>
      </c>
      <c r="AM45" s="43"/>
      <c r="AN45" s="14">
        <f ca="1">VLOOKUP(A45,Dividende_je_Aktie!A$3:AM$103,24,FALSE)</f>
        <v>1.4430000000000001</v>
      </c>
      <c r="AO45" s="14">
        <f>VLOOKUP(A45,Dividende_je_Aktie!A$3:AM$103,20,FALSE)</f>
        <v>1.0978571428571429</v>
      </c>
      <c r="AP45" s="12">
        <f ca="1">VLOOKUP(A45,Dividende_je_Aktie!A$3:AM$103,25,FALSE)</f>
        <v>0.31437865972674039</v>
      </c>
      <c r="AQ45" s="40">
        <f>VLOOKUP(A45,Dividende_je_Aktie!A$3:AM$103,39,FALSE)</f>
        <v>0</v>
      </c>
      <c r="AR45" s="16">
        <f t="shared" ca="1" si="20"/>
        <v>1.4430000000000001</v>
      </c>
      <c r="AS45" s="12">
        <f t="shared" ca="1" si="21"/>
        <v>0.31437865972674039</v>
      </c>
      <c r="AT45" s="32">
        <f ca="1">IF(AP45&lt;Bewertung_Stammdaten!B$51,Bewertung_Stammdaten!A$51,IF(AP45&lt;Bewertung_Stammdaten!B$52,Bewertung_Stammdaten!A$52,IF(AP45&lt;Bewertung_Stammdaten!B$53,Bewertung_Stammdaten!A$53,IF(AP45&lt;Bewertung_Stammdaten!B$54,Bewertung_Stammdaten!A$54,IF(AP45&lt;Bewertung_Stammdaten!B$55,Bewertung_Stammdaten!A$55,IF(AP45&lt;Bewertung_Stammdaten!B$56,Bewertung_Stammdaten!A$56,IF(AP45&lt;Bewertung_Stammdaten!B$57,Bewertung_Stammdaten!A$57,IF(AP45&lt;Bewertung_Stammdaten!B$58,Bewertung_Stammdaten!A$58,IF(AP45&lt;Bewertung_Stammdaten!B$59,Bewertung_Stammdaten!A$59,Bewertung_Stammdaten!A$60)))))))))</f>
        <v>12</v>
      </c>
      <c r="AU45" s="32">
        <f>IF(AQ45&lt;Bewertung_Stammdaten!F$51,Bewertung_Stammdaten!E$51,IF(AQ45&lt;Bewertung_Stammdaten!F$52,Bewertung_Stammdaten!E$52,IF(AQ45&lt;Bewertung_Stammdaten!F$53,Bewertung_Stammdaten!E$53,IF(AQ45&lt;Bewertung_Stammdaten!F$54,Bewertung_Stammdaten!E$54,IF(AQ45&lt;Bewertung_Stammdaten!F$55,Bewertung_Stammdaten!E$55,IF(AQ45&lt;Bewertung_Stammdaten!F$56,Bewertung_Stammdaten!E$56,IF(AQ45&lt;Bewertung_Stammdaten!F$57,Bewertung_Stammdaten!E$57,IF(AQ45&lt;Bewertung_Stammdaten!F$58,Bewertung_Stammdaten!E$58,IF(AQ45&lt;Bewertung_Stammdaten!F$59,Bewertung_Stammdaten!E$59,Bewertung_Stammdaten!E$60)))))))))</f>
        <v>12</v>
      </c>
      <c r="AV45" s="32">
        <f ca="1">IF(AS45&lt;Bewertung_Stammdaten!J$51,Bewertung_Stammdaten!I$51,IF(AS45&lt;Bewertung_Stammdaten!J$52,Bewertung_Stammdaten!I$52,IF(AS45&lt;Bewertung_Stammdaten!J$53,Bewertung_Stammdaten!I$53,IF(AS45&lt;Bewertung_Stammdaten!J$54,Bewertung_Stammdaten!I$54,IF(AS45&lt;Bewertung_Stammdaten!J$55,Bewertung_Stammdaten!I$55,IF(AS45&lt;Bewertung_Stammdaten!J$56,Bewertung_Stammdaten!I$56,IF(AS45&lt;Bewertung_Stammdaten!J$57,Bewertung_Stammdaten!I$57,IF(AS45&lt;Bewertung_Stammdaten!J$58,Bewertung_Stammdaten!I$58,IF(AS45&lt;Bewertung_Stammdaten!J$59,Bewertung_Stammdaten!I$59,Bewertung_Stammdaten!I$60)))))))))</f>
        <v>7</v>
      </c>
      <c r="AW45" s="43"/>
      <c r="AX45" s="12">
        <f ca="1">VLOOKUP(A45,Dividendenrendite!A$3:R$103,17,FALSE)</f>
        <v>2.1289465919150194E-2</v>
      </c>
      <c r="AY45" s="12">
        <f>VLOOKUP(A45,Dividendenrendite!A$3:R$103,16,FALSE)</f>
        <v>2.6296399435360565E-2</v>
      </c>
      <c r="AZ45" s="12">
        <f ca="1">VLOOKUP(A45,Dividendenrendite!A$3:R$103,18,FALSE)</f>
        <v>-0.1904037671970249</v>
      </c>
      <c r="BA45" s="32">
        <f ca="1">IF(AX45&lt;Bewertung_Stammdaten!B$64,Bewertung_Stammdaten!A$64,IF(AX45&lt;Bewertung_Stammdaten!B$65,Bewertung_Stammdaten!A$65,IF(AX45&lt;Bewertung_Stammdaten!B$66,Bewertung_Stammdaten!A$66,IF(AX45&lt;Bewertung_Stammdaten!B$67,Bewertung_Stammdaten!A$67,IF(AX45&lt;Bewertung_Stammdaten!B$68,Bewertung_Stammdaten!A$68,IF(AX45&lt;Bewertung_Stammdaten!B$69,Bewertung_Stammdaten!A$69,IF(AX45&lt;Bewertung_Stammdaten!B$70,Bewertung_Stammdaten!A$70,IF(AX45&lt;Bewertung_Stammdaten!B$71,Bewertung_Stammdaten!A$71,IF(AX45&lt;Bewertung_Stammdaten!B$72,Bewertung_Stammdaten!A$72,Bewertung_Stammdaten!A$73)))))))))</f>
        <v>7.5</v>
      </c>
      <c r="BB45" s="32">
        <f>IF(AY45&lt;Bewertung_Stammdaten!F$64,Bewertung_Stammdaten!E$64,IF(AY45&lt;Bewertung_Stammdaten!F$65,Bewertung_Stammdaten!E$65,IF(AY45&lt;Bewertung_Stammdaten!F$66,Bewertung_Stammdaten!E$66,IF(AY45&lt;Bewertung_Stammdaten!F$67,Bewertung_Stammdaten!E$67,IF(AY45&lt;Bewertung_Stammdaten!F$68,Bewertung_Stammdaten!E$68,IF(AY45&lt;Bewertung_Stammdaten!F$69,Bewertung_Stammdaten!E$69,IF(AY45&lt;Bewertung_Stammdaten!F$70,Bewertung_Stammdaten!E$70,IF(AY45&lt;Bewertung_Stammdaten!F$71,Bewertung_Stammdaten!E$71,IF(AY45&lt;Bewertung_Stammdaten!F$72,Bewertung_Stammdaten!E$72,Bewertung_Stammdaten!E$73)))))))))</f>
        <v>6</v>
      </c>
      <c r="BC45" s="32">
        <f ca="1">IF(AZ45&lt;Bewertung_Stammdaten!J$64,Bewertung_Stammdaten!I$64,IF(AZ45&lt;Bewertung_Stammdaten!J$65,Bewertung_Stammdaten!I$65,IF(AZ45&lt;Bewertung_Stammdaten!J$66,Bewertung_Stammdaten!I$66,IF(AZ45&lt;Bewertung_Stammdaten!J$67,Bewertung_Stammdaten!I$67,IF(AZ45&lt;Bewertung_Stammdaten!J$68,Bewertung_Stammdaten!I$68,IF(AZ45&lt;Bewertung_Stammdaten!J$69,Bewertung_Stammdaten!I$69,IF(AZ45&lt;Bewertung_Stammdaten!J$70,Bewertung_Stammdaten!I$70,IF(AZ45&lt;Bewertung_Stammdaten!J$71,Bewertung_Stammdaten!I$71,IF(AZ45&lt;Bewertung_Stammdaten!J$72,Bewertung_Stammdaten!I$72,Bewertung_Stammdaten!I$73)))))))))</f>
        <v>1</v>
      </c>
      <c r="BD45" s="43"/>
      <c r="BE45" s="12">
        <f>VLOOKUP(A45,Aktien_im_Umlauf_splitbereinigt!A$3:AB$103,28,FALSE)</f>
        <v>0</v>
      </c>
      <c r="BF45" s="12">
        <f>VLOOKUP(A45,Aktien_im_Umlauf_splitbereinigt!A$3:AA$103,26,FALSE)</f>
        <v>2.4295416312272444E-3</v>
      </c>
      <c r="BG45" s="12">
        <f>VLOOKUP(A45,Aktien_im_Umlauf_splitbereinigt!A$3:AA$103,27,FALSE)</f>
        <v>-99.999989999999997</v>
      </c>
      <c r="BH45" s="41">
        <f>IF(BE45&lt;Bewertung_Stammdaten!B$77,Bewertung_Stammdaten!A$77,IF(BE45&lt;Bewertung_Stammdaten!B$78,Bewertung_Stammdaten!A$78,IF(BE45&lt;Bewertung_Stammdaten!B$79,Bewertung_Stammdaten!A$79,IF(BE45&lt;Bewertung_Stammdaten!B$80,Bewertung_Stammdaten!A$80,IF(BE45&lt;Bewertung_Stammdaten!B$81,Bewertung_Stammdaten!A$81,IF(BE45&lt;Bewertung_Stammdaten!B$82,Bewertung_Stammdaten!A$82,IF(BE45&lt;Bewertung_Stammdaten!B$83,Bewertung_Stammdaten!A$83,IF(BE45&lt;Bewertung_Stammdaten!B$84,Bewertung_Stammdaten!A$84,IF(BE45&lt;Bewertung_Stammdaten!B$85,Bewertung_Stammdaten!A$85,Bewertung_Stammdaten!A$86)))))))))</f>
        <v>2</v>
      </c>
      <c r="BI45" s="41">
        <f>IF(BF45&lt;Bewertung_Stammdaten!F$77,Bewertung_Stammdaten!E$77,IF(BF45&lt;Bewertung_Stammdaten!F$78,Bewertung_Stammdaten!E$78,IF(BF45&lt;Bewertung_Stammdaten!F$79,Bewertung_Stammdaten!E$79,IF(BF45&lt;Bewertung_Stammdaten!F$80,Bewertung_Stammdaten!E$80,IF(BF45&lt;Bewertung_Stammdaten!F$81,Bewertung_Stammdaten!E$81,IF(BF45&lt;Bewertung_Stammdaten!F$82,Bewertung_Stammdaten!E$82,IF(BF45&lt;Bewertung_Stammdaten!F$83,Bewertung_Stammdaten!E$83,IF(BF45&lt;Bewertung_Stammdaten!F$84,Bewertung_Stammdaten!E$84,IF(BF45&lt;Bewertung_Stammdaten!F$85,Bewertung_Stammdaten!E$85,Bewertung_Stammdaten!E$86)))))))))</f>
        <v>2</v>
      </c>
      <c r="BJ45" s="41">
        <f>IF(BG45&lt;Bewertung_Stammdaten!J$77,Bewertung_Stammdaten!I$77,IF(BG45&lt;Bewertung_Stammdaten!J$78,Bewertung_Stammdaten!I$78,IF(BG45&lt;Bewertung_Stammdaten!J$79,Bewertung_Stammdaten!I$79,IF(BG45&lt;Bewertung_Stammdaten!J$80,Bewertung_Stammdaten!I$80,IF(BG45&lt;Bewertung_Stammdaten!J$81,Bewertung_Stammdaten!I$81,IF(BG45&lt;Bewertung_Stammdaten!J$82,Bewertung_Stammdaten!I$82,IF(BG45&lt;Bewertung_Stammdaten!J$83,Bewertung_Stammdaten!I$83,IF(BG45&lt;Bewertung_Stammdaten!J$84,Bewertung_Stammdaten!I$84,IF(BG45&lt;Bewertung_Stammdaten!J$85,Bewertung_Stammdaten!I$85,Bewertung_Stammdaten!I$86)))))))))</f>
        <v>0.5</v>
      </c>
      <c r="BK45" s="43"/>
      <c r="BL45" s="12">
        <f ca="1">VLOOKUP(A45,Ausschüttungsquote!A$3:AL$103,37,FALSE)</f>
        <v>0.52171993911719938</v>
      </c>
      <c r="BM45" s="12">
        <f>VLOOKUP(A45,Ausschüttungsquote!A$3:AL$103,19,FALSE)</f>
        <v>0.49274659905543045</v>
      </c>
      <c r="BN45" s="12">
        <f ca="1">VLOOKUP(A45,Ausschüttungsquote!A$3:AL$103,38,FALSE)</f>
        <v>5.8799675365206694E-2</v>
      </c>
      <c r="BO45" s="32">
        <f ca="1">IF(BL45&lt;Bewertung_Stammdaten!B$90,Bewertung_Stammdaten!A$90,IF(BL45&lt;Bewertung_Stammdaten!B$91,Bewertung_Stammdaten!A$91,IF(BL45&lt;Bewertung_Stammdaten!B$92,Bewertung_Stammdaten!A$92,IF(BL45&lt;Bewertung_Stammdaten!B$93,Bewertung_Stammdaten!A$93,IF(BL45&lt;Bewertung_Stammdaten!B$94,Bewertung_Stammdaten!A$94,IF(BL45&lt;Bewertung_Stammdaten!B$95,Bewertung_Stammdaten!A$95,IF(BL45&lt;Bewertung_Stammdaten!B$96,Bewertung_Stammdaten!A$96,IF(BL45&lt;Bewertung_Stammdaten!B$97,Bewertung_Stammdaten!A$97,IF(BL45&lt;Bewertung_Stammdaten!B$98,Bewertung_Stammdaten!A$98,Bewertung_Stammdaten!A$99)))))))))</f>
        <v>7</v>
      </c>
      <c r="BP45" s="41">
        <f>IF(BM45&lt;Bewertung_Stammdaten!F$90,Bewertung_Stammdaten!E$90,IF(BM45&lt;Bewertung_Stammdaten!F$91,Bewertung_Stammdaten!E$91,IF(BM45&lt;Bewertung_Stammdaten!F$92,Bewertung_Stammdaten!E$92,IF(BM45&lt;Bewertung_Stammdaten!F$93,Bewertung_Stammdaten!E$93,IF(BM45&lt;Bewertung_Stammdaten!F$94,Bewertung_Stammdaten!E$94,IF(BM45&lt;Bewertung_Stammdaten!F$95,Bewertung_Stammdaten!E$95,IF(BM45&lt;Bewertung_Stammdaten!F$96,Bewertung_Stammdaten!E$96,IF(BM45&lt;Bewertung_Stammdaten!F$97,Bewertung_Stammdaten!E$97,IF(BM45&lt;Bewertung_Stammdaten!F$98,Bewertung_Stammdaten!E$98,Bewertung_Stammdaten!E$99)))))))))</f>
        <v>8</v>
      </c>
      <c r="BQ45" s="32">
        <f ca="1">IF(BN45&lt;Bewertung_Stammdaten!J$90,Bewertung_Stammdaten!I$90,IF(BN45&lt;Bewertung_Stammdaten!J$91,Bewertung_Stammdaten!I$91,IF(BN45&lt;Bewertung_Stammdaten!J$92,Bewertung_Stammdaten!I$92,IF(BN45&lt;Bewertung_Stammdaten!J$93,Bewertung_Stammdaten!I$93,IF(BN45&lt;Bewertung_Stammdaten!J$94,Bewertung_Stammdaten!I$94,IF(BN45&lt;Bewertung_Stammdaten!J$95,Bewertung_Stammdaten!I$95,IF(BN45&lt;Bewertung_Stammdaten!J$96,Bewertung_Stammdaten!I$96,IF(BN45&lt;Bewertung_Stammdaten!J$97,Bewertung_Stammdaten!I$97,IF(BN45&lt;Bewertung_Stammdaten!J$98,Bewertung_Stammdaten!I$98,Bewertung_Stammdaten!I$99)))))))))</f>
        <v>4</v>
      </c>
    </row>
    <row r="46" spans="1:69">
      <c r="A46" s="38" t="s">
        <v>52</v>
      </c>
      <c r="B46" s="38" t="s">
        <v>53</v>
      </c>
      <c r="C46" s="38" t="s">
        <v>283</v>
      </c>
      <c r="D46" s="32">
        <f t="shared" ca="1" si="11"/>
        <v>126</v>
      </c>
      <c r="E46" s="43"/>
      <c r="F46" s="60">
        <v>1</v>
      </c>
      <c r="G46" s="11">
        <f ca="1">VLOOKUP(A46,KGV!A$3:R$103,17,FALSE)</f>
        <v>21.382773271533409</v>
      </c>
      <c r="H46" s="11">
        <f>VLOOKUP(A46,KGV!A$3:R$103,16,FALSE)</f>
        <v>18.850000000000001</v>
      </c>
      <c r="I46" s="12">
        <f ca="1">VLOOKUP(A46,KGV!A$3:R$103,18,FALSE)</f>
        <v>0.13436462978957064</v>
      </c>
      <c r="J46" s="16">
        <f t="shared" ca="1" si="12"/>
        <v>36.202517123091219</v>
      </c>
      <c r="K46" s="12">
        <f t="shared" ca="1" si="13"/>
        <v>0.92055793756452076</v>
      </c>
      <c r="L46" s="11">
        <f ca="1">VLOOKUP(A46,KBV!A$3:R$103,17,FALSE)</f>
        <v>3.1852704257767552</v>
      </c>
      <c r="M46" s="11">
        <f>VLOOKUP(A46,KBV!A$3:R$103,16,FALSE)</f>
        <v>2.6641526528931294</v>
      </c>
      <c r="N46" s="12">
        <f ca="1">VLOOKUP(A46,KBV!A$3:R$103,18,FALSE)</f>
        <v>0.19560357110832949</v>
      </c>
      <c r="O46" s="16">
        <f t="shared" ca="1" si="14"/>
        <v>3.4308468304851671</v>
      </c>
      <c r="P46" s="12">
        <f t="shared" ca="1" si="15"/>
        <v>0.28778162420965181</v>
      </c>
      <c r="Q46" s="32">
        <f ca="1">IF(F46=1,IF(I46&lt;Bewertung_Stammdaten!B$12,Bewertung_Stammdaten!A$12,IF(I46&lt;Bewertung_Stammdaten!B$13,Bewertung_Stammdaten!A$13,IF(I46&lt;Bewertung_Stammdaten!B$14,Bewertung_Stammdaten!A$14,IF(I46&lt;Bewertung_Stammdaten!B$15,Bewertung_Stammdaten!A$15,IF(I46&lt;Bewertung_Stammdaten!B$16,Bewertung_Stammdaten!A$16,IF(I46&lt;Bewertung_Stammdaten!B$17,Bewertung_Stammdaten!A$17,IF(I46&lt;Bewertung_Stammdaten!B$18,Bewertung_Stammdaten!A$18,IF(I46&lt;Bewertung_Stammdaten!B$19,Bewertung_Stammdaten!A$19,IF(I46&lt;Bewertung_Stammdaten!B$20,Bewertung_Stammdaten!A$20,Bewertung_Stammdaten!A$21))))))))),IF(N46&lt;Bewertung_Stammdaten!C$12,Bewertung_Stammdaten!A$12,IF(N46&lt;Bewertung_Stammdaten!C$13,Bewertung_Stammdaten!A$13,IF(N46&lt;Bewertung_Stammdaten!C$14,Bewertung_Stammdaten!A$14,IF(N46&lt;Bewertung_Stammdaten!C$15,Bewertung_Stammdaten!A$15,IF(N46&lt;Bewertung_Stammdaten!C$16,Bewertung_Stammdaten!A$16,IF(N46&lt;Bewertung_Stammdaten!C$17,Bewertung_Stammdaten!A$17,IF(N46&lt;Bewertung_Stammdaten!C$18,Bewertung_Stammdaten!A$18,IF(N46&lt;Bewertung_Stammdaten!C$19,Bewertung_Stammdaten!A$19,IF(N46&lt;Bewertung_Stammdaten!C$20,Bewertung_Stammdaten!A$20,Bewertung_Stammdaten!A$21))))))))))</f>
        <v>24</v>
      </c>
      <c r="R46" s="32">
        <f ca="1">IF(F46=1,IF(K46&lt;Bewertung_Stammdaten!F$12,Bewertung_Stammdaten!E$12,IF(K46&lt;Bewertung_Stammdaten!F$13,Bewertung_Stammdaten!E$13,IF(K46&lt;Bewertung_Stammdaten!F$14,Bewertung_Stammdaten!E$14,IF(K46&lt;Bewertung_Stammdaten!F$15,Bewertung_Stammdaten!E$15,IF(K46&lt;Bewertung_Stammdaten!F$16,Bewertung_Stammdaten!E$16,IF(K46&lt;Bewertung_Stammdaten!F$17,Bewertung_Stammdaten!E$17,IF(K46&lt;Bewertung_Stammdaten!F$18,Bewertung_Stammdaten!E$18,IF(K46&lt;Bewertung_Stammdaten!F$19,Bewertung_Stammdaten!E$19,IF(K46&lt;Bewertung_Stammdaten!F$20,Bewertung_Stammdaten!E$20,Bewertung_Stammdaten!E$21))))))))),IF(P46&lt;Bewertung_Stammdaten!G$12,Bewertung_Stammdaten!E$12,IF(P46&lt;Bewertung_Stammdaten!G$13,Bewertung_Stammdaten!E$13,IF(P46&lt;Bewertung_Stammdaten!G$14,Bewertung_Stammdaten!E$14,IF(P46&lt;Bewertung_Stammdaten!G$15,Bewertung_Stammdaten!E$15,IF(P46&lt;Bewertung_Stammdaten!G$16,Bewertung_Stammdaten!E$16,IF(P46&lt;Bewertung_Stammdaten!G$17,Bewertung_Stammdaten!E$17,IF(P46&lt;Bewertung_Stammdaten!G$18,Bewertung_Stammdaten!E$18,IF(P46&lt;Bewertung_Stammdaten!G$19,Bewertung_Stammdaten!E$19,IF(P46&lt;Bewertung_Stammdaten!G$20,Bewertung_Stammdaten!E$20,Bewertung_Stammdaten!E$21))))))))))</f>
        <v>2.5</v>
      </c>
      <c r="S46" s="43"/>
      <c r="T46" s="11">
        <f ca="1">VLOOKUP(A46,Buchwert_je_Aktie!A$3:AK$103,23,FALSE)</f>
        <v>17.38</v>
      </c>
      <c r="U46" s="11">
        <f>VLOOKUP(A46,Buchwert_je_Aktie!A$3:AK$103,19,FALSE)</f>
        <v>17.449000000000002</v>
      </c>
      <c r="V46" s="12">
        <f ca="1">VLOOKUP(A46,Buchwert_je_Aktie!A$3:AK$103,24,FALSE)</f>
        <v>-3.9543813399049998E-3</v>
      </c>
      <c r="W46" s="12">
        <f>VLOOKUP(A46,Buchwert_je_Aktie!A$3:AK$103,37,FALSE)</f>
        <v>-7.1578947368421075E-2</v>
      </c>
      <c r="X46" s="16">
        <f t="shared" ca="1" si="16"/>
        <v>16.135957894736841</v>
      </c>
      <c r="Y46" s="12">
        <f t="shared" ca="1" si="17"/>
        <v>-7.5250278254522351E-2</v>
      </c>
      <c r="Z46" s="51">
        <f ca="1">IF(V46&lt;Bewertung_Stammdaten!B$25,Bewertung_Stammdaten!A$25,IF(V46&lt;Bewertung_Stammdaten!B$26,Bewertung_Stammdaten!A$26,IF(V46&lt;Bewertung_Stammdaten!B$27,Bewertung_Stammdaten!A$27,IF(V46&lt;Bewertung_Stammdaten!B$28,Bewertung_Stammdaten!A$28,IF(V46&lt;Bewertung_Stammdaten!B$29,Bewertung_Stammdaten!A$29,IF(V46&lt;Bewertung_Stammdaten!B$30,Bewertung_Stammdaten!A$30,IF(V46&lt;Bewertung_Stammdaten!B$31,Bewertung_Stammdaten!A$31,IF(V46&lt;Bewertung_Stammdaten!B$32,Bewertung_Stammdaten!A$32,IF(V46&lt;Bewertung_Stammdaten!B$33,Bewertung_Stammdaten!A$33,Bewertung_Stammdaten!A$34)))))))))</f>
        <v>3</v>
      </c>
      <c r="AA46" s="51">
        <f>IF(W46&lt;Bewertung_Stammdaten!F$25,Bewertung_Stammdaten!E$25,IF(W46&lt;Bewertung_Stammdaten!F$26,Bewertung_Stammdaten!E$26,IF(W46&lt;Bewertung_Stammdaten!F$27,Bewertung_Stammdaten!E$27,IF(W46&lt;Bewertung_Stammdaten!F$28,Bewertung_Stammdaten!E$28,IF(W46&lt;Bewertung_Stammdaten!F$29,Bewertung_Stammdaten!E$29,IF(W46&lt;Bewertung_Stammdaten!F$30,Bewertung_Stammdaten!E$30,IF(W46&lt;Bewertung_Stammdaten!F$31,Bewertung_Stammdaten!E$31,IF(W46&lt;Bewertung_Stammdaten!F$32,Bewertung_Stammdaten!E$32,IF(W46&lt;Bewertung_Stammdaten!F$33,Bewertung_Stammdaten!E$33,Bewertung_Stammdaten!E$34)))))))))</f>
        <v>9</v>
      </c>
      <c r="AB46" s="51">
        <f ca="1">IF(Y46&lt;Bewertung_Stammdaten!J$25,Bewertung_Stammdaten!I$25,IF(Y46&lt;Bewertung_Stammdaten!J$26,Bewertung_Stammdaten!I$26,IF(Y46&lt;Bewertung_Stammdaten!J$27,Bewertung_Stammdaten!I$27,IF(Y46&lt;Bewertung_Stammdaten!J$28,Bewertung_Stammdaten!I$28,IF(Y46&lt;Bewertung_Stammdaten!J$29,Bewertung_Stammdaten!I$29,IF(Y46&lt;Bewertung_Stammdaten!J$30,Bewertung_Stammdaten!I$30,IF(Y46&lt;Bewertung_Stammdaten!J$31,Bewertung_Stammdaten!I$31,IF(Y46&lt;Bewertung_Stammdaten!J$32,Bewertung_Stammdaten!I$32,IF(Y46&lt;Bewertung_Stammdaten!J$33,Bewertung_Stammdaten!I$33,Bewertung_Stammdaten!I$34)))))))))</f>
        <v>2</v>
      </c>
      <c r="AC46" s="43"/>
      <c r="AD46" s="14">
        <f ca="1">VLOOKUP(A46,Ergebnis_je_Aktie_verwässert!A$3:AK$103,23,FALSE)</f>
        <v>2.589</v>
      </c>
      <c r="AE46" s="14">
        <f>VLOOKUP(A46,Ergebnis_je_Aktie_verwässert!A$3:AK$103,19,FALSE)</f>
        <v>2.3780769230769234</v>
      </c>
      <c r="AF46" s="12">
        <f ca="1">VLOOKUP(A46,Ergebnis_je_Aktie_verwässert!A$3:AK$103,24,FALSE)</f>
        <v>8.8694808345463283E-2</v>
      </c>
      <c r="AG46" s="40">
        <f>VLOOKUP(A46,Ergebnis_je_Aktie_verwässert!A$3:AK$103,37,FALSE)</f>
        <v>-0.40935672514619881</v>
      </c>
      <c r="AH46" s="16">
        <f t="shared" ca="1" si="18"/>
        <v>1.5291754385964913</v>
      </c>
      <c r="AI46" s="12">
        <f t="shared" ca="1" si="19"/>
        <v>-0.35696973308250413</v>
      </c>
      <c r="AJ46" s="32">
        <f ca="1">IF(AF46&lt;Bewertung_Stammdaten!B$38,Bewertung_Stammdaten!A$38,IF(AF46&lt;Bewertung_Stammdaten!B$39,Bewertung_Stammdaten!A$39,IF(AF46&lt;Bewertung_Stammdaten!B$40,Bewertung_Stammdaten!A$40,IF(AF46&lt;Bewertung_Stammdaten!B$41,Bewertung_Stammdaten!A$41,IF(AF46&lt;Bewertung_Stammdaten!B$42,Bewertung_Stammdaten!A$42,IF(AF46&lt;Bewertung_Stammdaten!B$43,Bewertung_Stammdaten!A$43,IF(AF46&lt;Bewertung_Stammdaten!B$44,Bewertung_Stammdaten!A$44,IF(AF46&lt;Bewertung_Stammdaten!B$45,Bewertung_Stammdaten!A$45,IF(AF46&lt;Bewertung_Stammdaten!B$46,Bewertung_Stammdaten!A$46,Bewertung_Stammdaten!A$47)))))))))</f>
        <v>8</v>
      </c>
      <c r="AK46" s="32">
        <f>IF(AG46&lt;Bewertung_Stammdaten!F$38,Bewertung_Stammdaten!E$38,IF(AG46&lt;Bewertung_Stammdaten!F$39,Bewertung_Stammdaten!E$39,IF(AG46&lt;Bewertung_Stammdaten!F$40,Bewertung_Stammdaten!E$40,IF(AG46&lt;Bewertung_Stammdaten!F$41,Bewertung_Stammdaten!E$41,IF(AG46&lt;Bewertung_Stammdaten!F$42,Bewertung_Stammdaten!E$42,IF(AG46&lt;Bewertung_Stammdaten!F$43,Bewertung_Stammdaten!E$43,IF(AG46&lt;Bewertung_Stammdaten!F$44,Bewertung_Stammdaten!E$44,IF(AG46&lt;Bewertung_Stammdaten!F$45,Bewertung_Stammdaten!E$45,IF(AG46&lt;Bewertung_Stammdaten!F$46,Bewertung_Stammdaten!E$46,Bewertung_Stammdaten!E$47)))))))))</f>
        <v>4.5</v>
      </c>
      <c r="AL46" s="32">
        <f ca="1">IF(AI46&lt;Bewertung_Stammdaten!J$38,Bewertung_Stammdaten!I$38,IF(AI46&lt;Bewertung_Stammdaten!J$39,Bewertung_Stammdaten!I$39,IF(AI46&lt;Bewertung_Stammdaten!J$40,Bewertung_Stammdaten!I$40,IF(AI46&lt;Bewertung_Stammdaten!J$41,Bewertung_Stammdaten!I$41,IF(AI46&lt;Bewertung_Stammdaten!J$42,Bewertung_Stammdaten!I$42,IF(AI46&lt;Bewertung_Stammdaten!J$43,Bewertung_Stammdaten!I$43,IF(AI46&lt;Bewertung_Stammdaten!J$44,Bewertung_Stammdaten!I$44,IF(AI46&lt;Bewertung_Stammdaten!J$45,Bewertung_Stammdaten!I$45,IF(AI46&lt;Bewertung_Stammdaten!J$46,Bewertung_Stammdaten!I$46,Bewertung_Stammdaten!I$47)))))))))</f>
        <v>1</v>
      </c>
      <c r="AM46" s="43"/>
      <c r="AN46" s="14">
        <f ca="1">VLOOKUP(A46,Dividende_je_Aktie!A$3:AM$103,24,FALSE)</f>
        <v>1.865</v>
      </c>
      <c r="AO46" s="14">
        <f>VLOOKUP(A46,Dividende_je_Aktie!A$3:AM$103,20,FALSE)</f>
        <v>1.6671428571428568</v>
      </c>
      <c r="AP46" s="12">
        <f ca="1">VLOOKUP(A46,Dividende_je_Aktie!A$3:AM$103,25,FALSE)</f>
        <v>0.11868037703513301</v>
      </c>
      <c r="AQ46" s="40">
        <f>VLOOKUP(A46,Dividende_je_Aktie!A$3:AM$103,39,FALSE)</f>
        <v>0</v>
      </c>
      <c r="AR46" s="16">
        <f t="shared" ca="1" si="20"/>
        <v>1.865</v>
      </c>
      <c r="AS46" s="12">
        <f t="shared" ca="1" si="21"/>
        <v>0.11868037703513301</v>
      </c>
      <c r="AT46" s="32">
        <f ca="1">IF(AP46&lt;Bewertung_Stammdaten!B$51,Bewertung_Stammdaten!A$51,IF(AP46&lt;Bewertung_Stammdaten!B$52,Bewertung_Stammdaten!A$52,IF(AP46&lt;Bewertung_Stammdaten!B$53,Bewertung_Stammdaten!A$53,IF(AP46&lt;Bewertung_Stammdaten!B$54,Bewertung_Stammdaten!A$54,IF(AP46&lt;Bewertung_Stammdaten!B$55,Bewertung_Stammdaten!A$55,IF(AP46&lt;Bewertung_Stammdaten!B$56,Bewertung_Stammdaten!A$56,IF(AP46&lt;Bewertung_Stammdaten!B$57,Bewertung_Stammdaten!A$57,IF(AP46&lt;Bewertung_Stammdaten!B$58,Bewertung_Stammdaten!A$58,IF(AP46&lt;Bewertung_Stammdaten!B$59,Bewertung_Stammdaten!A$59,Bewertung_Stammdaten!A$60)))))))))</f>
        <v>8</v>
      </c>
      <c r="AU46" s="32">
        <f>IF(AQ46&lt;Bewertung_Stammdaten!F$51,Bewertung_Stammdaten!E$51,IF(AQ46&lt;Bewertung_Stammdaten!F$52,Bewertung_Stammdaten!E$52,IF(AQ46&lt;Bewertung_Stammdaten!F$53,Bewertung_Stammdaten!E$53,IF(AQ46&lt;Bewertung_Stammdaten!F$54,Bewertung_Stammdaten!E$54,IF(AQ46&lt;Bewertung_Stammdaten!F$55,Bewertung_Stammdaten!E$55,IF(AQ46&lt;Bewertung_Stammdaten!F$56,Bewertung_Stammdaten!E$56,IF(AQ46&lt;Bewertung_Stammdaten!F$57,Bewertung_Stammdaten!E$57,IF(AQ46&lt;Bewertung_Stammdaten!F$58,Bewertung_Stammdaten!E$58,IF(AQ46&lt;Bewertung_Stammdaten!F$59,Bewertung_Stammdaten!E$59,Bewertung_Stammdaten!E$60)))))))))</f>
        <v>12</v>
      </c>
      <c r="AV46" s="32">
        <f ca="1">IF(AS46&lt;Bewertung_Stammdaten!J$51,Bewertung_Stammdaten!I$51,IF(AS46&lt;Bewertung_Stammdaten!J$52,Bewertung_Stammdaten!I$52,IF(AS46&lt;Bewertung_Stammdaten!J$53,Bewertung_Stammdaten!I$53,IF(AS46&lt;Bewertung_Stammdaten!J$54,Bewertung_Stammdaten!I$54,IF(AS46&lt;Bewertung_Stammdaten!J$55,Bewertung_Stammdaten!I$55,IF(AS46&lt;Bewertung_Stammdaten!J$56,Bewertung_Stammdaten!I$56,IF(AS46&lt;Bewertung_Stammdaten!J$57,Bewertung_Stammdaten!I$57,IF(AS46&lt;Bewertung_Stammdaten!J$58,Bewertung_Stammdaten!I$58,IF(AS46&lt;Bewertung_Stammdaten!J$59,Bewertung_Stammdaten!I$59,Bewertung_Stammdaten!I$60)))))))))</f>
        <v>5</v>
      </c>
      <c r="AW46" s="43"/>
      <c r="AX46" s="12">
        <f ca="1">VLOOKUP(A46,Dividendenrendite!A$3:R$103,17,FALSE)</f>
        <v>3.36885838150289E-2</v>
      </c>
      <c r="AY46" s="12">
        <f>VLOOKUP(A46,Dividendenrendite!A$3:R$103,16,FALSE)</f>
        <v>3.7821355098629911E-2</v>
      </c>
      <c r="AZ46" s="12">
        <f ca="1">VLOOKUP(A46,Dividendenrendite!A$3:R$103,18,FALSE)</f>
        <v>-0.10927084111142071</v>
      </c>
      <c r="BA46" s="32">
        <f ca="1">IF(AX46&lt;Bewertung_Stammdaten!B$64,Bewertung_Stammdaten!A$64,IF(AX46&lt;Bewertung_Stammdaten!B$65,Bewertung_Stammdaten!A$65,IF(AX46&lt;Bewertung_Stammdaten!B$66,Bewertung_Stammdaten!A$66,IF(AX46&lt;Bewertung_Stammdaten!B$67,Bewertung_Stammdaten!A$67,IF(AX46&lt;Bewertung_Stammdaten!B$68,Bewertung_Stammdaten!A$68,IF(AX46&lt;Bewertung_Stammdaten!B$69,Bewertung_Stammdaten!A$69,IF(AX46&lt;Bewertung_Stammdaten!B$70,Bewertung_Stammdaten!A$70,IF(AX46&lt;Bewertung_Stammdaten!B$71,Bewertung_Stammdaten!A$71,IF(AX46&lt;Bewertung_Stammdaten!B$72,Bewertung_Stammdaten!A$72,Bewertung_Stammdaten!A$73)))))))))</f>
        <v>10.5</v>
      </c>
      <c r="BB46" s="32">
        <f>IF(AY46&lt;Bewertung_Stammdaten!F$64,Bewertung_Stammdaten!E$64,IF(AY46&lt;Bewertung_Stammdaten!F$65,Bewertung_Stammdaten!E$65,IF(AY46&lt;Bewertung_Stammdaten!F$66,Bewertung_Stammdaten!E$66,IF(AY46&lt;Bewertung_Stammdaten!F$67,Bewertung_Stammdaten!E$67,IF(AY46&lt;Bewertung_Stammdaten!F$68,Bewertung_Stammdaten!E$68,IF(AY46&lt;Bewertung_Stammdaten!F$69,Bewertung_Stammdaten!E$69,IF(AY46&lt;Bewertung_Stammdaten!F$70,Bewertung_Stammdaten!E$70,IF(AY46&lt;Bewertung_Stammdaten!F$71,Bewertung_Stammdaten!E$71,IF(AY46&lt;Bewertung_Stammdaten!F$72,Bewertung_Stammdaten!E$72,Bewertung_Stammdaten!E$73)))))))))</f>
        <v>8</v>
      </c>
      <c r="BC46" s="32">
        <f ca="1">IF(AZ46&lt;Bewertung_Stammdaten!J$64,Bewertung_Stammdaten!I$64,IF(AZ46&lt;Bewertung_Stammdaten!J$65,Bewertung_Stammdaten!I$65,IF(AZ46&lt;Bewertung_Stammdaten!J$66,Bewertung_Stammdaten!I$66,IF(AZ46&lt;Bewertung_Stammdaten!J$67,Bewertung_Stammdaten!I$67,IF(AZ46&lt;Bewertung_Stammdaten!J$68,Bewertung_Stammdaten!I$68,IF(AZ46&lt;Bewertung_Stammdaten!J$69,Bewertung_Stammdaten!I$69,IF(AZ46&lt;Bewertung_Stammdaten!J$70,Bewertung_Stammdaten!I$70,IF(AZ46&lt;Bewertung_Stammdaten!J$71,Bewertung_Stammdaten!I$71,IF(AZ46&lt;Bewertung_Stammdaten!J$72,Bewertung_Stammdaten!I$72,Bewertung_Stammdaten!I$73)))))))))</f>
        <v>1.5</v>
      </c>
      <c r="BD46" s="43"/>
      <c r="BE46" s="12">
        <f>VLOOKUP(A46,Aktien_im_Umlauf_splitbereinigt!A$3:AB$103,28,FALSE)</f>
        <v>-2.0084566596194509E-2</v>
      </c>
      <c r="BF46" s="12">
        <f>VLOOKUP(A46,Aktien_im_Umlauf_splitbereinigt!A$3:AA$103,26,FALSE)</f>
        <v>-1.830003796195397E-2</v>
      </c>
      <c r="BG46" s="12">
        <f>VLOOKUP(A46,Aktien_im_Umlauf_splitbereinigt!A$3:AA$103,27,FALSE)</f>
        <v>9.751502362730613E-2</v>
      </c>
      <c r="BH46" s="41">
        <f>IF(BE46&lt;Bewertung_Stammdaten!B$77,Bewertung_Stammdaten!A$77,IF(BE46&lt;Bewertung_Stammdaten!B$78,Bewertung_Stammdaten!A$78,IF(BE46&lt;Bewertung_Stammdaten!B$79,Bewertung_Stammdaten!A$79,IF(BE46&lt;Bewertung_Stammdaten!B$80,Bewertung_Stammdaten!A$80,IF(BE46&lt;Bewertung_Stammdaten!B$81,Bewertung_Stammdaten!A$81,IF(BE46&lt;Bewertung_Stammdaten!B$82,Bewertung_Stammdaten!A$82,IF(BE46&lt;Bewertung_Stammdaten!B$83,Bewertung_Stammdaten!A$83,IF(BE46&lt;Bewertung_Stammdaten!B$84,Bewertung_Stammdaten!A$84,IF(BE46&lt;Bewertung_Stammdaten!B$85,Bewertung_Stammdaten!A$85,Bewertung_Stammdaten!A$86)))))))))</f>
        <v>7</v>
      </c>
      <c r="BI46" s="41">
        <f>IF(BF46&lt;Bewertung_Stammdaten!F$77,Bewertung_Stammdaten!E$77,IF(BF46&lt;Bewertung_Stammdaten!F$78,Bewertung_Stammdaten!E$78,IF(BF46&lt;Bewertung_Stammdaten!F$79,Bewertung_Stammdaten!E$79,IF(BF46&lt;Bewertung_Stammdaten!F$80,Bewertung_Stammdaten!E$80,IF(BF46&lt;Bewertung_Stammdaten!F$81,Bewertung_Stammdaten!E$81,IF(BF46&lt;Bewertung_Stammdaten!F$82,Bewertung_Stammdaten!E$82,IF(BF46&lt;Bewertung_Stammdaten!F$83,Bewertung_Stammdaten!E$83,IF(BF46&lt;Bewertung_Stammdaten!F$84,Bewertung_Stammdaten!E$84,IF(BF46&lt;Bewertung_Stammdaten!F$85,Bewertung_Stammdaten!E$85,Bewertung_Stammdaten!E$86)))))))))</f>
        <v>6</v>
      </c>
      <c r="BJ46" s="41">
        <f>IF(BG46&lt;Bewertung_Stammdaten!J$77,Bewertung_Stammdaten!I$77,IF(BG46&lt;Bewertung_Stammdaten!J$78,Bewertung_Stammdaten!I$78,IF(BG46&lt;Bewertung_Stammdaten!J$79,Bewertung_Stammdaten!I$79,IF(BG46&lt;Bewertung_Stammdaten!J$80,Bewertung_Stammdaten!I$80,IF(BG46&lt;Bewertung_Stammdaten!J$81,Bewertung_Stammdaten!I$81,IF(BG46&lt;Bewertung_Stammdaten!J$82,Bewertung_Stammdaten!I$82,IF(BG46&lt;Bewertung_Stammdaten!J$83,Bewertung_Stammdaten!I$83,IF(BG46&lt;Bewertung_Stammdaten!J$84,Bewertung_Stammdaten!I$84,IF(BG46&lt;Bewertung_Stammdaten!J$85,Bewertung_Stammdaten!I$85,Bewertung_Stammdaten!I$86)))))))))</f>
        <v>3</v>
      </c>
      <c r="BK46" s="43"/>
      <c r="BL46" s="12">
        <f ca="1">VLOOKUP(A46,Ausschüttungsquote!A$3:AL$103,37,FALSE)</f>
        <v>0.72220798085960869</v>
      </c>
      <c r="BM46" s="12">
        <f>VLOOKUP(A46,Ausschüttungsquote!A$3:AL$103,19,FALSE)</f>
        <v>0.99189398785322624</v>
      </c>
      <c r="BN46" s="12">
        <f ca="1">VLOOKUP(A46,Ausschüttungsquote!A$3:AL$103,38,FALSE)</f>
        <v>-8.046006028299979E-2</v>
      </c>
      <c r="BO46" s="32">
        <f ca="1">IF(BL46&lt;Bewertung_Stammdaten!B$90,Bewertung_Stammdaten!A$90,IF(BL46&lt;Bewertung_Stammdaten!B$91,Bewertung_Stammdaten!A$91,IF(BL46&lt;Bewertung_Stammdaten!B$92,Bewertung_Stammdaten!A$92,IF(BL46&lt;Bewertung_Stammdaten!B$93,Bewertung_Stammdaten!A$93,IF(BL46&lt;Bewertung_Stammdaten!B$94,Bewertung_Stammdaten!A$94,IF(BL46&lt;Bewertung_Stammdaten!B$95,Bewertung_Stammdaten!A$95,IF(BL46&lt;Bewertung_Stammdaten!B$96,Bewertung_Stammdaten!A$96,IF(BL46&lt;Bewertung_Stammdaten!B$97,Bewertung_Stammdaten!A$97,IF(BL46&lt;Bewertung_Stammdaten!B$98,Bewertung_Stammdaten!A$98,Bewertung_Stammdaten!A$99)))))))))</f>
        <v>3</v>
      </c>
      <c r="BP46" s="41">
        <f>IF(BM46&lt;Bewertung_Stammdaten!F$90,Bewertung_Stammdaten!E$90,IF(BM46&lt;Bewertung_Stammdaten!F$91,Bewertung_Stammdaten!E$91,IF(BM46&lt;Bewertung_Stammdaten!F$92,Bewertung_Stammdaten!E$92,IF(BM46&lt;Bewertung_Stammdaten!F$93,Bewertung_Stammdaten!E$93,IF(BM46&lt;Bewertung_Stammdaten!F$94,Bewertung_Stammdaten!E$94,IF(BM46&lt;Bewertung_Stammdaten!F$95,Bewertung_Stammdaten!E$95,IF(BM46&lt;Bewertung_Stammdaten!F$96,Bewertung_Stammdaten!E$96,IF(BM46&lt;Bewertung_Stammdaten!F$97,Bewertung_Stammdaten!E$97,IF(BM46&lt;Bewertung_Stammdaten!F$98,Bewertung_Stammdaten!E$98,Bewertung_Stammdaten!E$99)))))))))</f>
        <v>1</v>
      </c>
      <c r="BQ46" s="32">
        <f ca="1">IF(BN46&lt;Bewertung_Stammdaten!J$90,Bewertung_Stammdaten!I$90,IF(BN46&lt;Bewertung_Stammdaten!J$91,Bewertung_Stammdaten!I$91,IF(BN46&lt;Bewertung_Stammdaten!J$92,Bewertung_Stammdaten!I$92,IF(BN46&lt;Bewertung_Stammdaten!J$93,Bewertung_Stammdaten!I$93,IF(BN46&lt;Bewertung_Stammdaten!J$94,Bewertung_Stammdaten!I$94,IF(BN46&lt;Bewertung_Stammdaten!J$95,Bewertung_Stammdaten!I$95,IF(BN46&lt;Bewertung_Stammdaten!J$96,Bewertung_Stammdaten!I$96,IF(BN46&lt;Bewertung_Stammdaten!J$97,Bewertung_Stammdaten!I$97,IF(BN46&lt;Bewertung_Stammdaten!J$98,Bewertung_Stammdaten!I$98,Bewertung_Stammdaten!I$99)))))))))</f>
        <v>7</v>
      </c>
    </row>
    <row r="47" spans="1:69">
      <c r="A47" s="38" t="s">
        <v>89</v>
      </c>
      <c r="B47" s="38" t="s">
        <v>90</v>
      </c>
      <c r="C47" s="38" t="s">
        <v>282</v>
      </c>
      <c r="D47" s="32">
        <f t="shared" ca="1" si="11"/>
        <v>125</v>
      </c>
      <c r="E47" s="43"/>
      <c r="F47" s="60">
        <v>1</v>
      </c>
      <c r="G47" s="11">
        <f ca="1">VLOOKUP(A47,KGV!A$3:R$103,17,FALSE)</f>
        <v>20.429074607748959</v>
      </c>
      <c r="H47" s="11">
        <f>VLOOKUP(A47,KGV!A$3:R$103,16,FALSE)</f>
        <v>14.937743190661481</v>
      </c>
      <c r="I47" s="12">
        <f ca="1">VLOOKUP(A47,KGV!A$3:R$103,18,FALSE)</f>
        <v>0.36761452831244634</v>
      </c>
      <c r="J47" s="16">
        <f t="shared" ca="1" si="12"/>
        <v>20.843177471419544</v>
      </c>
      <c r="K47" s="12">
        <f t="shared" ca="1" si="13"/>
        <v>0.39533644442688787</v>
      </c>
      <c r="L47" s="11">
        <f ca="1">VLOOKUP(A47,KBV!A$3:R$103,17,FALSE)</f>
        <v>39.602731222842948</v>
      </c>
      <c r="M47" s="11">
        <f>VLOOKUP(A47,KBV!A$3:R$103,16,FALSE)</f>
        <v>21.928663026391991</v>
      </c>
      <c r="N47" s="12">
        <f ca="1">VLOOKUP(A47,KBV!A$3:R$103,18,FALSE)</f>
        <v>0.80598019930259923</v>
      </c>
      <c r="O47" s="16">
        <f t="shared" ca="1" si="14"/>
        <v>54.78377819159941</v>
      </c>
      <c r="P47" s="12">
        <f t="shared" ca="1" si="15"/>
        <v>1.4982726090352623</v>
      </c>
      <c r="Q47" s="32">
        <f ca="1">IF(F47=1,IF(I47&lt;Bewertung_Stammdaten!B$12,Bewertung_Stammdaten!A$12,IF(I47&lt;Bewertung_Stammdaten!B$13,Bewertung_Stammdaten!A$13,IF(I47&lt;Bewertung_Stammdaten!B$14,Bewertung_Stammdaten!A$14,IF(I47&lt;Bewertung_Stammdaten!B$15,Bewertung_Stammdaten!A$15,IF(I47&lt;Bewertung_Stammdaten!B$16,Bewertung_Stammdaten!A$16,IF(I47&lt;Bewertung_Stammdaten!B$17,Bewertung_Stammdaten!A$17,IF(I47&lt;Bewertung_Stammdaten!B$18,Bewertung_Stammdaten!A$18,IF(I47&lt;Bewertung_Stammdaten!B$19,Bewertung_Stammdaten!A$19,IF(I47&lt;Bewertung_Stammdaten!B$20,Bewertung_Stammdaten!A$20,Bewertung_Stammdaten!A$21))))))))),IF(N47&lt;Bewertung_Stammdaten!C$12,Bewertung_Stammdaten!A$12,IF(N47&lt;Bewertung_Stammdaten!C$13,Bewertung_Stammdaten!A$13,IF(N47&lt;Bewertung_Stammdaten!C$14,Bewertung_Stammdaten!A$14,IF(N47&lt;Bewertung_Stammdaten!C$15,Bewertung_Stammdaten!A$15,IF(N47&lt;Bewertung_Stammdaten!C$16,Bewertung_Stammdaten!A$16,IF(N47&lt;Bewertung_Stammdaten!C$17,Bewertung_Stammdaten!A$17,IF(N47&lt;Bewertung_Stammdaten!C$18,Bewertung_Stammdaten!A$18,IF(N47&lt;Bewertung_Stammdaten!C$19,Bewertung_Stammdaten!A$19,IF(N47&lt;Bewertung_Stammdaten!C$20,Bewertung_Stammdaten!A$20,Bewertung_Stammdaten!A$21))))))))))</f>
        <v>6</v>
      </c>
      <c r="R47" s="32">
        <f ca="1">IF(F47=1,IF(K47&lt;Bewertung_Stammdaten!F$12,Bewertung_Stammdaten!E$12,IF(K47&lt;Bewertung_Stammdaten!F$13,Bewertung_Stammdaten!E$13,IF(K47&lt;Bewertung_Stammdaten!F$14,Bewertung_Stammdaten!E$14,IF(K47&lt;Bewertung_Stammdaten!F$15,Bewertung_Stammdaten!E$15,IF(K47&lt;Bewertung_Stammdaten!F$16,Bewertung_Stammdaten!E$16,IF(K47&lt;Bewertung_Stammdaten!F$17,Bewertung_Stammdaten!E$17,IF(K47&lt;Bewertung_Stammdaten!F$18,Bewertung_Stammdaten!E$18,IF(K47&lt;Bewertung_Stammdaten!F$19,Bewertung_Stammdaten!E$19,IF(K47&lt;Bewertung_Stammdaten!F$20,Bewertung_Stammdaten!E$20,Bewertung_Stammdaten!E$21))))))))),IF(P47&lt;Bewertung_Stammdaten!G$12,Bewertung_Stammdaten!E$12,IF(P47&lt;Bewertung_Stammdaten!G$13,Bewertung_Stammdaten!E$13,IF(P47&lt;Bewertung_Stammdaten!G$14,Bewertung_Stammdaten!E$14,IF(P47&lt;Bewertung_Stammdaten!G$15,Bewertung_Stammdaten!E$15,IF(P47&lt;Bewertung_Stammdaten!G$16,Bewertung_Stammdaten!E$16,IF(P47&lt;Bewertung_Stammdaten!G$17,Bewertung_Stammdaten!E$17,IF(P47&lt;Bewertung_Stammdaten!G$18,Bewertung_Stammdaten!E$18,IF(P47&lt;Bewertung_Stammdaten!G$19,Bewertung_Stammdaten!E$19,IF(P47&lt;Bewertung_Stammdaten!G$20,Bewertung_Stammdaten!E$20,Bewertung_Stammdaten!E$21))))))))))</f>
        <v>5</v>
      </c>
      <c r="S47" s="43"/>
      <c r="T47" s="11">
        <f ca="1">VLOOKUP(A47,Buchwert_je_Aktie!A$3:AK$103,23,FALSE)</f>
        <v>1.6110000000000002</v>
      </c>
      <c r="U47" s="11">
        <f>VLOOKUP(A47,Buchwert_je_Aktie!A$3:AK$103,19,FALSE)</f>
        <v>1.7410000000000001</v>
      </c>
      <c r="V47" s="12">
        <f ca="1">VLOOKUP(A47,Buchwert_je_Aktie!A$3:AK$103,24,FALSE)</f>
        <v>-7.4669730040206717E-2</v>
      </c>
      <c r="W47" s="12">
        <f>VLOOKUP(A47,Buchwert_je_Aktie!A$3:AK$103,37,FALSE)</f>
        <v>-0.27710843373493976</v>
      </c>
      <c r="X47" s="16">
        <f t="shared" ca="1" si="16"/>
        <v>1.1645783132530121</v>
      </c>
      <c r="Y47" s="12">
        <f t="shared" ca="1" si="17"/>
        <v>-0.3310865518362941</v>
      </c>
      <c r="Z47" s="51">
        <f ca="1">IF(V47&lt;Bewertung_Stammdaten!B$25,Bewertung_Stammdaten!A$25,IF(V47&lt;Bewertung_Stammdaten!B$26,Bewertung_Stammdaten!A$26,IF(V47&lt;Bewertung_Stammdaten!B$27,Bewertung_Stammdaten!A$27,IF(V47&lt;Bewertung_Stammdaten!B$28,Bewertung_Stammdaten!A$28,IF(V47&lt;Bewertung_Stammdaten!B$29,Bewertung_Stammdaten!A$29,IF(V47&lt;Bewertung_Stammdaten!B$30,Bewertung_Stammdaten!A$30,IF(V47&lt;Bewertung_Stammdaten!B$31,Bewertung_Stammdaten!A$31,IF(V47&lt;Bewertung_Stammdaten!B$32,Bewertung_Stammdaten!A$32,IF(V47&lt;Bewertung_Stammdaten!B$33,Bewertung_Stammdaten!A$33,Bewertung_Stammdaten!A$34)))))))))</f>
        <v>3</v>
      </c>
      <c r="AA47" s="51">
        <f>IF(W47&lt;Bewertung_Stammdaten!F$25,Bewertung_Stammdaten!E$25,IF(W47&lt;Bewertung_Stammdaten!F$26,Bewertung_Stammdaten!E$26,IF(W47&lt;Bewertung_Stammdaten!F$27,Bewertung_Stammdaten!E$27,IF(W47&lt;Bewertung_Stammdaten!F$28,Bewertung_Stammdaten!E$28,IF(W47&lt;Bewertung_Stammdaten!F$29,Bewertung_Stammdaten!E$29,IF(W47&lt;Bewertung_Stammdaten!F$30,Bewertung_Stammdaten!E$30,IF(W47&lt;Bewertung_Stammdaten!F$31,Bewertung_Stammdaten!E$31,IF(W47&lt;Bewertung_Stammdaten!F$32,Bewertung_Stammdaten!E$32,IF(W47&lt;Bewertung_Stammdaten!F$33,Bewertung_Stammdaten!E$33,Bewertung_Stammdaten!E$34)))))))))</f>
        <v>3</v>
      </c>
      <c r="AB47" s="51">
        <f ca="1">IF(Y47&lt;Bewertung_Stammdaten!J$25,Bewertung_Stammdaten!I$25,IF(Y47&lt;Bewertung_Stammdaten!J$26,Bewertung_Stammdaten!I$26,IF(Y47&lt;Bewertung_Stammdaten!J$27,Bewertung_Stammdaten!I$27,IF(Y47&lt;Bewertung_Stammdaten!J$28,Bewertung_Stammdaten!I$28,IF(Y47&lt;Bewertung_Stammdaten!J$29,Bewertung_Stammdaten!I$29,IF(Y47&lt;Bewertung_Stammdaten!J$30,Bewertung_Stammdaten!I$30,IF(Y47&lt;Bewertung_Stammdaten!J$31,Bewertung_Stammdaten!I$31,IF(Y47&lt;Bewertung_Stammdaten!J$32,Bewertung_Stammdaten!I$32,IF(Y47&lt;Bewertung_Stammdaten!J$33,Bewertung_Stammdaten!I$33,Bewertung_Stammdaten!I$34)))))))))</f>
        <v>1</v>
      </c>
      <c r="AC47" s="43"/>
      <c r="AD47" s="14">
        <f ca="1">VLOOKUP(A47,Ergebnis_je_Aktie_verwässert!A$3:AK$103,23,FALSE)</f>
        <v>3.1230000000000002</v>
      </c>
      <c r="AE47" s="14">
        <f>VLOOKUP(A47,Ergebnis_je_Aktie_verwässert!A$3:AK$103,19,FALSE)</f>
        <v>2.316153846153846</v>
      </c>
      <c r="AF47" s="12">
        <f ca="1">VLOOKUP(A47,Ergebnis_je_Aktie_verwässert!A$3:AK$103,24,FALSE)</f>
        <v>0.34835602789770848</v>
      </c>
      <c r="AG47" s="40">
        <f>VLOOKUP(A47,Ergebnis_je_Aktie_verwässert!A$3:AK$103,37,FALSE)</f>
        <v>-1.9867549668874163E-2</v>
      </c>
      <c r="AH47" s="16">
        <f t="shared" ca="1" si="18"/>
        <v>3.0609536423841064</v>
      </c>
      <c r="AI47" s="12">
        <f t="shared" ca="1" si="19"/>
        <v>0.32156749754212499</v>
      </c>
      <c r="AJ47" s="32">
        <f ca="1">IF(AF47&lt;Bewertung_Stammdaten!B$38,Bewertung_Stammdaten!A$38,IF(AF47&lt;Bewertung_Stammdaten!B$39,Bewertung_Stammdaten!A$39,IF(AF47&lt;Bewertung_Stammdaten!B$40,Bewertung_Stammdaten!A$40,IF(AF47&lt;Bewertung_Stammdaten!B$41,Bewertung_Stammdaten!A$41,IF(AF47&lt;Bewertung_Stammdaten!B$42,Bewertung_Stammdaten!A$42,IF(AF47&lt;Bewertung_Stammdaten!B$43,Bewertung_Stammdaten!A$43,IF(AF47&lt;Bewertung_Stammdaten!B$44,Bewertung_Stammdaten!A$44,IF(AF47&lt;Bewertung_Stammdaten!B$45,Bewertung_Stammdaten!A$45,IF(AF47&lt;Bewertung_Stammdaten!B$46,Bewertung_Stammdaten!A$46,Bewertung_Stammdaten!A$47)))))))))</f>
        <v>14</v>
      </c>
      <c r="AK47" s="32">
        <f>IF(AG47&lt;Bewertung_Stammdaten!F$38,Bewertung_Stammdaten!E$38,IF(AG47&lt;Bewertung_Stammdaten!F$39,Bewertung_Stammdaten!E$39,IF(AG47&lt;Bewertung_Stammdaten!F$40,Bewertung_Stammdaten!E$40,IF(AG47&lt;Bewertung_Stammdaten!F$41,Bewertung_Stammdaten!E$41,IF(AG47&lt;Bewertung_Stammdaten!F$42,Bewertung_Stammdaten!E$42,IF(AG47&lt;Bewertung_Stammdaten!F$43,Bewertung_Stammdaten!E$43,IF(AG47&lt;Bewertung_Stammdaten!F$44,Bewertung_Stammdaten!E$44,IF(AG47&lt;Bewertung_Stammdaten!F$45,Bewertung_Stammdaten!E$45,IF(AG47&lt;Bewertung_Stammdaten!F$46,Bewertung_Stammdaten!E$46,Bewertung_Stammdaten!E$47)))))))))</f>
        <v>10.5</v>
      </c>
      <c r="AL47" s="32">
        <f ca="1">IF(AI47&lt;Bewertung_Stammdaten!J$38,Bewertung_Stammdaten!I$38,IF(AI47&lt;Bewertung_Stammdaten!J$39,Bewertung_Stammdaten!I$39,IF(AI47&lt;Bewertung_Stammdaten!J$40,Bewertung_Stammdaten!I$40,IF(AI47&lt;Bewertung_Stammdaten!J$41,Bewertung_Stammdaten!I$41,IF(AI47&lt;Bewertung_Stammdaten!J$42,Bewertung_Stammdaten!I$42,IF(AI47&lt;Bewertung_Stammdaten!J$43,Bewertung_Stammdaten!I$43,IF(AI47&lt;Bewertung_Stammdaten!J$44,Bewertung_Stammdaten!I$44,IF(AI47&lt;Bewertung_Stammdaten!J$45,Bewertung_Stammdaten!I$45,IF(AI47&lt;Bewertung_Stammdaten!J$46,Bewertung_Stammdaten!I$46,Bewertung_Stammdaten!I$47)))))))))</f>
        <v>7</v>
      </c>
      <c r="AM47" s="43"/>
      <c r="AN47" s="14">
        <f ca="1">VLOOKUP(A47,Dividende_je_Aktie!A$3:AM$103,24,FALSE)</f>
        <v>2.4459999999999997</v>
      </c>
      <c r="AO47" s="14">
        <f>VLOOKUP(A47,Dividende_je_Aktie!A$3:AM$103,20,FALSE)</f>
        <v>1.671142857142857</v>
      </c>
      <c r="AP47" s="12">
        <f ca="1">VLOOKUP(A47,Dividende_je_Aktie!A$3:AM$103,25,FALSE)</f>
        <v>0.46366900324841853</v>
      </c>
      <c r="AQ47" s="40">
        <f>VLOOKUP(A47,Dividende_je_Aktie!A$3:AM$103,39,FALSE)</f>
        <v>7.5949367088607556E-2</v>
      </c>
      <c r="AR47" s="16">
        <f t="shared" ca="1" si="20"/>
        <v>2.4459999999999997</v>
      </c>
      <c r="AS47" s="12">
        <f t="shared" ca="1" si="21"/>
        <v>0.46366900324841853</v>
      </c>
      <c r="AT47" s="32">
        <f ca="1">IF(AP47&lt;Bewertung_Stammdaten!B$51,Bewertung_Stammdaten!A$51,IF(AP47&lt;Bewertung_Stammdaten!B$52,Bewertung_Stammdaten!A$52,IF(AP47&lt;Bewertung_Stammdaten!B$53,Bewertung_Stammdaten!A$53,IF(AP47&lt;Bewertung_Stammdaten!B$54,Bewertung_Stammdaten!A$54,IF(AP47&lt;Bewertung_Stammdaten!B$55,Bewertung_Stammdaten!A$55,IF(AP47&lt;Bewertung_Stammdaten!B$56,Bewertung_Stammdaten!A$56,IF(AP47&lt;Bewertung_Stammdaten!B$57,Bewertung_Stammdaten!A$57,IF(AP47&lt;Bewertung_Stammdaten!B$58,Bewertung_Stammdaten!A$58,IF(AP47&lt;Bewertung_Stammdaten!B$59,Bewertung_Stammdaten!A$59,Bewertung_Stammdaten!A$60)))))))))</f>
        <v>14</v>
      </c>
      <c r="AU47" s="32">
        <f>IF(AQ47&lt;Bewertung_Stammdaten!F$51,Bewertung_Stammdaten!E$51,IF(AQ47&lt;Bewertung_Stammdaten!F$52,Bewertung_Stammdaten!E$52,IF(AQ47&lt;Bewertung_Stammdaten!F$53,Bewertung_Stammdaten!E$53,IF(AQ47&lt;Bewertung_Stammdaten!F$54,Bewertung_Stammdaten!E$54,IF(AQ47&lt;Bewertung_Stammdaten!F$55,Bewertung_Stammdaten!E$55,IF(AQ47&lt;Bewertung_Stammdaten!F$56,Bewertung_Stammdaten!E$56,IF(AQ47&lt;Bewertung_Stammdaten!F$57,Bewertung_Stammdaten!E$57,IF(AQ47&lt;Bewertung_Stammdaten!F$58,Bewertung_Stammdaten!E$58,IF(AQ47&lt;Bewertung_Stammdaten!F$59,Bewertung_Stammdaten!E$59,Bewertung_Stammdaten!E$60)))))))))</f>
        <v>12</v>
      </c>
      <c r="AV47" s="32">
        <f ca="1">IF(AS47&lt;Bewertung_Stammdaten!J$51,Bewertung_Stammdaten!I$51,IF(AS47&lt;Bewertung_Stammdaten!J$52,Bewertung_Stammdaten!I$52,IF(AS47&lt;Bewertung_Stammdaten!J$53,Bewertung_Stammdaten!I$53,IF(AS47&lt;Bewertung_Stammdaten!J$54,Bewertung_Stammdaten!I$54,IF(AS47&lt;Bewertung_Stammdaten!J$55,Bewertung_Stammdaten!I$55,IF(AS47&lt;Bewertung_Stammdaten!J$56,Bewertung_Stammdaten!I$56,IF(AS47&lt;Bewertung_Stammdaten!J$57,Bewertung_Stammdaten!I$57,IF(AS47&lt;Bewertung_Stammdaten!J$58,Bewertung_Stammdaten!I$58,IF(AS47&lt;Bewertung_Stammdaten!J$59,Bewertung_Stammdaten!I$59,Bewertung_Stammdaten!I$60)))))))))</f>
        <v>9</v>
      </c>
      <c r="AW47" s="43"/>
      <c r="AX47" s="12">
        <f ca="1">VLOOKUP(A47,Dividendenrendite!A$3:R$103,17,FALSE)</f>
        <v>3.8338557993730406E-2</v>
      </c>
      <c r="AY47" s="12">
        <f>VLOOKUP(A47,Dividendenrendite!A$3:R$103,16,FALSE)</f>
        <v>5.1151610677912102E-2</v>
      </c>
      <c r="AZ47" s="12">
        <f ca="1">VLOOKUP(A47,Dividendenrendite!A$3:R$103,18,FALSE)</f>
        <v>-0.25049167590952381</v>
      </c>
      <c r="BA47" s="32">
        <f ca="1">IF(AX47&lt;Bewertung_Stammdaten!B$64,Bewertung_Stammdaten!A$64,IF(AX47&lt;Bewertung_Stammdaten!B$65,Bewertung_Stammdaten!A$65,IF(AX47&lt;Bewertung_Stammdaten!B$66,Bewertung_Stammdaten!A$66,IF(AX47&lt;Bewertung_Stammdaten!B$67,Bewertung_Stammdaten!A$67,IF(AX47&lt;Bewertung_Stammdaten!B$68,Bewertung_Stammdaten!A$68,IF(AX47&lt;Bewertung_Stammdaten!B$69,Bewertung_Stammdaten!A$69,IF(AX47&lt;Bewertung_Stammdaten!B$70,Bewertung_Stammdaten!A$70,IF(AX47&lt;Bewertung_Stammdaten!B$71,Bewertung_Stammdaten!A$71,IF(AX47&lt;Bewertung_Stammdaten!B$72,Bewertung_Stammdaten!A$72,Bewertung_Stammdaten!A$73)))))))))</f>
        <v>12</v>
      </c>
      <c r="BB47" s="32">
        <f>IF(AY47&lt;Bewertung_Stammdaten!F$64,Bewertung_Stammdaten!E$64,IF(AY47&lt;Bewertung_Stammdaten!F$65,Bewertung_Stammdaten!E$65,IF(AY47&lt;Bewertung_Stammdaten!F$66,Bewertung_Stammdaten!E$66,IF(AY47&lt;Bewertung_Stammdaten!F$67,Bewertung_Stammdaten!E$67,IF(AY47&lt;Bewertung_Stammdaten!F$68,Bewertung_Stammdaten!E$68,IF(AY47&lt;Bewertung_Stammdaten!F$69,Bewertung_Stammdaten!E$69,IF(AY47&lt;Bewertung_Stammdaten!F$70,Bewertung_Stammdaten!E$70,IF(AY47&lt;Bewertung_Stammdaten!F$71,Bewertung_Stammdaten!E$71,IF(AY47&lt;Bewertung_Stammdaten!F$72,Bewertung_Stammdaten!E$72,Bewertung_Stammdaten!E$73)))))))))</f>
        <v>10</v>
      </c>
      <c r="BC47" s="32">
        <f ca="1">IF(AZ47&lt;Bewertung_Stammdaten!J$64,Bewertung_Stammdaten!I$64,IF(AZ47&lt;Bewertung_Stammdaten!J$65,Bewertung_Stammdaten!I$65,IF(AZ47&lt;Bewertung_Stammdaten!J$66,Bewertung_Stammdaten!I$66,IF(AZ47&lt;Bewertung_Stammdaten!J$67,Bewertung_Stammdaten!I$67,IF(AZ47&lt;Bewertung_Stammdaten!J$68,Bewertung_Stammdaten!I$68,IF(AZ47&lt;Bewertung_Stammdaten!J$69,Bewertung_Stammdaten!I$69,IF(AZ47&lt;Bewertung_Stammdaten!J$70,Bewertung_Stammdaten!I$70,IF(AZ47&lt;Bewertung_Stammdaten!J$71,Bewertung_Stammdaten!I$71,IF(AZ47&lt;Bewertung_Stammdaten!J$72,Bewertung_Stammdaten!I$72,Bewertung_Stammdaten!I$73)))))))))</f>
        <v>0.5</v>
      </c>
      <c r="BD47" s="43"/>
      <c r="BE47" s="12">
        <f>VLOOKUP(A47,Aktien_im_Umlauf_splitbereinigt!A$3:AB$103,28,FALSE)</f>
        <v>-6.0851926977687487E-3</v>
      </c>
      <c r="BF47" s="12">
        <f>VLOOKUP(A47,Aktien_im_Umlauf_splitbereinigt!A$3:AA$103,26,FALSE)</f>
        <v>-6.0523192235307664E-3</v>
      </c>
      <c r="BG47" s="12">
        <f>VLOOKUP(A47,Aktien_im_Umlauf_splitbereinigt!A$3:AA$103,27,FALSE)</f>
        <v>5.4315499602488604E-3</v>
      </c>
      <c r="BH47" s="41">
        <f>IF(BE47&lt;Bewertung_Stammdaten!B$77,Bewertung_Stammdaten!A$77,IF(BE47&lt;Bewertung_Stammdaten!B$78,Bewertung_Stammdaten!A$78,IF(BE47&lt;Bewertung_Stammdaten!B$79,Bewertung_Stammdaten!A$79,IF(BE47&lt;Bewertung_Stammdaten!B$80,Bewertung_Stammdaten!A$80,IF(BE47&lt;Bewertung_Stammdaten!B$81,Bewertung_Stammdaten!A$81,IF(BE47&lt;Bewertung_Stammdaten!B$82,Bewertung_Stammdaten!A$82,IF(BE47&lt;Bewertung_Stammdaten!B$83,Bewertung_Stammdaten!A$83,IF(BE47&lt;Bewertung_Stammdaten!B$84,Bewertung_Stammdaten!A$84,IF(BE47&lt;Bewertung_Stammdaten!B$85,Bewertung_Stammdaten!A$85,Bewertung_Stammdaten!A$86)))))))))</f>
        <v>4</v>
      </c>
      <c r="BI47" s="41">
        <f>IF(BF47&lt;Bewertung_Stammdaten!F$77,Bewertung_Stammdaten!E$77,IF(BF47&lt;Bewertung_Stammdaten!F$78,Bewertung_Stammdaten!E$78,IF(BF47&lt;Bewertung_Stammdaten!F$79,Bewertung_Stammdaten!E$79,IF(BF47&lt;Bewertung_Stammdaten!F$80,Bewertung_Stammdaten!E$80,IF(BF47&lt;Bewertung_Stammdaten!F$81,Bewertung_Stammdaten!E$81,IF(BF47&lt;Bewertung_Stammdaten!F$82,Bewertung_Stammdaten!E$82,IF(BF47&lt;Bewertung_Stammdaten!F$83,Bewertung_Stammdaten!E$83,IF(BF47&lt;Bewertung_Stammdaten!F$84,Bewertung_Stammdaten!E$84,IF(BF47&lt;Bewertung_Stammdaten!F$85,Bewertung_Stammdaten!E$85,Bewertung_Stammdaten!E$86)))))))))</f>
        <v>4</v>
      </c>
      <c r="BJ47" s="41">
        <f>IF(BG47&lt;Bewertung_Stammdaten!J$77,Bewertung_Stammdaten!I$77,IF(BG47&lt;Bewertung_Stammdaten!J$78,Bewertung_Stammdaten!I$78,IF(BG47&lt;Bewertung_Stammdaten!J$79,Bewertung_Stammdaten!I$79,IF(BG47&lt;Bewertung_Stammdaten!J$80,Bewertung_Stammdaten!I$80,IF(BG47&lt;Bewertung_Stammdaten!J$81,Bewertung_Stammdaten!I$81,IF(BG47&lt;Bewertung_Stammdaten!J$82,Bewertung_Stammdaten!I$82,IF(BG47&lt;Bewertung_Stammdaten!J$83,Bewertung_Stammdaten!I$83,IF(BG47&lt;Bewertung_Stammdaten!J$84,Bewertung_Stammdaten!I$84,IF(BG47&lt;Bewertung_Stammdaten!J$85,Bewertung_Stammdaten!I$85,Bewertung_Stammdaten!I$86)))))))))</f>
        <v>3</v>
      </c>
      <c r="BK47" s="43"/>
      <c r="BL47" s="12">
        <f ca="1">VLOOKUP(A47,Ausschüttungsquote!A$3:AL$103,37,FALSE)</f>
        <v>0.78336791763008629</v>
      </c>
      <c r="BM47" s="12">
        <f>VLOOKUP(A47,Ausschüttungsquote!A$3:AL$103,19,FALSE)</f>
        <v>0.83059288457440961</v>
      </c>
      <c r="BN47" s="12">
        <f ca="1">VLOOKUP(A47,Ausschüttungsquote!A$3:AL$103,38,FALSE)</f>
        <v>5.7918744192232197E-2</v>
      </c>
      <c r="BO47" s="32">
        <f ca="1">IF(BL47&lt;Bewertung_Stammdaten!B$90,Bewertung_Stammdaten!A$90,IF(BL47&lt;Bewertung_Stammdaten!B$91,Bewertung_Stammdaten!A$91,IF(BL47&lt;Bewertung_Stammdaten!B$92,Bewertung_Stammdaten!A$92,IF(BL47&lt;Bewertung_Stammdaten!B$93,Bewertung_Stammdaten!A$93,IF(BL47&lt;Bewertung_Stammdaten!B$94,Bewertung_Stammdaten!A$94,IF(BL47&lt;Bewertung_Stammdaten!B$95,Bewertung_Stammdaten!A$95,IF(BL47&lt;Bewertung_Stammdaten!B$96,Bewertung_Stammdaten!A$96,IF(BL47&lt;Bewertung_Stammdaten!B$97,Bewertung_Stammdaten!A$97,IF(BL47&lt;Bewertung_Stammdaten!B$98,Bewertung_Stammdaten!A$98,Bewertung_Stammdaten!A$99)))))))))</f>
        <v>2</v>
      </c>
      <c r="BP47" s="41">
        <f>IF(BM47&lt;Bewertung_Stammdaten!F$90,Bewertung_Stammdaten!E$90,IF(BM47&lt;Bewertung_Stammdaten!F$91,Bewertung_Stammdaten!E$91,IF(BM47&lt;Bewertung_Stammdaten!F$92,Bewertung_Stammdaten!E$92,IF(BM47&lt;Bewertung_Stammdaten!F$93,Bewertung_Stammdaten!E$93,IF(BM47&lt;Bewertung_Stammdaten!F$94,Bewertung_Stammdaten!E$94,IF(BM47&lt;Bewertung_Stammdaten!F$95,Bewertung_Stammdaten!E$95,IF(BM47&lt;Bewertung_Stammdaten!F$96,Bewertung_Stammdaten!E$96,IF(BM47&lt;Bewertung_Stammdaten!F$97,Bewertung_Stammdaten!E$97,IF(BM47&lt;Bewertung_Stammdaten!F$98,Bewertung_Stammdaten!E$98,Bewertung_Stammdaten!E$99)))))))))</f>
        <v>1</v>
      </c>
      <c r="BQ47" s="32">
        <f ca="1">IF(BN47&lt;Bewertung_Stammdaten!J$90,Bewertung_Stammdaten!I$90,IF(BN47&lt;Bewertung_Stammdaten!J$91,Bewertung_Stammdaten!I$91,IF(BN47&lt;Bewertung_Stammdaten!J$92,Bewertung_Stammdaten!I$92,IF(BN47&lt;Bewertung_Stammdaten!J$93,Bewertung_Stammdaten!I$93,IF(BN47&lt;Bewertung_Stammdaten!J$94,Bewertung_Stammdaten!I$94,IF(BN47&lt;Bewertung_Stammdaten!J$95,Bewertung_Stammdaten!I$95,IF(BN47&lt;Bewertung_Stammdaten!J$96,Bewertung_Stammdaten!I$96,IF(BN47&lt;Bewertung_Stammdaten!J$97,Bewertung_Stammdaten!I$97,IF(BN47&lt;Bewertung_Stammdaten!J$98,Bewertung_Stammdaten!I$98,Bewertung_Stammdaten!I$99)))))))))</f>
        <v>4</v>
      </c>
    </row>
    <row r="48" spans="1:69">
      <c r="A48" s="38" t="s">
        <v>64</v>
      </c>
      <c r="B48" s="38" t="s">
        <v>65</v>
      </c>
      <c r="C48" s="38" t="s">
        <v>283</v>
      </c>
      <c r="D48" s="32">
        <f t="shared" ca="1" si="11"/>
        <v>129.5</v>
      </c>
      <c r="E48" s="43"/>
      <c r="F48" s="60">
        <v>1</v>
      </c>
      <c r="G48" s="11">
        <f ca="1">VLOOKUP(A48,KGV!A$3:R$103,17,FALSE)</f>
        <v>17.520215633423181</v>
      </c>
      <c r="H48" s="11">
        <f>VLOOKUP(A48,KGV!A$3:R$103,16,FALSE)</f>
        <v>15.342105263157896</v>
      </c>
      <c r="I48" s="12">
        <f ca="1">VLOOKUP(A48,KGV!A$3:R$103,18,FALSE)</f>
        <v>0.14196945809619343</v>
      </c>
      <c r="J48" s="16">
        <f t="shared" ca="1" si="12"/>
        <v>22.761305780173707</v>
      </c>
      <c r="K48" s="12">
        <f t="shared" ca="1" si="13"/>
        <v>0.48358425325317467</v>
      </c>
      <c r="L48" s="11">
        <f ca="1">VLOOKUP(A48,KBV!A$3:R$103,17,FALSE)</f>
        <v>3.0036968576709802</v>
      </c>
      <c r="M48" s="11">
        <f>VLOOKUP(A48,KBV!A$3:R$103,16,FALSE)</f>
        <v>2.4037051548422257</v>
      </c>
      <c r="N48" s="12">
        <f ca="1">VLOOKUP(A48,KBV!A$3:R$103,18,FALSE)</f>
        <v>0.2496111894672608</v>
      </c>
      <c r="O48" s="16">
        <f t="shared" ca="1" si="14"/>
        <v>3.2473173089133782</v>
      </c>
      <c r="P48" s="12">
        <f t="shared" ca="1" si="15"/>
        <v>0.35096324204809792</v>
      </c>
      <c r="Q48" s="32">
        <f ca="1">IF(F48=1,IF(I48&lt;Bewertung_Stammdaten!B$12,Bewertung_Stammdaten!A$12,IF(I48&lt;Bewertung_Stammdaten!B$13,Bewertung_Stammdaten!A$13,IF(I48&lt;Bewertung_Stammdaten!B$14,Bewertung_Stammdaten!A$14,IF(I48&lt;Bewertung_Stammdaten!B$15,Bewertung_Stammdaten!A$15,IF(I48&lt;Bewertung_Stammdaten!B$16,Bewertung_Stammdaten!A$16,IF(I48&lt;Bewertung_Stammdaten!B$17,Bewertung_Stammdaten!A$17,IF(I48&lt;Bewertung_Stammdaten!B$18,Bewertung_Stammdaten!A$18,IF(I48&lt;Bewertung_Stammdaten!B$19,Bewertung_Stammdaten!A$19,IF(I48&lt;Bewertung_Stammdaten!B$20,Bewertung_Stammdaten!A$20,Bewertung_Stammdaten!A$21))))))))),IF(N48&lt;Bewertung_Stammdaten!C$12,Bewertung_Stammdaten!A$12,IF(N48&lt;Bewertung_Stammdaten!C$13,Bewertung_Stammdaten!A$13,IF(N48&lt;Bewertung_Stammdaten!C$14,Bewertung_Stammdaten!A$14,IF(N48&lt;Bewertung_Stammdaten!C$15,Bewertung_Stammdaten!A$15,IF(N48&lt;Bewertung_Stammdaten!C$16,Bewertung_Stammdaten!A$16,IF(N48&lt;Bewertung_Stammdaten!C$17,Bewertung_Stammdaten!A$17,IF(N48&lt;Bewertung_Stammdaten!C$18,Bewertung_Stammdaten!A$18,IF(N48&lt;Bewertung_Stammdaten!C$19,Bewertung_Stammdaten!A$19,IF(N48&lt;Bewertung_Stammdaten!C$20,Bewertung_Stammdaten!A$20,Bewertung_Stammdaten!A$21))))))))))</f>
        <v>24</v>
      </c>
      <c r="R48" s="32">
        <f ca="1">IF(F48=1,IF(K48&lt;Bewertung_Stammdaten!F$12,Bewertung_Stammdaten!E$12,IF(K48&lt;Bewertung_Stammdaten!F$13,Bewertung_Stammdaten!E$13,IF(K48&lt;Bewertung_Stammdaten!F$14,Bewertung_Stammdaten!E$14,IF(K48&lt;Bewertung_Stammdaten!F$15,Bewertung_Stammdaten!E$15,IF(K48&lt;Bewertung_Stammdaten!F$16,Bewertung_Stammdaten!E$16,IF(K48&lt;Bewertung_Stammdaten!F$17,Bewertung_Stammdaten!E$17,IF(K48&lt;Bewertung_Stammdaten!F$18,Bewertung_Stammdaten!E$18,IF(K48&lt;Bewertung_Stammdaten!F$19,Bewertung_Stammdaten!E$19,IF(K48&lt;Bewertung_Stammdaten!F$20,Bewertung_Stammdaten!E$20,Bewertung_Stammdaten!E$21))))))))),IF(P48&lt;Bewertung_Stammdaten!G$12,Bewertung_Stammdaten!E$12,IF(P48&lt;Bewertung_Stammdaten!G$13,Bewertung_Stammdaten!E$13,IF(P48&lt;Bewertung_Stammdaten!G$14,Bewertung_Stammdaten!E$14,IF(P48&lt;Bewertung_Stammdaten!G$15,Bewertung_Stammdaten!E$15,IF(P48&lt;Bewertung_Stammdaten!G$16,Bewertung_Stammdaten!E$16,IF(P48&lt;Bewertung_Stammdaten!G$17,Bewertung_Stammdaten!E$17,IF(P48&lt;Bewertung_Stammdaten!G$18,Bewertung_Stammdaten!E$18,IF(P48&lt;Bewertung_Stammdaten!G$19,Bewertung_Stammdaten!E$19,IF(P48&lt;Bewertung_Stammdaten!G$20,Bewertung_Stammdaten!E$20,Bewertung_Stammdaten!E$21))))))))))</f>
        <v>2.5</v>
      </c>
      <c r="S48" s="43"/>
      <c r="T48" s="11">
        <f ca="1">VLOOKUP(A48,Buchwert_je_Aktie!A$3:AK$103,23,FALSE)</f>
        <v>10.819999999999999</v>
      </c>
      <c r="U48" s="11">
        <f>VLOOKUP(A48,Buchwert_je_Aktie!A$3:AK$103,19,FALSE)</f>
        <v>11.146000000000001</v>
      </c>
      <c r="V48" s="12">
        <f ca="1">VLOOKUP(A48,Buchwert_je_Aktie!A$3:AK$103,24,FALSE)</f>
        <v>-2.9248160775166232E-2</v>
      </c>
      <c r="W48" s="12">
        <f>VLOOKUP(A48,Buchwert_je_Aktie!A$3:AK$103,37,FALSE)</f>
        <v>-7.5022065313327446E-2</v>
      </c>
      <c r="X48" s="16">
        <f t="shared" ca="1" si="16"/>
        <v>10.008261253309795</v>
      </c>
      <c r="Y48" s="12">
        <f t="shared" ca="1" si="17"/>
        <v>-0.10207596866052437</v>
      </c>
      <c r="Z48" s="51">
        <f ca="1">IF(V48&lt;Bewertung_Stammdaten!B$25,Bewertung_Stammdaten!A$25,IF(V48&lt;Bewertung_Stammdaten!B$26,Bewertung_Stammdaten!A$26,IF(V48&lt;Bewertung_Stammdaten!B$27,Bewertung_Stammdaten!A$27,IF(V48&lt;Bewertung_Stammdaten!B$28,Bewertung_Stammdaten!A$28,IF(V48&lt;Bewertung_Stammdaten!B$29,Bewertung_Stammdaten!A$29,IF(V48&lt;Bewertung_Stammdaten!B$30,Bewertung_Stammdaten!A$30,IF(V48&lt;Bewertung_Stammdaten!B$31,Bewertung_Stammdaten!A$31,IF(V48&lt;Bewertung_Stammdaten!B$32,Bewertung_Stammdaten!A$32,IF(V48&lt;Bewertung_Stammdaten!B$33,Bewertung_Stammdaten!A$33,Bewertung_Stammdaten!A$34)))))))))</f>
        <v>3</v>
      </c>
      <c r="AA48" s="51">
        <f>IF(W48&lt;Bewertung_Stammdaten!F$25,Bewertung_Stammdaten!E$25,IF(W48&lt;Bewertung_Stammdaten!F$26,Bewertung_Stammdaten!E$26,IF(W48&lt;Bewertung_Stammdaten!F$27,Bewertung_Stammdaten!E$27,IF(W48&lt;Bewertung_Stammdaten!F$28,Bewertung_Stammdaten!E$28,IF(W48&lt;Bewertung_Stammdaten!F$29,Bewertung_Stammdaten!E$29,IF(W48&lt;Bewertung_Stammdaten!F$30,Bewertung_Stammdaten!E$30,IF(W48&lt;Bewertung_Stammdaten!F$31,Bewertung_Stammdaten!E$31,IF(W48&lt;Bewertung_Stammdaten!F$32,Bewertung_Stammdaten!E$32,IF(W48&lt;Bewertung_Stammdaten!F$33,Bewertung_Stammdaten!E$33,Bewertung_Stammdaten!E$34)))))))))</f>
        <v>9</v>
      </c>
      <c r="AB48" s="51">
        <f ca="1">IF(Y48&lt;Bewertung_Stammdaten!J$25,Bewertung_Stammdaten!I$25,IF(Y48&lt;Bewertung_Stammdaten!J$26,Bewertung_Stammdaten!I$26,IF(Y48&lt;Bewertung_Stammdaten!J$27,Bewertung_Stammdaten!I$27,IF(Y48&lt;Bewertung_Stammdaten!J$28,Bewertung_Stammdaten!I$28,IF(Y48&lt;Bewertung_Stammdaten!J$29,Bewertung_Stammdaten!I$29,IF(Y48&lt;Bewertung_Stammdaten!J$30,Bewertung_Stammdaten!I$30,IF(Y48&lt;Bewertung_Stammdaten!J$31,Bewertung_Stammdaten!I$31,IF(Y48&lt;Bewertung_Stammdaten!J$32,Bewertung_Stammdaten!I$32,IF(Y48&lt;Bewertung_Stammdaten!J$33,Bewertung_Stammdaten!I$33,Bewertung_Stammdaten!I$34)))))))))</f>
        <v>1</v>
      </c>
      <c r="AC48" s="43"/>
      <c r="AD48" s="14">
        <f ca="1">VLOOKUP(A48,Ergebnis_je_Aktie_verwässert!A$3:AK$103,23,FALSE)</f>
        <v>1.855</v>
      </c>
      <c r="AE48" s="14">
        <f>VLOOKUP(A48,Ergebnis_je_Aktie_verwässert!A$3:AK$103,19,FALSE)</f>
        <v>1.5407692307692307</v>
      </c>
      <c r="AF48" s="12">
        <f ca="1">VLOOKUP(A48,Ergebnis_je_Aktie_verwässert!A$3:AK$103,24,FALSE)</f>
        <v>0.20394408387418883</v>
      </c>
      <c r="AG48" s="40">
        <f>VLOOKUP(A48,Ergebnis_je_Aktie_verwässert!A$3:AK$103,37,FALSE)</f>
        <v>-0.23026315789473695</v>
      </c>
      <c r="AH48" s="16">
        <f t="shared" ca="1" si="18"/>
        <v>1.4278618421052629</v>
      </c>
      <c r="AI48" s="12">
        <f t="shared" ca="1" si="19"/>
        <v>-7.3279882807367969E-2</v>
      </c>
      <c r="AJ48" s="32">
        <f ca="1">IF(AF48&lt;Bewertung_Stammdaten!B$38,Bewertung_Stammdaten!A$38,IF(AF48&lt;Bewertung_Stammdaten!B$39,Bewertung_Stammdaten!A$39,IF(AF48&lt;Bewertung_Stammdaten!B$40,Bewertung_Stammdaten!A$40,IF(AF48&lt;Bewertung_Stammdaten!B$41,Bewertung_Stammdaten!A$41,IF(AF48&lt;Bewertung_Stammdaten!B$42,Bewertung_Stammdaten!A$42,IF(AF48&lt;Bewertung_Stammdaten!B$43,Bewertung_Stammdaten!A$43,IF(AF48&lt;Bewertung_Stammdaten!B$44,Bewertung_Stammdaten!A$44,IF(AF48&lt;Bewertung_Stammdaten!B$45,Bewertung_Stammdaten!A$45,IF(AF48&lt;Bewertung_Stammdaten!B$46,Bewertung_Stammdaten!A$46,Bewertung_Stammdaten!A$47)))))))))</f>
        <v>12</v>
      </c>
      <c r="AK48" s="32">
        <f>IF(AG48&lt;Bewertung_Stammdaten!F$38,Bewertung_Stammdaten!E$38,IF(AG48&lt;Bewertung_Stammdaten!F$39,Bewertung_Stammdaten!E$39,IF(AG48&lt;Bewertung_Stammdaten!F$40,Bewertung_Stammdaten!E$40,IF(AG48&lt;Bewertung_Stammdaten!F$41,Bewertung_Stammdaten!E$41,IF(AG48&lt;Bewertung_Stammdaten!F$42,Bewertung_Stammdaten!E$42,IF(AG48&lt;Bewertung_Stammdaten!F$43,Bewertung_Stammdaten!E$43,IF(AG48&lt;Bewertung_Stammdaten!F$44,Bewertung_Stammdaten!E$44,IF(AG48&lt;Bewertung_Stammdaten!F$45,Bewertung_Stammdaten!E$45,IF(AG48&lt;Bewertung_Stammdaten!F$46,Bewertung_Stammdaten!E$46,Bewertung_Stammdaten!E$47)))))))))</f>
        <v>7.5</v>
      </c>
      <c r="AL48" s="32">
        <f ca="1">IF(AI48&lt;Bewertung_Stammdaten!J$38,Bewertung_Stammdaten!I$38,IF(AI48&lt;Bewertung_Stammdaten!J$39,Bewertung_Stammdaten!I$39,IF(AI48&lt;Bewertung_Stammdaten!J$40,Bewertung_Stammdaten!I$40,IF(AI48&lt;Bewertung_Stammdaten!J$41,Bewertung_Stammdaten!I$41,IF(AI48&lt;Bewertung_Stammdaten!J$42,Bewertung_Stammdaten!I$42,IF(AI48&lt;Bewertung_Stammdaten!J$43,Bewertung_Stammdaten!I$43,IF(AI48&lt;Bewertung_Stammdaten!J$44,Bewertung_Stammdaten!I$44,IF(AI48&lt;Bewertung_Stammdaten!J$45,Bewertung_Stammdaten!I$45,IF(AI48&lt;Bewertung_Stammdaten!J$46,Bewertung_Stammdaten!I$46,Bewertung_Stammdaten!I$47)))))))))</f>
        <v>3</v>
      </c>
      <c r="AM48" s="43"/>
      <c r="AN48" s="14">
        <f ca="1">VLOOKUP(A48,Dividende_je_Aktie!A$3:AM$103,24,FALSE)</f>
        <v>1.2109999999999999</v>
      </c>
      <c r="AO48" s="14">
        <f>VLOOKUP(A48,Dividende_je_Aktie!A$3:AM$103,20,FALSE)</f>
        <v>1.0185714285714285</v>
      </c>
      <c r="AP48" s="12">
        <f ca="1">VLOOKUP(A48,Dividende_je_Aktie!A$3:AM$103,25,FALSE)</f>
        <v>0.18892005610098184</v>
      </c>
      <c r="AQ48" s="40">
        <f>VLOOKUP(A48,Dividende_je_Aktie!A$3:AM$103,39,FALSE)</f>
        <v>-0.375</v>
      </c>
      <c r="AR48" s="16">
        <f t="shared" ca="1" si="20"/>
        <v>0.75687499999999996</v>
      </c>
      <c r="AS48" s="12">
        <f t="shared" ca="1" si="21"/>
        <v>-0.25692496493688632</v>
      </c>
      <c r="AT48" s="32">
        <f ca="1">IF(AP48&lt;Bewertung_Stammdaten!B$51,Bewertung_Stammdaten!A$51,IF(AP48&lt;Bewertung_Stammdaten!B$52,Bewertung_Stammdaten!A$52,IF(AP48&lt;Bewertung_Stammdaten!B$53,Bewertung_Stammdaten!A$53,IF(AP48&lt;Bewertung_Stammdaten!B$54,Bewertung_Stammdaten!A$54,IF(AP48&lt;Bewertung_Stammdaten!B$55,Bewertung_Stammdaten!A$55,IF(AP48&lt;Bewertung_Stammdaten!B$56,Bewertung_Stammdaten!A$56,IF(AP48&lt;Bewertung_Stammdaten!B$57,Bewertung_Stammdaten!A$57,IF(AP48&lt;Bewertung_Stammdaten!B$58,Bewertung_Stammdaten!A$58,IF(AP48&lt;Bewertung_Stammdaten!B$59,Bewertung_Stammdaten!A$59,Bewertung_Stammdaten!A$60)))))))))</f>
        <v>8</v>
      </c>
      <c r="AU48" s="32">
        <f>IF(AQ48&lt;Bewertung_Stammdaten!F$51,Bewertung_Stammdaten!E$51,IF(AQ48&lt;Bewertung_Stammdaten!F$52,Bewertung_Stammdaten!E$52,IF(AQ48&lt;Bewertung_Stammdaten!F$53,Bewertung_Stammdaten!E$53,IF(AQ48&lt;Bewertung_Stammdaten!F$54,Bewertung_Stammdaten!E$54,IF(AQ48&lt;Bewertung_Stammdaten!F$55,Bewertung_Stammdaten!E$55,IF(AQ48&lt;Bewertung_Stammdaten!F$56,Bewertung_Stammdaten!E$56,IF(AQ48&lt;Bewertung_Stammdaten!F$57,Bewertung_Stammdaten!E$57,IF(AQ48&lt;Bewertung_Stammdaten!F$58,Bewertung_Stammdaten!E$58,IF(AQ48&lt;Bewertung_Stammdaten!F$59,Bewertung_Stammdaten!E$59,Bewertung_Stammdaten!E$60)))))))))</f>
        <v>6</v>
      </c>
      <c r="AV48" s="32">
        <f ca="1">IF(AS48&lt;Bewertung_Stammdaten!J$51,Bewertung_Stammdaten!I$51,IF(AS48&lt;Bewertung_Stammdaten!J$52,Bewertung_Stammdaten!I$52,IF(AS48&lt;Bewertung_Stammdaten!J$53,Bewertung_Stammdaten!I$53,IF(AS48&lt;Bewertung_Stammdaten!J$54,Bewertung_Stammdaten!I$54,IF(AS48&lt;Bewertung_Stammdaten!J$55,Bewertung_Stammdaten!I$55,IF(AS48&lt;Bewertung_Stammdaten!J$56,Bewertung_Stammdaten!I$56,IF(AS48&lt;Bewertung_Stammdaten!J$57,Bewertung_Stammdaten!I$57,IF(AS48&lt;Bewertung_Stammdaten!J$58,Bewertung_Stammdaten!I$58,IF(AS48&lt;Bewertung_Stammdaten!J$59,Bewertung_Stammdaten!I$59,Bewertung_Stammdaten!I$60)))))))))</f>
        <v>1</v>
      </c>
      <c r="AW48" s="43"/>
      <c r="AX48" s="12">
        <f ca="1">VLOOKUP(A48,Dividendenrendite!A$3:R$103,17,FALSE)</f>
        <v>3.7261538461538457E-2</v>
      </c>
      <c r="AY48" s="12">
        <f>VLOOKUP(A48,Dividendenrendite!A$3:R$103,16,FALSE)</f>
        <v>4.0371671823031634E-2</v>
      </c>
      <c r="AZ48" s="12">
        <f ca="1">VLOOKUP(A48,Dividendenrendite!A$3:R$103,18,FALSE)</f>
        <v>-7.7037517176062997E-2</v>
      </c>
      <c r="BA48" s="32">
        <f ca="1">IF(AX48&lt;Bewertung_Stammdaten!B$64,Bewertung_Stammdaten!A$64,IF(AX48&lt;Bewertung_Stammdaten!B$65,Bewertung_Stammdaten!A$65,IF(AX48&lt;Bewertung_Stammdaten!B$66,Bewertung_Stammdaten!A$66,IF(AX48&lt;Bewertung_Stammdaten!B$67,Bewertung_Stammdaten!A$67,IF(AX48&lt;Bewertung_Stammdaten!B$68,Bewertung_Stammdaten!A$68,IF(AX48&lt;Bewertung_Stammdaten!B$69,Bewertung_Stammdaten!A$69,IF(AX48&lt;Bewertung_Stammdaten!B$70,Bewertung_Stammdaten!A$70,IF(AX48&lt;Bewertung_Stammdaten!B$71,Bewertung_Stammdaten!A$71,IF(AX48&lt;Bewertung_Stammdaten!B$72,Bewertung_Stammdaten!A$72,Bewertung_Stammdaten!A$73)))))))))</f>
        <v>12</v>
      </c>
      <c r="BB48" s="32">
        <f>IF(AY48&lt;Bewertung_Stammdaten!F$64,Bewertung_Stammdaten!E$64,IF(AY48&lt;Bewertung_Stammdaten!F$65,Bewertung_Stammdaten!E$65,IF(AY48&lt;Bewertung_Stammdaten!F$66,Bewertung_Stammdaten!E$66,IF(AY48&lt;Bewertung_Stammdaten!F$67,Bewertung_Stammdaten!E$67,IF(AY48&lt;Bewertung_Stammdaten!F$68,Bewertung_Stammdaten!E$68,IF(AY48&lt;Bewertung_Stammdaten!F$69,Bewertung_Stammdaten!E$69,IF(AY48&lt;Bewertung_Stammdaten!F$70,Bewertung_Stammdaten!E$70,IF(AY48&lt;Bewertung_Stammdaten!F$71,Bewertung_Stammdaten!E$71,IF(AY48&lt;Bewertung_Stammdaten!F$72,Bewertung_Stammdaten!E$72,Bewertung_Stammdaten!E$73)))))))))</f>
        <v>9</v>
      </c>
      <c r="BC48" s="32">
        <f ca="1">IF(AZ48&lt;Bewertung_Stammdaten!J$64,Bewertung_Stammdaten!I$64,IF(AZ48&lt;Bewertung_Stammdaten!J$65,Bewertung_Stammdaten!I$65,IF(AZ48&lt;Bewertung_Stammdaten!J$66,Bewertung_Stammdaten!I$66,IF(AZ48&lt;Bewertung_Stammdaten!J$67,Bewertung_Stammdaten!I$67,IF(AZ48&lt;Bewertung_Stammdaten!J$68,Bewertung_Stammdaten!I$68,IF(AZ48&lt;Bewertung_Stammdaten!J$69,Bewertung_Stammdaten!I$69,IF(AZ48&lt;Bewertung_Stammdaten!J$70,Bewertung_Stammdaten!I$70,IF(AZ48&lt;Bewertung_Stammdaten!J$71,Bewertung_Stammdaten!I$71,IF(AZ48&lt;Bewertung_Stammdaten!J$72,Bewertung_Stammdaten!I$72,Bewertung_Stammdaten!I$73)))))))))</f>
        <v>2</v>
      </c>
      <c r="BD48" s="43"/>
      <c r="BE48" s="12">
        <f>VLOOKUP(A48,Aktien_im_Umlauf_splitbereinigt!A$3:AB$103,28,FALSE)</f>
        <v>-1.843903989826734E-2</v>
      </c>
      <c r="BF48" s="12">
        <f>VLOOKUP(A48,Aktien_im_Umlauf_splitbereinigt!A$3:AA$103,26,FALSE)</f>
        <v>-4.2842030373710226E-2</v>
      </c>
      <c r="BG48" s="12">
        <f>VLOOKUP(A48,Aktien_im_Umlauf_splitbereinigt!A$3:AA$103,27,FALSE)</f>
        <v>-0.56960396747250441</v>
      </c>
      <c r="BH48" s="41">
        <f>IF(BE48&lt;Bewertung_Stammdaten!B$77,Bewertung_Stammdaten!A$77,IF(BE48&lt;Bewertung_Stammdaten!B$78,Bewertung_Stammdaten!A$78,IF(BE48&lt;Bewertung_Stammdaten!B$79,Bewertung_Stammdaten!A$79,IF(BE48&lt;Bewertung_Stammdaten!B$80,Bewertung_Stammdaten!A$80,IF(BE48&lt;Bewertung_Stammdaten!B$81,Bewertung_Stammdaten!A$81,IF(BE48&lt;Bewertung_Stammdaten!B$82,Bewertung_Stammdaten!A$82,IF(BE48&lt;Bewertung_Stammdaten!B$83,Bewertung_Stammdaten!A$83,IF(BE48&lt;Bewertung_Stammdaten!B$84,Bewertung_Stammdaten!A$84,IF(BE48&lt;Bewertung_Stammdaten!B$85,Bewertung_Stammdaten!A$85,Bewertung_Stammdaten!A$86)))))))))</f>
        <v>6</v>
      </c>
      <c r="BI48" s="41">
        <f>IF(BF48&lt;Bewertung_Stammdaten!F$77,Bewertung_Stammdaten!E$77,IF(BF48&lt;Bewertung_Stammdaten!F$78,Bewertung_Stammdaten!E$78,IF(BF48&lt;Bewertung_Stammdaten!F$79,Bewertung_Stammdaten!E$79,IF(BF48&lt;Bewertung_Stammdaten!F$80,Bewertung_Stammdaten!E$80,IF(BF48&lt;Bewertung_Stammdaten!F$81,Bewertung_Stammdaten!E$81,IF(BF48&lt;Bewertung_Stammdaten!F$82,Bewertung_Stammdaten!E$82,IF(BF48&lt;Bewertung_Stammdaten!F$83,Bewertung_Stammdaten!E$83,IF(BF48&lt;Bewertung_Stammdaten!F$84,Bewertung_Stammdaten!E$84,IF(BF48&lt;Bewertung_Stammdaten!F$85,Bewertung_Stammdaten!E$85,Bewertung_Stammdaten!E$86)))))))))</f>
        <v>10</v>
      </c>
      <c r="BJ48" s="41">
        <f>IF(BG48&lt;Bewertung_Stammdaten!J$77,Bewertung_Stammdaten!I$77,IF(BG48&lt;Bewertung_Stammdaten!J$78,Bewertung_Stammdaten!I$78,IF(BG48&lt;Bewertung_Stammdaten!J$79,Bewertung_Stammdaten!I$79,IF(BG48&lt;Bewertung_Stammdaten!J$80,Bewertung_Stammdaten!I$80,IF(BG48&lt;Bewertung_Stammdaten!J$81,Bewertung_Stammdaten!I$81,IF(BG48&lt;Bewertung_Stammdaten!J$82,Bewertung_Stammdaten!I$82,IF(BG48&lt;Bewertung_Stammdaten!J$83,Bewertung_Stammdaten!I$83,IF(BG48&lt;Bewertung_Stammdaten!J$84,Bewertung_Stammdaten!I$84,IF(BG48&lt;Bewertung_Stammdaten!J$85,Bewertung_Stammdaten!I$85,Bewertung_Stammdaten!I$86)))))))))</f>
        <v>1.5</v>
      </c>
      <c r="BK48" s="43"/>
      <c r="BL48" s="12">
        <f ca="1">VLOOKUP(A48,Ausschüttungsquote!A$3:AL$103,37,FALSE)</f>
        <v>0.66164940828402363</v>
      </c>
      <c r="BM48" s="12">
        <f>VLOOKUP(A48,Ausschüttungsquote!A$3:AL$103,19,FALSE)</f>
        <v>1.0166521430029343</v>
      </c>
      <c r="BN48" s="12">
        <f ca="1">VLOOKUP(A48,Ausschüttungsquote!A$3:AL$103,38,FALSE)</f>
        <v>-6.879457698815894E-2</v>
      </c>
      <c r="BO48" s="32">
        <f ca="1">IF(BL48&lt;Bewertung_Stammdaten!B$90,Bewertung_Stammdaten!A$90,IF(BL48&lt;Bewertung_Stammdaten!B$91,Bewertung_Stammdaten!A$91,IF(BL48&lt;Bewertung_Stammdaten!B$92,Bewertung_Stammdaten!A$92,IF(BL48&lt;Bewertung_Stammdaten!B$93,Bewertung_Stammdaten!A$93,IF(BL48&lt;Bewertung_Stammdaten!B$94,Bewertung_Stammdaten!A$94,IF(BL48&lt;Bewertung_Stammdaten!B$95,Bewertung_Stammdaten!A$95,IF(BL48&lt;Bewertung_Stammdaten!B$96,Bewertung_Stammdaten!A$96,IF(BL48&lt;Bewertung_Stammdaten!B$97,Bewertung_Stammdaten!A$97,IF(BL48&lt;Bewertung_Stammdaten!B$98,Bewertung_Stammdaten!A$98,Bewertung_Stammdaten!A$99)))))))))</f>
        <v>4</v>
      </c>
      <c r="BP48" s="41">
        <f>IF(BM48&lt;Bewertung_Stammdaten!F$90,Bewertung_Stammdaten!E$90,IF(BM48&lt;Bewertung_Stammdaten!F$91,Bewertung_Stammdaten!E$91,IF(BM48&lt;Bewertung_Stammdaten!F$92,Bewertung_Stammdaten!E$92,IF(BM48&lt;Bewertung_Stammdaten!F$93,Bewertung_Stammdaten!E$93,IF(BM48&lt;Bewertung_Stammdaten!F$94,Bewertung_Stammdaten!E$94,IF(BM48&lt;Bewertung_Stammdaten!F$95,Bewertung_Stammdaten!E$95,IF(BM48&lt;Bewertung_Stammdaten!F$96,Bewertung_Stammdaten!E$96,IF(BM48&lt;Bewertung_Stammdaten!F$97,Bewertung_Stammdaten!E$97,IF(BM48&lt;Bewertung_Stammdaten!F$98,Bewertung_Stammdaten!E$98,Bewertung_Stammdaten!E$99)))))))))</f>
        <v>1</v>
      </c>
      <c r="BQ48" s="32">
        <f ca="1">IF(BN48&lt;Bewertung_Stammdaten!J$90,Bewertung_Stammdaten!I$90,IF(BN48&lt;Bewertung_Stammdaten!J$91,Bewertung_Stammdaten!I$91,IF(BN48&lt;Bewertung_Stammdaten!J$92,Bewertung_Stammdaten!I$92,IF(BN48&lt;Bewertung_Stammdaten!J$93,Bewertung_Stammdaten!I$93,IF(BN48&lt;Bewertung_Stammdaten!J$94,Bewertung_Stammdaten!I$94,IF(BN48&lt;Bewertung_Stammdaten!J$95,Bewertung_Stammdaten!I$95,IF(BN48&lt;Bewertung_Stammdaten!J$96,Bewertung_Stammdaten!I$96,IF(BN48&lt;Bewertung_Stammdaten!J$97,Bewertung_Stammdaten!I$97,IF(BN48&lt;Bewertung_Stammdaten!J$98,Bewertung_Stammdaten!I$98,Bewertung_Stammdaten!I$99)))))))))</f>
        <v>7</v>
      </c>
    </row>
    <row r="49" spans="1:69">
      <c r="A49" s="38" t="s">
        <v>50</v>
      </c>
      <c r="B49" s="38" t="s">
        <v>51</v>
      </c>
      <c r="C49" s="38" t="s">
        <v>283</v>
      </c>
      <c r="D49" s="32">
        <f t="shared" ca="1" si="11"/>
        <v>119.5</v>
      </c>
      <c r="E49" s="43"/>
      <c r="F49" s="60">
        <v>1</v>
      </c>
      <c r="G49" s="11">
        <f ca="1">VLOOKUP(A49,KGV!A$3:R$103,17,FALSE)</f>
        <v>22.817403708987158</v>
      </c>
      <c r="H49" s="11">
        <f>VLOOKUP(A49,KGV!A$3:R$103,16,FALSE)</f>
        <v>16.051771117166211</v>
      </c>
      <c r="I49" s="12">
        <f ca="1">VLOOKUP(A49,KGV!A$3:R$103,18,FALSE)</f>
        <v>0.42148822970604094</v>
      </c>
      <c r="J49" s="16">
        <f t="shared" ca="1" si="12"/>
        <v>24.558490738990191</v>
      </c>
      <c r="K49" s="12">
        <f t="shared" ca="1" si="13"/>
        <v>0.5299552030571042</v>
      </c>
      <c r="L49" s="11">
        <f ca="1">VLOOKUP(A49,KBV!A$3:R$103,17,FALSE)</f>
        <v>-39.311827956989248</v>
      </c>
      <c r="M49" s="11">
        <f>VLOOKUP(A49,KBV!A$3:R$103,16,FALSE)</f>
        <v>4.9084451460142065</v>
      </c>
      <c r="N49" s="12">
        <f ca="1">VLOOKUP(A49,KBV!A$3:R$103,18,FALSE)</f>
        <v>-9.0090184951769388</v>
      </c>
      <c r="O49" s="16">
        <f t="shared" ca="1" si="14"/>
        <v>116.44639947865753</v>
      </c>
      <c r="P49" s="12">
        <f t="shared" ca="1" si="15"/>
        <v>22.723683572834716</v>
      </c>
      <c r="Q49" s="32">
        <f ca="1">IF(F49=1,IF(I49&lt;Bewertung_Stammdaten!B$12,Bewertung_Stammdaten!A$12,IF(I49&lt;Bewertung_Stammdaten!B$13,Bewertung_Stammdaten!A$13,IF(I49&lt;Bewertung_Stammdaten!B$14,Bewertung_Stammdaten!A$14,IF(I49&lt;Bewertung_Stammdaten!B$15,Bewertung_Stammdaten!A$15,IF(I49&lt;Bewertung_Stammdaten!B$16,Bewertung_Stammdaten!A$16,IF(I49&lt;Bewertung_Stammdaten!B$17,Bewertung_Stammdaten!A$17,IF(I49&lt;Bewertung_Stammdaten!B$18,Bewertung_Stammdaten!A$18,IF(I49&lt;Bewertung_Stammdaten!B$19,Bewertung_Stammdaten!A$19,IF(I49&lt;Bewertung_Stammdaten!B$20,Bewertung_Stammdaten!A$20,Bewertung_Stammdaten!A$21))))))))),IF(N49&lt;Bewertung_Stammdaten!C$12,Bewertung_Stammdaten!A$12,IF(N49&lt;Bewertung_Stammdaten!C$13,Bewertung_Stammdaten!A$13,IF(N49&lt;Bewertung_Stammdaten!C$14,Bewertung_Stammdaten!A$14,IF(N49&lt;Bewertung_Stammdaten!C$15,Bewertung_Stammdaten!A$15,IF(N49&lt;Bewertung_Stammdaten!C$16,Bewertung_Stammdaten!A$16,IF(N49&lt;Bewertung_Stammdaten!C$17,Bewertung_Stammdaten!A$17,IF(N49&lt;Bewertung_Stammdaten!C$18,Bewertung_Stammdaten!A$18,IF(N49&lt;Bewertung_Stammdaten!C$19,Bewertung_Stammdaten!A$19,IF(N49&lt;Bewertung_Stammdaten!C$20,Bewertung_Stammdaten!A$20,Bewertung_Stammdaten!A$21))))))))))</f>
        <v>6</v>
      </c>
      <c r="R49" s="32">
        <f ca="1">IF(F49=1,IF(K49&lt;Bewertung_Stammdaten!F$12,Bewertung_Stammdaten!E$12,IF(K49&lt;Bewertung_Stammdaten!F$13,Bewertung_Stammdaten!E$13,IF(K49&lt;Bewertung_Stammdaten!F$14,Bewertung_Stammdaten!E$14,IF(K49&lt;Bewertung_Stammdaten!F$15,Bewertung_Stammdaten!E$15,IF(K49&lt;Bewertung_Stammdaten!F$16,Bewertung_Stammdaten!E$16,IF(K49&lt;Bewertung_Stammdaten!F$17,Bewertung_Stammdaten!E$17,IF(K49&lt;Bewertung_Stammdaten!F$18,Bewertung_Stammdaten!E$18,IF(K49&lt;Bewertung_Stammdaten!F$19,Bewertung_Stammdaten!E$19,IF(K49&lt;Bewertung_Stammdaten!F$20,Bewertung_Stammdaten!E$20,Bewertung_Stammdaten!E$21))))))))),IF(P49&lt;Bewertung_Stammdaten!G$12,Bewertung_Stammdaten!E$12,IF(P49&lt;Bewertung_Stammdaten!G$13,Bewertung_Stammdaten!E$13,IF(P49&lt;Bewertung_Stammdaten!G$14,Bewertung_Stammdaten!E$14,IF(P49&lt;Bewertung_Stammdaten!G$15,Bewertung_Stammdaten!E$15,IF(P49&lt;Bewertung_Stammdaten!G$16,Bewertung_Stammdaten!E$16,IF(P49&lt;Bewertung_Stammdaten!G$17,Bewertung_Stammdaten!E$17,IF(P49&lt;Bewertung_Stammdaten!G$18,Bewertung_Stammdaten!E$18,IF(P49&lt;Bewertung_Stammdaten!G$19,Bewertung_Stammdaten!E$19,IF(P49&lt;Bewertung_Stammdaten!G$20,Bewertung_Stammdaten!E$20,Bewertung_Stammdaten!E$21))))))))))</f>
        <v>2.5</v>
      </c>
      <c r="S49" s="43"/>
      <c r="T49" s="11">
        <f ca="1">VLOOKUP(A49,Buchwert_je_Aktie!A$3:AK$103,23,FALSE)</f>
        <v>-3.2549999999999999</v>
      </c>
      <c r="U49" s="11">
        <f>VLOOKUP(A49,Buchwert_je_Aktie!A$3:AK$103,19,FALSE)</f>
        <v>9.2453846153846158</v>
      </c>
      <c r="V49" s="12">
        <f ca="1">VLOOKUP(A49,Buchwert_je_Aktie!A$3:AK$103,24,FALSE)</f>
        <v>-1.3520675596971461</v>
      </c>
      <c r="W49" s="12">
        <f>VLOOKUP(A49,Buchwert_je_Aktie!A$3:AK$103,37,FALSE)</f>
        <v>-1.3375959079283888</v>
      </c>
      <c r="X49" s="16">
        <f t="shared" ca="1" si="16"/>
        <v>-1.0988746803069054</v>
      </c>
      <c r="Y49" s="12">
        <f t="shared" ca="1" si="17"/>
        <v>-1.1188565674680904</v>
      </c>
      <c r="Z49" s="51">
        <f ca="1">IF(V49&lt;Bewertung_Stammdaten!B$25,Bewertung_Stammdaten!A$25,IF(V49&lt;Bewertung_Stammdaten!B$26,Bewertung_Stammdaten!A$26,IF(V49&lt;Bewertung_Stammdaten!B$27,Bewertung_Stammdaten!A$27,IF(V49&lt;Bewertung_Stammdaten!B$28,Bewertung_Stammdaten!A$28,IF(V49&lt;Bewertung_Stammdaten!B$29,Bewertung_Stammdaten!A$29,IF(V49&lt;Bewertung_Stammdaten!B$30,Bewertung_Stammdaten!A$30,IF(V49&lt;Bewertung_Stammdaten!B$31,Bewertung_Stammdaten!A$31,IF(V49&lt;Bewertung_Stammdaten!B$32,Bewertung_Stammdaten!A$32,IF(V49&lt;Bewertung_Stammdaten!B$33,Bewertung_Stammdaten!A$33,Bewertung_Stammdaten!A$34)))))))))</f>
        <v>1.5</v>
      </c>
      <c r="AA49" s="51">
        <f>IF(W49&lt;Bewertung_Stammdaten!F$25,Bewertung_Stammdaten!E$25,IF(W49&lt;Bewertung_Stammdaten!F$26,Bewertung_Stammdaten!E$26,IF(W49&lt;Bewertung_Stammdaten!F$27,Bewertung_Stammdaten!E$27,IF(W49&lt;Bewertung_Stammdaten!F$28,Bewertung_Stammdaten!E$28,IF(W49&lt;Bewertung_Stammdaten!F$29,Bewertung_Stammdaten!E$29,IF(W49&lt;Bewertung_Stammdaten!F$30,Bewertung_Stammdaten!E$30,IF(W49&lt;Bewertung_Stammdaten!F$31,Bewertung_Stammdaten!E$31,IF(W49&lt;Bewertung_Stammdaten!F$32,Bewertung_Stammdaten!E$32,IF(W49&lt;Bewertung_Stammdaten!F$33,Bewertung_Stammdaten!E$33,Bewertung_Stammdaten!E$34)))))))))</f>
        <v>1.5</v>
      </c>
      <c r="AB49" s="51">
        <f ca="1">IF(Y49&lt;Bewertung_Stammdaten!J$25,Bewertung_Stammdaten!I$25,IF(Y49&lt;Bewertung_Stammdaten!J$26,Bewertung_Stammdaten!I$26,IF(Y49&lt;Bewertung_Stammdaten!J$27,Bewertung_Stammdaten!I$27,IF(Y49&lt;Bewertung_Stammdaten!J$28,Bewertung_Stammdaten!I$28,IF(Y49&lt;Bewertung_Stammdaten!J$29,Bewertung_Stammdaten!I$29,IF(Y49&lt;Bewertung_Stammdaten!J$30,Bewertung_Stammdaten!I$30,IF(Y49&lt;Bewertung_Stammdaten!J$31,Bewertung_Stammdaten!I$31,IF(Y49&lt;Bewertung_Stammdaten!J$32,Bewertung_Stammdaten!I$32,IF(Y49&lt;Bewertung_Stammdaten!J$33,Bewertung_Stammdaten!I$33,Bewertung_Stammdaten!I$34)))))))))</f>
        <v>1</v>
      </c>
      <c r="AC49" s="43"/>
      <c r="AD49" s="14">
        <f ca="1">VLOOKUP(A49,Ergebnis_je_Aktie_verwässert!A$3:AK$103,23,FALSE)</f>
        <v>5.6080000000000005</v>
      </c>
      <c r="AE49" s="14">
        <f>VLOOKUP(A49,Ergebnis_je_Aktie_verwässert!A$3:AK$103,19,FALSE)</f>
        <v>4.8292307692307697</v>
      </c>
      <c r="AF49" s="12">
        <f ca="1">VLOOKUP(A49,Ergebnis_je_Aktie_verwässert!A$3:AK$103,24,FALSE)</f>
        <v>0.16126154826377825</v>
      </c>
      <c r="AG49" s="40">
        <f>VLOOKUP(A49,Ergebnis_je_Aktie_verwässert!A$3:AK$103,37,FALSE)</f>
        <v>-7.0895522388059629E-2</v>
      </c>
      <c r="AH49" s="16">
        <f t="shared" ca="1" si="18"/>
        <v>5.2104179104477621</v>
      </c>
      <c r="AI49" s="12">
        <f t="shared" ca="1" si="19"/>
        <v>7.8933304170450747E-2</v>
      </c>
      <c r="AJ49" s="32">
        <f ca="1">IF(AF49&lt;Bewertung_Stammdaten!B$38,Bewertung_Stammdaten!A$38,IF(AF49&lt;Bewertung_Stammdaten!B$39,Bewertung_Stammdaten!A$39,IF(AF49&lt;Bewertung_Stammdaten!B$40,Bewertung_Stammdaten!A$40,IF(AF49&lt;Bewertung_Stammdaten!B$41,Bewertung_Stammdaten!A$41,IF(AF49&lt;Bewertung_Stammdaten!B$42,Bewertung_Stammdaten!A$42,IF(AF49&lt;Bewertung_Stammdaten!B$43,Bewertung_Stammdaten!A$43,IF(AF49&lt;Bewertung_Stammdaten!B$44,Bewertung_Stammdaten!A$44,IF(AF49&lt;Bewertung_Stammdaten!B$45,Bewertung_Stammdaten!A$45,IF(AF49&lt;Bewertung_Stammdaten!B$46,Bewertung_Stammdaten!A$46,Bewertung_Stammdaten!A$47)))))))))</f>
        <v>10</v>
      </c>
      <c r="AK49" s="32">
        <f>IF(AG49&lt;Bewertung_Stammdaten!F$38,Bewertung_Stammdaten!E$38,IF(AG49&lt;Bewertung_Stammdaten!F$39,Bewertung_Stammdaten!E$39,IF(AG49&lt;Bewertung_Stammdaten!F$40,Bewertung_Stammdaten!E$40,IF(AG49&lt;Bewertung_Stammdaten!F$41,Bewertung_Stammdaten!E$41,IF(AG49&lt;Bewertung_Stammdaten!F$42,Bewertung_Stammdaten!E$42,IF(AG49&lt;Bewertung_Stammdaten!F$43,Bewertung_Stammdaten!E$43,IF(AG49&lt;Bewertung_Stammdaten!F$44,Bewertung_Stammdaten!E$44,IF(AG49&lt;Bewertung_Stammdaten!F$45,Bewertung_Stammdaten!E$45,IF(AG49&lt;Bewertung_Stammdaten!F$46,Bewertung_Stammdaten!E$46,Bewertung_Stammdaten!E$47)))))))))</f>
        <v>10.5</v>
      </c>
      <c r="AL49" s="32">
        <f ca="1">IF(AI49&lt;Bewertung_Stammdaten!J$38,Bewertung_Stammdaten!I$38,IF(AI49&lt;Bewertung_Stammdaten!J$39,Bewertung_Stammdaten!I$39,IF(AI49&lt;Bewertung_Stammdaten!J$40,Bewertung_Stammdaten!I$40,IF(AI49&lt;Bewertung_Stammdaten!J$41,Bewertung_Stammdaten!I$41,IF(AI49&lt;Bewertung_Stammdaten!J$42,Bewertung_Stammdaten!I$42,IF(AI49&lt;Bewertung_Stammdaten!J$43,Bewertung_Stammdaten!I$43,IF(AI49&lt;Bewertung_Stammdaten!J$44,Bewertung_Stammdaten!I$44,IF(AI49&lt;Bewertung_Stammdaten!J$45,Bewertung_Stammdaten!I$45,IF(AI49&lt;Bewertung_Stammdaten!J$46,Bewertung_Stammdaten!I$46,Bewertung_Stammdaten!I$47)))))))))</f>
        <v>5</v>
      </c>
      <c r="AM49" s="43"/>
      <c r="AN49" s="14">
        <f ca="1">VLOOKUP(A49,Dividende_je_Aktie!A$3:AM$103,24,FALSE)</f>
        <v>3.6829999999999998</v>
      </c>
      <c r="AO49" s="14">
        <f>VLOOKUP(A49,Dividende_je_Aktie!A$3:AM$103,20,FALSE)</f>
        <v>2.5571428571428574</v>
      </c>
      <c r="AP49" s="12">
        <f ca="1">VLOOKUP(A49,Dividende_je_Aktie!A$3:AM$103,25,FALSE)</f>
        <v>0.44027932960893845</v>
      </c>
      <c r="AQ49" s="40">
        <f>VLOOKUP(A49,Dividende_je_Aktie!A$3:AM$103,39,FALSE)</f>
        <v>4.4386422976501194E-2</v>
      </c>
      <c r="AR49" s="16">
        <f t="shared" ca="1" si="20"/>
        <v>3.6829999999999998</v>
      </c>
      <c r="AS49" s="12">
        <f t="shared" ca="1" si="21"/>
        <v>0.44027932960893845</v>
      </c>
      <c r="AT49" s="32">
        <f ca="1">IF(AP49&lt;Bewertung_Stammdaten!B$51,Bewertung_Stammdaten!A$51,IF(AP49&lt;Bewertung_Stammdaten!B$52,Bewertung_Stammdaten!A$52,IF(AP49&lt;Bewertung_Stammdaten!B$53,Bewertung_Stammdaten!A$53,IF(AP49&lt;Bewertung_Stammdaten!B$54,Bewertung_Stammdaten!A$54,IF(AP49&lt;Bewertung_Stammdaten!B$55,Bewertung_Stammdaten!A$55,IF(AP49&lt;Bewertung_Stammdaten!B$56,Bewertung_Stammdaten!A$56,IF(AP49&lt;Bewertung_Stammdaten!B$57,Bewertung_Stammdaten!A$57,IF(AP49&lt;Bewertung_Stammdaten!B$58,Bewertung_Stammdaten!A$58,IF(AP49&lt;Bewertung_Stammdaten!B$59,Bewertung_Stammdaten!A$59,Bewertung_Stammdaten!A$60)))))))))</f>
        <v>14</v>
      </c>
      <c r="AU49" s="32">
        <f>IF(AQ49&lt;Bewertung_Stammdaten!F$51,Bewertung_Stammdaten!E$51,IF(AQ49&lt;Bewertung_Stammdaten!F$52,Bewertung_Stammdaten!E$52,IF(AQ49&lt;Bewertung_Stammdaten!F$53,Bewertung_Stammdaten!E$53,IF(AQ49&lt;Bewertung_Stammdaten!F$54,Bewertung_Stammdaten!E$54,IF(AQ49&lt;Bewertung_Stammdaten!F$55,Bewertung_Stammdaten!E$55,IF(AQ49&lt;Bewertung_Stammdaten!F$56,Bewertung_Stammdaten!E$56,IF(AQ49&lt;Bewertung_Stammdaten!F$57,Bewertung_Stammdaten!E$57,IF(AQ49&lt;Bewertung_Stammdaten!F$58,Bewertung_Stammdaten!E$58,IF(AQ49&lt;Bewertung_Stammdaten!F$59,Bewertung_Stammdaten!E$59,Bewertung_Stammdaten!E$60)))))))))</f>
        <v>12</v>
      </c>
      <c r="AV49" s="32">
        <f ca="1">IF(AS49&lt;Bewertung_Stammdaten!J$51,Bewertung_Stammdaten!I$51,IF(AS49&lt;Bewertung_Stammdaten!J$52,Bewertung_Stammdaten!I$52,IF(AS49&lt;Bewertung_Stammdaten!J$53,Bewertung_Stammdaten!I$53,IF(AS49&lt;Bewertung_Stammdaten!J$54,Bewertung_Stammdaten!I$54,IF(AS49&lt;Bewertung_Stammdaten!J$55,Bewertung_Stammdaten!I$55,IF(AS49&lt;Bewertung_Stammdaten!J$56,Bewertung_Stammdaten!I$56,IF(AS49&lt;Bewertung_Stammdaten!J$57,Bewertung_Stammdaten!I$57,IF(AS49&lt;Bewertung_Stammdaten!J$58,Bewertung_Stammdaten!I$58,IF(AS49&lt;Bewertung_Stammdaten!J$59,Bewertung_Stammdaten!I$59,Bewertung_Stammdaten!I$60)))))))))</f>
        <v>8</v>
      </c>
      <c r="AW49" s="43"/>
      <c r="AX49" s="12">
        <f ca="1">VLOOKUP(A49,Dividendenrendite!A$3:R$103,17,FALSE)</f>
        <v>2.8782432010003127E-2</v>
      </c>
      <c r="AY49" s="12">
        <f>VLOOKUP(A49,Dividendenrendite!A$3:R$103,16,FALSE)</f>
        <v>2.835315206055828E-2</v>
      </c>
      <c r="AZ49" s="12">
        <f ca="1">VLOOKUP(A49,Dividendenrendite!A$3:R$103,18,FALSE)</f>
        <v>1.5140466517725049E-2</v>
      </c>
      <c r="BA49" s="32">
        <f ca="1">IF(AX49&lt;Bewertung_Stammdaten!B$64,Bewertung_Stammdaten!A$64,IF(AX49&lt;Bewertung_Stammdaten!B$65,Bewertung_Stammdaten!A$65,IF(AX49&lt;Bewertung_Stammdaten!B$66,Bewertung_Stammdaten!A$66,IF(AX49&lt;Bewertung_Stammdaten!B$67,Bewertung_Stammdaten!A$67,IF(AX49&lt;Bewertung_Stammdaten!B$68,Bewertung_Stammdaten!A$68,IF(AX49&lt;Bewertung_Stammdaten!B$69,Bewertung_Stammdaten!A$69,IF(AX49&lt;Bewertung_Stammdaten!B$70,Bewertung_Stammdaten!A$70,IF(AX49&lt;Bewertung_Stammdaten!B$71,Bewertung_Stammdaten!A$71,IF(AX49&lt;Bewertung_Stammdaten!B$72,Bewertung_Stammdaten!A$72,Bewertung_Stammdaten!A$73)))))))))</f>
        <v>9</v>
      </c>
      <c r="BB49" s="32">
        <f>IF(AY49&lt;Bewertung_Stammdaten!F$64,Bewertung_Stammdaten!E$64,IF(AY49&lt;Bewertung_Stammdaten!F$65,Bewertung_Stammdaten!E$65,IF(AY49&lt;Bewertung_Stammdaten!F$66,Bewertung_Stammdaten!E$66,IF(AY49&lt;Bewertung_Stammdaten!F$67,Bewertung_Stammdaten!E$67,IF(AY49&lt;Bewertung_Stammdaten!F$68,Bewertung_Stammdaten!E$68,IF(AY49&lt;Bewertung_Stammdaten!F$69,Bewertung_Stammdaten!E$69,IF(AY49&lt;Bewertung_Stammdaten!F$70,Bewertung_Stammdaten!E$70,IF(AY49&lt;Bewertung_Stammdaten!F$71,Bewertung_Stammdaten!E$71,IF(AY49&lt;Bewertung_Stammdaten!F$72,Bewertung_Stammdaten!E$72,Bewertung_Stammdaten!E$73)))))))))</f>
        <v>6</v>
      </c>
      <c r="BC49" s="32">
        <f ca="1">IF(AZ49&lt;Bewertung_Stammdaten!J$64,Bewertung_Stammdaten!I$64,IF(AZ49&lt;Bewertung_Stammdaten!J$65,Bewertung_Stammdaten!I$65,IF(AZ49&lt;Bewertung_Stammdaten!J$66,Bewertung_Stammdaten!I$66,IF(AZ49&lt;Bewertung_Stammdaten!J$67,Bewertung_Stammdaten!I$67,IF(AZ49&lt;Bewertung_Stammdaten!J$68,Bewertung_Stammdaten!I$68,IF(AZ49&lt;Bewertung_Stammdaten!J$69,Bewertung_Stammdaten!I$69,IF(AZ49&lt;Bewertung_Stammdaten!J$70,Bewertung_Stammdaten!I$70,IF(AZ49&lt;Bewertung_Stammdaten!J$71,Bewertung_Stammdaten!I$71,IF(AZ49&lt;Bewertung_Stammdaten!J$72,Bewertung_Stammdaten!I$72,Bewertung_Stammdaten!I$73)))))))))</f>
        <v>3</v>
      </c>
      <c r="BD49" s="43"/>
      <c r="BE49" s="12">
        <f>VLOOKUP(A49,Aktien_im_Umlauf_splitbereinigt!A$3:AB$103,28,FALSE)</f>
        <v>-5.9009242912036464E-2</v>
      </c>
      <c r="BF49" s="12">
        <f>VLOOKUP(A49,Aktien_im_Umlauf_splitbereinigt!A$3:AA$103,26,FALSE)</f>
        <v>-3.2535387503139987E-2</v>
      </c>
      <c r="BG49" s="12">
        <f>VLOOKUP(A49,Aktien_im_Umlauf_splitbereinigt!A$3:AA$103,27,FALSE)</f>
        <v>0.81369417857222337</v>
      </c>
      <c r="BH49" s="41">
        <f>IF(BE49&lt;Bewertung_Stammdaten!B$77,Bewertung_Stammdaten!A$77,IF(BE49&lt;Bewertung_Stammdaten!B$78,Bewertung_Stammdaten!A$78,IF(BE49&lt;Bewertung_Stammdaten!B$79,Bewertung_Stammdaten!A$79,IF(BE49&lt;Bewertung_Stammdaten!B$80,Bewertung_Stammdaten!A$80,IF(BE49&lt;Bewertung_Stammdaten!B$81,Bewertung_Stammdaten!A$81,IF(BE49&lt;Bewertung_Stammdaten!B$82,Bewertung_Stammdaten!A$82,IF(BE49&lt;Bewertung_Stammdaten!B$83,Bewertung_Stammdaten!A$83,IF(BE49&lt;Bewertung_Stammdaten!B$84,Bewertung_Stammdaten!A$84,IF(BE49&lt;Bewertung_Stammdaten!B$85,Bewertung_Stammdaten!A$85,Bewertung_Stammdaten!A$86)))))))))</f>
        <v>10</v>
      </c>
      <c r="BI49" s="41">
        <f>IF(BF49&lt;Bewertung_Stammdaten!F$77,Bewertung_Stammdaten!E$77,IF(BF49&lt;Bewertung_Stammdaten!F$78,Bewertung_Stammdaten!E$78,IF(BF49&lt;Bewertung_Stammdaten!F$79,Bewertung_Stammdaten!E$79,IF(BF49&lt;Bewertung_Stammdaten!F$80,Bewertung_Stammdaten!E$80,IF(BF49&lt;Bewertung_Stammdaten!F$81,Bewertung_Stammdaten!E$81,IF(BF49&lt;Bewertung_Stammdaten!F$82,Bewertung_Stammdaten!E$82,IF(BF49&lt;Bewertung_Stammdaten!F$83,Bewertung_Stammdaten!E$83,IF(BF49&lt;Bewertung_Stammdaten!F$84,Bewertung_Stammdaten!E$84,IF(BF49&lt;Bewertung_Stammdaten!F$85,Bewertung_Stammdaten!E$85,Bewertung_Stammdaten!E$86)))))))))</f>
        <v>9</v>
      </c>
      <c r="BJ49" s="41">
        <f>IF(BG49&lt;Bewertung_Stammdaten!J$77,Bewertung_Stammdaten!I$77,IF(BG49&lt;Bewertung_Stammdaten!J$78,Bewertung_Stammdaten!I$78,IF(BG49&lt;Bewertung_Stammdaten!J$79,Bewertung_Stammdaten!I$79,IF(BG49&lt;Bewertung_Stammdaten!J$80,Bewertung_Stammdaten!I$80,IF(BG49&lt;Bewertung_Stammdaten!J$81,Bewertung_Stammdaten!I$81,IF(BG49&lt;Bewertung_Stammdaten!J$82,Bewertung_Stammdaten!I$82,IF(BG49&lt;Bewertung_Stammdaten!J$83,Bewertung_Stammdaten!I$83,IF(BG49&lt;Bewertung_Stammdaten!J$84,Bewertung_Stammdaten!I$84,IF(BG49&lt;Bewertung_Stammdaten!J$85,Bewertung_Stammdaten!I$85,Bewertung_Stammdaten!I$86)))))))))</f>
        <v>4.5</v>
      </c>
      <c r="BK49" s="43"/>
      <c r="BL49" s="12">
        <f ca="1">VLOOKUP(A49,Ausschüttungsquote!A$3:AL$103,37,FALSE)</f>
        <v>0.65768346493618801</v>
      </c>
      <c r="BM49" s="12">
        <f>VLOOKUP(A49,Ausschüttungsquote!A$3:AL$103,19,FALSE)</f>
        <v>1.0099358105440703</v>
      </c>
      <c r="BN49" s="12">
        <f ca="1">VLOOKUP(A49,Ausschüttungsquote!A$3:AL$103,38,FALSE)</f>
        <v>0.20825208608368229</v>
      </c>
      <c r="BO49" s="32">
        <f ca="1">IF(BL49&lt;Bewertung_Stammdaten!B$90,Bewertung_Stammdaten!A$90,IF(BL49&lt;Bewertung_Stammdaten!B$91,Bewertung_Stammdaten!A$91,IF(BL49&lt;Bewertung_Stammdaten!B$92,Bewertung_Stammdaten!A$92,IF(BL49&lt;Bewertung_Stammdaten!B$93,Bewertung_Stammdaten!A$93,IF(BL49&lt;Bewertung_Stammdaten!B$94,Bewertung_Stammdaten!A$94,IF(BL49&lt;Bewertung_Stammdaten!B$95,Bewertung_Stammdaten!A$95,IF(BL49&lt;Bewertung_Stammdaten!B$96,Bewertung_Stammdaten!A$96,IF(BL49&lt;Bewertung_Stammdaten!B$97,Bewertung_Stammdaten!A$97,IF(BL49&lt;Bewertung_Stammdaten!B$98,Bewertung_Stammdaten!A$98,Bewertung_Stammdaten!A$99)))))))))</f>
        <v>4</v>
      </c>
      <c r="BP49" s="41">
        <f>IF(BM49&lt;Bewertung_Stammdaten!F$90,Bewertung_Stammdaten!E$90,IF(BM49&lt;Bewertung_Stammdaten!F$91,Bewertung_Stammdaten!E$91,IF(BM49&lt;Bewertung_Stammdaten!F$92,Bewertung_Stammdaten!E$92,IF(BM49&lt;Bewertung_Stammdaten!F$93,Bewertung_Stammdaten!E$93,IF(BM49&lt;Bewertung_Stammdaten!F$94,Bewertung_Stammdaten!E$94,IF(BM49&lt;Bewertung_Stammdaten!F$95,Bewertung_Stammdaten!E$95,IF(BM49&lt;Bewertung_Stammdaten!F$96,Bewertung_Stammdaten!E$96,IF(BM49&lt;Bewertung_Stammdaten!F$97,Bewertung_Stammdaten!E$97,IF(BM49&lt;Bewertung_Stammdaten!F$98,Bewertung_Stammdaten!E$98,Bewertung_Stammdaten!E$99)))))))))</f>
        <v>1</v>
      </c>
      <c r="BQ49" s="32">
        <f ca="1">IF(BN49&lt;Bewertung_Stammdaten!J$90,Bewertung_Stammdaten!I$90,IF(BN49&lt;Bewertung_Stammdaten!J$91,Bewertung_Stammdaten!I$91,IF(BN49&lt;Bewertung_Stammdaten!J$92,Bewertung_Stammdaten!I$92,IF(BN49&lt;Bewertung_Stammdaten!J$93,Bewertung_Stammdaten!I$93,IF(BN49&lt;Bewertung_Stammdaten!J$94,Bewertung_Stammdaten!I$94,IF(BN49&lt;Bewertung_Stammdaten!J$95,Bewertung_Stammdaten!I$95,IF(BN49&lt;Bewertung_Stammdaten!J$96,Bewertung_Stammdaten!I$96,IF(BN49&lt;Bewertung_Stammdaten!J$97,Bewertung_Stammdaten!I$97,IF(BN49&lt;Bewertung_Stammdaten!J$98,Bewertung_Stammdaten!I$98,Bewertung_Stammdaten!I$99)))))))))</f>
        <v>1</v>
      </c>
    </row>
    <row r="50" spans="1:69">
      <c r="A50" s="38" t="s">
        <v>254</v>
      </c>
      <c r="B50" s="38" t="s">
        <v>255</v>
      </c>
      <c r="C50" s="38" t="s">
        <v>282</v>
      </c>
      <c r="D50" s="32">
        <f t="shared" ca="1" si="11"/>
        <v>119</v>
      </c>
      <c r="E50" s="43"/>
      <c r="F50" s="60">
        <v>1</v>
      </c>
      <c r="G50" s="11">
        <f ca="1">VLOOKUP(A50,KGV!A$3:R$103,17,FALSE)</f>
        <v>21.257567418822234</v>
      </c>
      <c r="H50" s="11">
        <f>VLOOKUP(A50,KGV!A$3:R$103,16,FALSE)</f>
        <v>17.438247011952193</v>
      </c>
      <c r="I50" s="12">
        <f ca="1">VLOOKUP(A50,KGV!A$3:R$103,18,FALSE)</f>
        <v>0.21901974460232587</v>
      </c>
      <c r="J50" s="16">
        <f t="shared" ca="1" si="12"/>
        <v>23.008901098213837</v>
      </c>
      <c r="K50" s="12">
        <f t="shared" ca="1" si="13"/>
        <v>0.31945034856104004</v>
      </c>
      <c r="L50" s="11">
        <f ca="1">VLOOKUP(A50,KBV!A$3:R$103,17,FALSE)</f>
        <v>13.906390639063908</v>
      </c>
      <c r="M50" s="11">
        <f>VLOOKUP(A50,KBV!A$3:R$103,16,FALSE)</f>
        <v>9.0016920473773272</v>
      </c>
      <c r="N50" s="12">
        <f ca="1">VLOOKUP(A50,KBV!A$3:R$103,18,FALSE)</f>
        <v>0.54486407287345284</v>
      </c>
      <c r="O50" s="16">
        <f t="shared" ca="1" si="14"/>
        <v>23.776625683676553</v>
      </c>
      <c r="P50" s="12">
        <f t="shared" ca="1" si="15"/>
        <v>1.6413507103482785</v>
      </c>
      <c r="Q50" s="32">
        <f ca="1">IF(F50=1,IF(I50&lt;Bewertung_Stammdaten!B$12,Bewertung_Stammdaten!A$12,IF(I50&lt;Bewertung_Stammdaten!B$13,Bewertung_Stammdaten!A$13,IF(I50&lt;Bewertung_Stammdaten!B$14,Bewertung_Stammdaten!A$14,IF(I50&lt;Bewertung_Stammdaten!B$15,Bewertung_Stammdaten!A$15,IF(I50&lt;Bewertung_Stammdaten!B$16,Bewertung_Stammdaten!A$16,IF(I50&lt;Bewertung_Stammdaten!B$17,Bewertung_Stammdaten!A$17,IF(I50&lt;Bewertung_Stammdaten!B$18,Bewertung_Stammdaten!A$18,IF(I50&lt;Bewertung_Stammdaten!B$19,Bewertung_Stammdaten!A$19,IF(I50&lt;Bewertung_Stammdaten!B$20,Bewertung_Stammdaten!A$20,Bewertung_Stammdaten!A$21))))))))),IF(N50&lt;Bewertung_Stammdaten!C$12,Bewertung_Stammdaten!A$12,IF(N50&lt;Bewertung_Stammdaten!C$13,Bewertung_Stammdaten!A$13,IF(N50&lt;Bewertung_Stammdaten!C$14,Bewertung_Stammdaten!A$14,IF(N50&lt;Bewertung_Stammdaten!C$15,Bewertung_Stammdaten!A$15,IF(N50&lt;Bewertung_Stammdaten!C$16,Bewertung_Stammdaten!A$16,IF(N50&lt;Bewertung_Stammdaten!C$17,Bewertung_Stammdaten!A$17,IF(N50&lt;Bewertung_Stammdaten!C$18,Bewertung_Stammdaten!A$18,IF(N50&lt;Bewertung_Stammdaten!C$19,Bewertung_Stammdaten!A$19,IF(N50&lt;Bewertung_Stammdaten!C$20,Bewertung_Stammdaten!A$20,Bewertung_Stammdaten!A$21))))))))))</f>
        <v>12</v>
      </c>
      <c r="R50" s="32">
        <f ca="1">IF(F50=1,IF(K50&lt;Bewertung_Stammdaten!F$12,Bewertung_Stammdaten!E$12,IF(K50&lt;Bewertung_Stammdaten!F$13,Bewertung_Stammdaten!E$13,IF(K50&lt;Bewertung_Stammdaten!F$14,Bewertung_Stammdaten!E$14,IF(K50&lt;Bewertung_Stammdaten!F$15,Bewertung_Stammdaten!E$15,IF(K50&lt;Bewertung_Stammdaten!F$16,Bewertung_Stammdaten!E$16,IF(K50&lt;Bewertung_Stammdaten!F$17,Bewertung_Stammdaten!E$17,IF(K50&lt;Bewertung_Stammdaten!F$18,Bewertung_Stammdaten!E$18,IF(K50&lt;Bewertung_Stammdaten!F$19,Bewertung_Stammdaten!E$19,IF(K50&lt;Bewertung_Stammdaten!F$20,Bewertung_Stammdaten!E$20,Bewertung_Stammdaten!E$21))))))))),IF(P50&lt;Bewertung_Stammdaten!G$12,Bewertung_Stammdaten!E$12,IF(P50&lt;Bewertung_Stammdaten!G$13,Bewertung_Stammdaten!E$13,IF(P50&lt;Bewertung_Stammdaten!G$14,Bewertung_Stammdaten!E$14,IF(P50&lt;Bewertung_Stammdaten!G$15,Bewertung_Stammdaten!E$15,IF(P50&lt;Bewertung_Stammdaten!G$16,Bewertung_Stammdaten!E$16,IF(P50&lt;Bewertung_Stammdaten!G$17,Bewertung_Stammdaten!E$17,IF(P50&lt;Bewertung_Stammdaten!G$18,Bewertung_Stammdaten!E$18,IF(P50&lt;Bewertung_Stammdaten!G$19,Bewertung_Stammdaten!E$19,IF(P50&lt;Bewertung_Stammdaten!G$20,Bewertung_Stammdaten!E$20,Bewertung_Stammdaten!E$21))))))))))</f>
        <v>7.5</v>
      </c>
      <c r="S50" s="43"/>
      <c r="T50" s="11">
        <f ca="1">VLOOKUP(A50,Buchwert_je_Aktie!A$3:AK$103,23,FALSE)</f>
        <v>5.5549999999999997</v>
      </c>
      <c r="U50" s="11">
        <f>VLOOKUP(A50,Buchwert_je_Aktie!A$3:AK$103,19,FALSE)</f>
        <v>6.0676923076923099</v>
      </c>
      <c r="V50" s="12">
        <f ca="1">VLOOKUP(A50,Buchwert_je_Aktie!A$3:AK$103,24,FALSE)</f>
        <v>-8.4495436105477051E-2</v>
      </c>
      <c r="W50" s="12">
        <f>VLOOKUP(A50,Buchwert_je_Aktie!A$3:AK$103,37,FALSE)</f>
        <v>-0.41512345679012352</v>
      </c>
      <c r="X50" s="16">
        <f t="shared" ca="1" si="16"/>
        <v>3.2489891975308636</v>
      </c>
      <c r="Y50" s="12">
        <f t="shared" ca="1" si="17"/>
        <v>-0.46454285537650597</v>
      </c>
      <c r="Z50" s="51">
        <f ca="1">IF(V50&lt;Bewertung_Stammdaten!B$25,Bewertung_Stammdaten!A$25,IF(V50&lt;Bewertung_Stammdaten!B$26,Bewertung_Stammdaten!A$26,IF(V50&lt;Bewertung_Stammdaten!B$27,Bewertung_Stammdaten!A$27,IF(V50&lt;Bewertung_Stammdaten!B$28,Bewertung_Stammdaten!A$28,IF(V50&lt;Bewertung_Stammdaten!B$29,Bewertung_Stammdaten!A$29,IF(V50&lt;Bewertung_Stammdaten!B$30,Bewertung_Stammdaten!A$30,IF(V50&lt;Bewertung_Stammdaten!B$31,Bewertung_Stammdaten!A$31,IF(V50&lt;Bewertung_Stammdaten!B$32,Bewertung_Stammdaten!A$32,IF(V50&lt;Bewertung_Stammdaten!B$33,Bewertung_Stammdaten!A$33,Bewertung_Stammdaten!A$34)))))))))</f>
        <v>3</v>
      </c>
      <c r="AA50" s="51">
        <f>IF(W50&lt;Bewertung_Stammdaten!F$25,Bewertung_Stammdaten!E$25,IF(W50&lt;Bewertung_Stammdaten!F$26,Bewertung_Stammdaten!E$26,IF(W50&lt;Bewertung_Stammdaten!F$27,Bewertung_Stammdaten!E$27,IF(W50&lt;Bewertung_Stammdaten!F$28,Bewertung_Stammdaten!E$28,IF(W50&lt;Bewertung_Stammdaten!F$29,Bewertung_Stammdaten!E$29,IF(W50&lt;Bewertung_Stammdaten!F$30,Bewertung_Stammdaten!E$30,IF(W50&lt;Bewertung_Stammdaten!F$31,Bewertung_Stammdaten!E$31,IF(W50&lt;Bewertung_Stammdaten!F$32,Bewertung_Stammdaten!E$32,IF(W50&lt;Bewertung_Stammdaten!F$33,Bewertung_Stammdaten!E$33,Bewertung_Stammdaten!E$34)))))))))</f>
        <v>1.5</v>
      </c>
      <c r="AB50" s="51">
        <f ca="1">IF(Y50&lt;Bewertung_Stammdaten!J$25,Bewertung_Stammdaten!I$25,IF(Y50&lt;Bewertung_Stammdaten!J$26,Bewertung_Stammdaten!I$26,IF(Y50&lt;Bewertung_Stammdaten!J$27,Bewertung_Stammdaten!I$27,IF(Y50&lt;Bewertung_Stammdaten!J$28,Bewertung_Stammdaten!I$28,IF(Y50&lt;Bewertung_Stammdaten!J$29,Bewertung_Stammdaten!I$29,IF(Y50&lt;Bewertung_Stammdaten!J$30,Bewertung_Stammdaten!I$30,IF(Y50&lt;Bewertung_Stammdaten!J$31,Bewertung_Stammdaten!I$31,IF(Y50&lt;Bewertung_Stammdaten!J$32,Bewertung_Stammdaten!I$32,IF(Y50&lt;Bewertung_Stammdaten!J$33,Bewertung_Stammdaten!I$33,Bewertung_Stammdaten!I$34)))))))))</f>
        <v>1</v>
      </c>
      <c r="AC50" s="43"/>
      <c r="AD50" s="14">
        <f ca="1">VLOOKUP(A50,Ergebnis_je_Aktie_verwässert!A$3:AK$103,23,FALSE)</f>
        <v>3.6339999999999999</v>
      </c>
      <c r="AE50" s="14">
        <f>VLOOKUP(A50,Ergebnis_je_Aktie_verwässert!A$3:AK$103,19,FALSE)</f>
        <v>3.4261538461538459</v>
      </c>
      <c r="AF50" s="12">
        <f ca="1">VLOOKUP(A50,Ergebnis_je_Aktie_verwässert!A$3:AK$103,24,FALSE)</f>
        <v>6.0664571171980208E-2</v>
      </c>
      <c r="AG50" s="40">
        <f>VLOOKUP(A50,Ergebnis_je_Aktie_verwässert!A$3:AK$103,37,FALSE)</f>
        <v>-7.6115485564304475E-2</v>
      </c>
      <c r="AH50" s="16">
        <f t="shared" ca="1" si="18"/>
        <v>3.3573963254593173</v>
      </c>
      <c r="AI50" s="12">
        <f t="shared" ca="1" si="19"/>
        <v>-2.0068427683629819E-2</v>
      </c>
      <c r="AJ50" s="32">
        <f ca="1">IF(AF50&lt;Bewertung_Stammdaten!B$38,Bewertung_Stammdaten!A$38,IF(AF50&lt;Bewertung_Stammdaten!B$39,Bewertung_Stammdaten!A$39,IF(AF50&lt;Bewertung_Stammdaten!B$40,Bewertung_Stammdaten!A$40,IF(AF50&lt;Bewertung_Stammdaten!B$41,Bewertung_Stammdaten!A$41,IF(AF50&lt;Bewertung_Stammdaten!B$42,Bewertung_Stammdaten!A$42,IF(AF50&lt;Bewertung_Stammdaten!B$43,Bewertung_Stammdaten!A$43,IF(AF50&lt;Bewertung_Stammdaten!B$44,Bewertung_Stammdaten!A$44,IF(AF50&lt;Bewertung_Stammdaten!B$45,Bewertung_Stammdaten!A$45,IF(AF50&lt;Bewertung_Stammdaten!B$46,Bewertung_Stammdaten!A$46,Bewertung_Stammdaten!A$47)))))))))</f>
        <v>8</v>
      </c>
      <c r="AK50" s="32">
        <f>IF(AG50&lt;Bewertung_Stammdaten!F$38,Bewertung_Stammdaten!E$38,IF(AG50&lt;Bewertung_Stammdaten!F$39,Bewertung_Stammdaten!E$39,IF(AG50&lt;Bewertung_Stammdaten!F$40,Bewertung_Stammdaten!E$40,IF(AG50&lt;Bewertung_Stammdaten!F$41,Bewertung_Stammdaten!E$41,IF(AG50&lt;Bewertung_Stammdaten!F$42,Bewertung_Stammdaten!E$42,IF(AG50&lt;Bewertung_Stammdaten!F$43,Bewertung_Stammdaten!E$43,IF(AG50&lt;Bewertung_Stammdaten!F$44,Bewertung_Stammdaten!E$44,IF(AG50&lt;Bewertung_Stammdaten!F$45,Bewertung_Stammdaten!E$45,IF(AG50&lt;Bewertung_Stammdaten!F$46,Bewertung_Stammdaten!E$46,Bewertung_Stammdaten!E$47)))))))))</f>
        <v>10.5</v>
      </c>
      <c r="AL50" s="32">
        <f ca="1">IF(AI50&lt;Bewertung_Stammdaten!J$38,Bewertung_Stammdaten!I$38,IF(AI50&lt;Bewertung_Stammdaten!J$39,Bewertung_Stammdaten!I$39,IF(AI50&lt;Bewertung_Stammdaten!J$40,Bewertung_Stammdaten!I$40,IF(AI50&lt;Bewertung_Stammdaten!J$41,Bewertung_Stammdaten!I$41,IF(AI50&lt;Bewertung_Stammdaten!J$42,Bewertung_Stammdaten!I$42,IF(AI50&lt;Bewertung_Stammdaten!J$43,Bewertung_Stammdaten!I$43,IF(AI50&lt;Bewertung_Stammdaten!J$44,Bewertung_Stammdaten!I$44,IF(AI50&lt;Bewertung_Stammdaten!J$45,Bewertung_Stammdaten!I$45,IF(AI50&lt;Bewertung_Stammdaten!J$46,Bewertung_Stammdaten!I$46,Bewertung_Stammdaten!I$47)))))))))</f>
        <v>4</v>
      </c>
      <c r="AM50" s="43"/>
      <c r="AN50" s="14">
        <f ca="1">VLOOKUP(A50,Dividende_je_Aktie!A$3:AM$103,24,FALSE)</f>
        <v>2.0629999999999997</v>
      </c>
      <c r="AO50" s="14">
        <f>VLOOKUP(A50,Dividende_je_Aktie!A$3:AM$103,20,FALSE)</f>
        <v>1.6642857142857144</v>
      </c>
      <c r="AP50" s="12">
        <f ca="1">VLOOKUP(A50,Dividende_je_Aktie!A$3:AM$103,25,FALSE)</f>
        <v>0.23957081545064352</v>
      </c>
      <c r="AQ50" s="40">
        <f>VLOOKUP(A50,Dividende_je_Aktie!A$3:AM$103,39,FALSE)</f>
        <v>2.5252525252525082E-2</v>
      </c>
      <c r="AR50" s="16">
        <f t="shared" ca="1" si="20"/>
        <v>2.0629999999999997</v>
      </c>
      <c r="AS50" s="12">
        <f t="shared" ca="1" si="21"/>
        <v>0.23957081545064352</v>
      </c>
      <c r="AT50" s="32">
        <f ca="1">IF(AP50&lt;Bewertung_Stammdaten!B$51,Bewertung_Stammdaten!A$51,IF(AP50&lt;Bewertung_Stammdaten!B$52,Bewertung_Stammdaten!A$52,IF(AP50&lt;Bewertung_Stammdaten!B$53,Bewertung_Stammdaten!A$53,IF(AP50&lt;Bewertung_Stammdaten!B$54,Bewertung_Stammdaten!A$54,IF(AP50&lt;Bewertung_Stammdaten!B$55,Bewertung_Stammdaten!A$55,IF(AP50&lt;Bewertung_Stammdaten!B$56,Bewertung_Stammdaten!A$56,IF(AP50&lt;Bewertung_Stammdaten!B$57,Bewertung_Stammdaten!A$57,IF(AP50&lt;Bewertung_Stammdaten!B$58,Bewertung_Stammdaten!A$58,IF(AP50&lt;Bewertung_Stammdaten!B$59,Bewertung_Stammdaten!A$59,Bewertung_Stammdaten!A$60)))))))))</f>
        <v>10</v>
      </c>
      <c r="AU50" s="32">
        <f>IF(AQ50&lt;Bewertung_Stammdaten!F$51,Bewertung_Stammdaten!E$51,IF(AQ50&lt;Bewertung_Stammdaten!F$52,Bewertung_Stammdaten!E$52,IF(AQ50&lt;Bewertung_Stammdaten!F$53,Bewertung_Stammdaten!E$53,IF(AQ50&lt;Bewertung_Stammdaten!F$54,Bewertung_Stammdaten!E$54,IF(AQ50&lt;Bewertung_Stammdaten!F$55,Bewertung_Stammdaten!E$55,IF(AQ50&lt;Bewertung_Stammdaten!F$56,Bewertung_Stammdaten!E$56,IF(AQ50&lt;Bewertung_Stammdaten!F$57,Bewertung_Stammdaten!E$57,IF(AQ50&lt;Bewertung_Stammdaten!F$58,Bewertung_Stammdaten!E$58,IF(AQ50&lt;Bewertung_Stammdaten!F$59,Bewertung_Stammdaten!E$59,Bewertung_Stammdaten!E$60)))))))))</f>
        <v>12</v>
      </c>
      <c r="AV50" s="32">
        <f ca="1">IF(AS50&lt;Bewertung_Stammdaten!J$51,Bewertung_Stammdaten!I$51,IF(AS50&lt;Bewertung_Stammdaten!J$52,Bewertung_Stammdaten!I$52,IF(AS50&lt;Bewertung_Stammdaten!J$53,Bewertung_Stammdaten!I$53,IF(AS50&lt;Bewertung_Stammdaten!J$54,Bewertung_Stammdaten!I$54,IF(AS50&lt;Bewertung_Stammdaten!J$55,Bewertung_Stammdaten!I$55,IF(AS50&lt;Bewertung_Stammdaten!J$56,Bewertung_Stammdaten!I$56,IF(AS50&lt;Bewertung_Stammdaten!J$57,Bewertung_Stammdaten!I$57,IF(AS50&lt;Bewertung_Stammdaten!J$58,Bewertung_Stammdaten!I$58,IF(AS50&lt;Bewertung_Stammdaten!J$59,Bewertung_Stammdaten!I$59,Bewertung_Stammdaten!I$60)))))))))</f>
        <v>6</v>
      </c>
      <c r="AW50" s="43"/>
      <c r="AX50" s="12">
        <f ca="1">VLOOKUP(A50,Dividendenrendite!A$3:R$103,17,FALSE)</f>
        <v>2.6705501618122972E-2</v>
      </c>
      <c r="AY50" s="12">
        <f>VLOOKUP(A50,Dividendenrendite!A$3:R$103,16,FALSE)</f>
        <v>2.7767146624239035E-2</v>
      </c>
      <c r="AZ50" s="12">
        <f ca="1">VLOOKUP(A50,Dividendenrendite!A$3:R$103,18,FALSE)</f>
        <v>-3.8233853138849749E-2</v>
      </c>
      <c r="BA50" s="32">
        <f ca="1">IF(AX50&lt;Bewertung_Stammdaten!B$64,Bewertung_Stammdaten!A$64,IF(AX50&lt;Bewertung_Stammdaten!B$65,Bewertung_Stammdaten!A$65,IF(AX50&lt;Bewertung_Stammdaten!B$66,Bewertung_Stammdaten!A$66,IF(AX50&lt;Bewertung_Stammdaten!B$67,Bewertung_Stammdaten!A$67,IF(AX50&lt;Bewertung_Stammdaten!B$68,Bewertung_Stammdaten!A$68,IF(AX50&lt;Bewertung_Stammdaten!B$69,Bewertung_Stammdaten!A$69,IF(AX50&lt;Bewertung_Stammdaten!B$70,Bewertung_Stammdaten!A$70,IF(AX50&lt;Bewertung_Stammdaten!B$71,Bewertung_Stammdaten!A$71,IF(AX50&lt;Bewertung_Stammdaten!B$72,Bewertung_Stammdaten!A$72,Bewertung_Stammdaten!A$73)))))))))</f>
        <v>9</v>
      </c>
      <c r="BB50" s="32">
        <f>IF(AY50&lt;Bewertung_Stammdaten!F$64,Bewertung_Stammdaten!E$64,IF(AY50&lt;Bewertung_Stammdaten!F$65,Bewertung_Stammdaten!E$65,IF(AY50&lt;Bewertung_Stammdaten!F$66,Bewertung_Stammdaten!E$66,IF(AY50&lt;Bewertung_Stammdaten!F$67,Bewertung_Stammdaten!E$67,IF(AY50&lt;Bewertung_Stammdaten!F$68,Bewertung_Stammdaten!E$68,IF(AY50&lt;Bewertung_Stammdaten!F$69,Bewertung_Stammdaten!E$69,IF(AY50&lt;Bewertung_Stammdaten!F$70,Bewertung_Stammdaten!E$70,IF(AY50&lt;Bewertung_Stammdaten!F$71,Bewertung_Stammdaten!E$71,IF(AY50&lt;Bewertung_Stammdaten!F$72,Bewertung_Stammdaten!E$72,Bewertung_Stammdaten!E$73)))))))))</f>
        <v>6</v>
      </c>
      <c r="BC50" s="32">
        <f ca="1">IF(AZ50&lt;Bewertung_Stammdaten!J$64,Bewertung_Stammdaten!I$64,IF(AZ50&lt;Bewertung_Stammdaten!J$65,Bewertung_Stammdaten!I$65,IF(AZ50&lt;Bewertung_Stammdaten!J$66,Bewertung_Stammdaten!I$66,IF(AZ50&lt;Bewertung_Stammdaten!J$67,Bewertung_Stammdaten!I$67,IF(AZ50&lt;Bewertung_Stammdaten!J$68,Bewertung_Stammdaten!I$68,IF(AZ50&lt;Bewertung_Stammdaten!J$69,Bewertung_Stammdaten!I$69,IF(AZ50&lt;Bewertung_Stammdaten!J$70,Bewertung_Stammdaten!I$70,IF(AZ50&lt;Bewertung_Stammdaten!J$71,Bewertung_Stammdaten!I$71,IF(AZ50&lt;Bewertung_Stammdaten!J$72,Bewertung_Stammdaten!I$72,Bewertung_Stammdaten!I$73)))))))))</f>
        <v>2.5</v>
      </c>
      <c r="BD50" s="43"/>
      <c r="BE50" s="12">
        <f>VLOOKUP(A50,Aktien_im_Umlauf_splitbereinigt!A$3:AB$103,28,FALSE)</f>
        <v>-1.6797752808988764E-2</v>
      </c>
      <c r="BF50" s="12">
        <f>VLOOKUP(A50,Aktien_im_Umlauf_splitbereinigt!A$3:AA$103,26,FALSE)</f>
        <v>-1.4456957941647608E-2</v>
      </c>
      <c r="BG50" s="12">
        <f>VLOOKUP(A50,Aktien_im_Umlauf_splitbereinigt!A$3:AA$103,27,FALSE)</f>
        <v>0.16191475943896827</v>
      </c>
      <c r="BH50" s="41">
        <f>IF(BE50&lt;Bewertung_Stammdaten!B$77,Bewertung_Stammdaten!A$77,IF(BE50&lt;Bewertung_Stammdaten!B$78,Bewertung_Stammdaten!A$78,IF(BE50&lt;Bewertung_Stammdaten!B$79,Bewertung_Stammdaten!A$79,IF(BE50&lt;Bewertung_Stammdaten!B$80,Bewertung_Stammdaten!A$80,IF(BE50&lt;Bewertung_Stammdaten!B$81,Bewertung_Stammdaten!A$81,IF(BE50&lt;Bewertung_Stammdaten!B$82,Bewertung_Stammdaten!A$82,IF(BE50&lt;Bewertung_Stammdaten!B$83,Bewertung_Stammdaten!A$83,IF(BE50&lt;Bewertung_Stammdaten!B$84,Bewertung_Stammdaten!A$84,IF(BE50&lt;Bewertung_Stammdaten!B$85,Bewertung_Stammdaten!A$85,Bewertung_Stammdaten!A$86)))))))))</f>
        <v>6</v>
      </c>
      <c r="BI50" s="41">
        <f>IF(BF50&lt;Bewertung_Stammdaten!F$77,Bewertung_Stammdaten!E$77,IF(BF50&lt;Bewertung_Stammdaten!F$78,Bewertung_Stammdaten!E$78,IF(BF50&lt;Bewertung_Stammdaten!F$79,Bewertung_Stammdaten!E$79,IF(BF50&lt;Bewertung_Stammdaten!F$80,Bewertung_Stammdaten!E$80,IF(BF50&lt;Bewertung_Stammdaten!F$81,Bewertung_Stammdaten!E$81,IF(BF50&lt;Bewertung_Stammdaten!F$82,Bewertung_Stammdaten!E$82,IF(BF50&lt;Bewertung_Stammdaten!F$83,Bewertung_Stammdaten!E$83,IF(BF50&lt;Bewertung_Stammdaten!F$84,Bewertung_Stammdaten!E$84,IF(BF50&lt;Bewertung_Stammdaten!F$85,Bewertung_Stammdaten!E$85,Bewertung_Stammdaten!E$86)))))))))</f>
        <v>5</v>
      </c>
      <c r="BJ50" s="41">
        <f>IF(BG50&lt;Bewertung_Stammdaten!J$77,Bewertung_Stammdaten!I$77,IF(BG50&lt;Bewertung_Stammdaten!J$78,Bewertung_Stammdaten!I$78,IF(BG50&lt;Bewertung_Stammdaten!J$79,Bewertung_Stammdaten!I$79,IF(BG50&lt;Bewertung_Stammdaten!J$80,Bewertung_Stammdaten!I$80,IF(BG50&lt;Bewertung_Stammdaten!J$81,Bewertung_Stammdaten!I$81,IF(BG50&lt;Bewertung_Stammdaten!J$82,Bewertung_Stammdaten!I$82,IF(BG50&lt;Bewertung_Stammdaten!J$83,Bewertung_Stammdaten!I$83,IF(BG50&lt;Bewertung_Stammdaten!J$84,Bewertung_Stammdaten!I$84,IF(BG50&lt;Bewertung_Stammdaten!J$85,Bewertung_Stammdaten!I$85,Bewertung_Stammdaten!I$86)))))))))</f>
        <v>3</v>
      </c>
      <c r="BK50" s="43"/>
      <c r="BL50" s="12">
        <f ca="1">VLOOKUP(A50,Ausschüttungsquote!A$3:AL$103,37,FALSE)</f>
        <v>0.56830856643356642</v>
      </c>
      <c r="BM50" s="12">
        <f>VLOOKUP(A50,Ausschüttungsquote!A$3:AL$103,19,FALSE)</f>
        <v>0.70932495420582431</v>
      </c>
      <c r="BN50" s="12">
        <f ca="1">VLOOKUP(A50,Ausschüttungsquote!A$3:AL$103,38,FALSE)</f>
        <v>0.14820658941123122</v>
      </c>
      <c r="BO50" s="32">
        <f ca="1">IF(BL50&lt;Bewertung_Stammdaten!B$90,Bewertung_Stammdaten!A$90,IF(BL50&lt;Bewertung_Stammdaten!B$91,Bewertung_Stammdaten!A$91,IF(BL50&lt;Bewertung_Stammdaten!B$92,Bewertung_Stammdaten!A$92,IF(BL50&lt;Bewertung_Stammdaten!B$93,Bewertung_Stammdaten!A$93,IF(BL50&lt;Bewertung_Stammdaten!B$94,Bewertung_Stammdaten!A$94,IF(BL50&lt;Bewertung_Stammdaten!B$95,Bewertung_Stammdaten!A$95,IF(BL50&lt;Bewertung_Stammdaten!B$96,Bewertung_Stammdaten!A$96,IF(BL50&lt;Bewertung_Stammdaten!B$97,Bewertung_Stammdaten!A$97,IF(BL50&lt;Bewertung_Stammdaten!B$98,Bewertung_Stammdaten!A$98,Bewertung_Stammdaten!A$99)))))))))</f>
        <v>6</v>
      </c>
      <c r="BP50" s="41">
        <f>IF(BM50&lt;Bewertung_Stammdaten!F$90,Bewertung_Stammdaten!E$90,IF(BM50&lt;Bewertung_Stammdaten!F$91,Bewertung_Stammdaten!E$91,IF(BM50&lt;Bewertung_Stammdaten!F$92,Bewertung_Stammdaten!E$92,IF(BM50&lt;Bewertung_Stammdaten!F$93,Bewertung_Stammdaten!E$93,IF(BM50&lt;Bewertung_Stammdaten!F$94,Bewertung_Stammdaten!E$94,IF(BM50&lt;Bewertung_Stammdaten!F$95,Bewertung_Stammdaten!E$95,IF(BM50&lt;Bewertung_Stammdaten!F$96,Bewertung_Stammdaten!E$96,IF(BM50&lt;Bewertung_Stammdaten!F$97,Bewertung_Stammdaten!E$97,IF(BM50&lt;Bewertung_Stammdaten!F$98,Bewertung_Stammdaten!E$98,Bewertung_Stammdaten!E$99)))))))))</f>
        <v>3</v>
      </c>
      <c r="BQ50" s="32">
        <f ca="1">IF(BN50&lt;Bewertung_Stammdaten!J$90,Bewertung_Stammdaten!I$90,IF(BN50&lt;Bewertung_Stammdaten!J$91,Bewertung_Stammdaten!I$91,IF(BN50&lt;Bewertung_Stammdaten!J$92,Bewertung_Stammdaten!I$92,IF(BN50&lt;Bewertung_Stammdaten!J$93,Bewertung_Stammdaten!I$93,IF(BN50&lt;Bewertung_Stammdaten!J$94,Bewertung_Stammdaten!I$94,IF(BN50&lt;Bewertung_Stammdaten!J$95,Bewertung_Stammdaten!I$95,IF(BN50&lt;Bewertung_Stammdaten!J$96,Bewertung_Stammdaten!I$96,IF(BN50&lt;Bewertung_Stammdaten!J$97,Bewertung_Stammdaten!I$97,IF(BN50&lt;Bewertung_Stammdaten!J$98,Bewertung_Stammdaten!I$98,Bewertung_Stammdaten!I$99)))))))))</f>
        <v>3</v>
      </c>
    </row>
    <row r="51" spans="1:69">
      <c r="A51" s="38" t="s">
        <v>85</v>
      </c>
      <c r="B51" s="38" t="s">
        <v>86</v>
      </c>
      <c r="C51" s="38" t="s">
        <v>282</v>
      </c>
      <c r="D51" s="32">
        <f t="shared" ca="1" si="11"/>
        <v>118.5</v>
      </c>
      <c r="E51" s="43"/>
      <c r="F51" s="60">
        <v>1</v>
      </c>
      <c r="G51" s="11">
        <f ca="1">VLOOKUP(A51,KGV!A$3:R$103,17,FALSE)</f>
        <v>27.934040797186405</v>
      </c>
      <c r="H51" s="11">
        <f>VLOOKUP(A51,KGV!A$3:R$103,16,FALSE)</f>
        <v>19.496502805727552</v>
      </c>
      <c r="I51" s="12">
        <f ca="1">VLOOKUP(A51,KGV!A$3:R$103,18,FALSE)</f>
        <v>0.43277187070596734</v>
      </c>
      <c r="J51" s="16">
        <f t="shared" ca="1" si="12"/>
        <v>36.149935149300056</v>
      </c>
      <c r="K51" s="12">
        <f t="shared" ca="1" si="13"/>
        <v>0.85417536209007539</v>
      </c>
      <c r="L51" s="11">
        <f ca="1">VLOOKUP(A51,KBV!A$3:R$103,17,FALSE)</f>
        <v>3.665805661538462</v>
      </c>
      <c r="M51" s="11">
        <f>VLOOKUP(A51,KBV!A$3:R$103,16,FALSE)</f>
        <v>2.4465933346304958</v>
      </c>
      <c r="N51" s="12">
        <f ca="1">VLOOKUP(A51,KBV!A$3:R$103,18,FALSE)</f>
        <v>0.49833060102409754</v>
      </c>
      <c r="O51" s="16">
        <f t="shared" ca="1" si="14"/>
        <v>4.4027459749405242</v>
      </c>
      <c r="P51" s="12">
        <f t="shared" ca="1" si="15"/>
        <v>0.79954139195162255</v>
      </c>
      <c r="Q51" s="32">
        <f ca="1">IF(F51=1,IF(I51&lt;Bewertung_Stammdaten!B$12,Bewertung_Stammdaten!A$12,IF(I51&lt;Bewertung_Stammdaten!B$13,Bewertung_Stammdaten!A$13,IF(I51&lt;Bewertung_Stammdaten!B$14,Bewertung_Stammdaten!A$14,IF(I51&lt;Bewertung_Stammdaten!B$15,Bewertung_Stammdaten!A$15,IF(I51&lt;Bewertung_Stammdaten!B$16,Bewertung_Stammdaten!A$16,IF(I51&lt;Bewertung_Stammdaten!B$17,Bewertung_Stammdaten!A$17,IF(I51&lt;Bewertung_Stammdaten!B$18,Bewertung_Stammdaten!A$18,IF(I51&lt;Bewertung_Stammdaten!B$19,Bewertung_Stammdaten!A$19,IF(I51&lt;Bewertung_Stammdaten!B$20,Bewertung_Stammdaten!A$20,Bewertung_Stammdaten!A$21))))))))),IF(N51&lt;Bewertung_Stammdaten!C$12,Bewertung_Stammdaten!A$12,IF(N51&lt;Bewertung_Stammdaten!C$13,Bewertung_Stammdaten!A$13,IF(N51&lt;Bewertung_Stammdaten!C$14,Bewertung_Stammdaten!A$14,IF(N51&lt;Bewertung_Stammdaten!C$15,Bewertung_Stammdaten!A$15,IF(N51&lt;Bewertung_Stammdaten!C$16,Bewertung_Stammdaten!A$16,IF(N51&lt;Bewertung_Stammdaten!C$17,Bewertung_Stammdaten!A$17,IF(N51&lt;Bewertung_Stammdaten!C$18,Bewertung_Stammdaten!A$18,IF(N51&lt;Bewertung_Stammdaten!C$19,Bewertung_Stammdaten!A$19,IF(N51&lt;Bewertung_Stammdaten!C$20,Bewertung_Stammdaten!A$20,Bewertung_Stammdaten!A$21))))))))))</f>
        <v>6</v>
      </c>
      <c r="R51" s="32">
        <f ca="1">IF(F51=1,IF(K51&lt;Bewertung_Stammdaten!F$12,Bewertung_Stammdaten!E$12,IF(K51&lt;Bewertung_Stammdaten!F$13,Bewertung_Stammdaten!E$13,IF(K51&lt;Bewertung_Stammdaten!F$14,Bewertung_Stammdaten!E$14,IF(K51&lt;Bewertung_Stammdaten!F$15,Bewertung_Stammdaten!E$15,IF(K51&lt;Bewertung_Stammdaten!F$16,Bewertung_Stammdaten!E$16,IF(K51&lt;Bewertung_Stammdaten!F$17,Bewertung_Stammdaten!E$17,IF(K51&lt;Bewertung_Stammdaten!F$18,Bewertung_Stammdaten!E$18,IF(K51&lt;Bewertung_Stammdaten!F$19,Bewertung_Stammdaten!E$19,IF(K51&lt;Bewertung_Stammdaten!F$20,Bewertung_Stammdaten!E$20,Bewertung_Stammdaten!E$21))))))))),IF(P51&lt;Bewertung_Stammdaten!G$12,Bewertung_Stammdaten!E$12,IF(P51&lt;Bewertung_Stammdaten!G$13,Bewertung_Stammdaten!E$13,IF(P51&lt;Bewertung_Stammdaten!G$14,Bewertung_Stammdaten!E$14,IF(P51&lt;Bewertung_Stammdaten!G$15,Bewertung_Stammdaten!E$15,IF(P51&lt;Bewertung_Stammdaten!G$16,Bewertung_Stammdaten!E$16,IF(P51&lt;Bewertung_Stammdaten!G$17,Bewertung_Stammdaten!E$17,IF(P51&lt;Bewertung_Stammdaten!G$18,Bewertung_Stammdaten!E$18,IF(P51&lt;Bewertung_Stammdaten!G$19,Bewertung_Stammdaten!E$19,IF(P51&lt;Bewertung_Stammdaten!G$20,Bewertung_Stammdaten!E$20,Bewertung_Stammdaten!E$21))))))))))</f>
        <v>2.5</v>
      </c>
      <c r="S51" s="43"/>
      <c r="T51" s="11">
        <f ca="1">VLOOKUP(A51,Buchwert_je_Aktie!A$3:AK$103,23,FALSE)</f>
        <v>16.25</v>
      </c>
      <c r="U51" s="11">
        <f>VLOOKUP(A51,Buchwert_je_Aktie!A$3:AK$103,19,FALSE)</f>
        <v>13.779166666666663</v>
      </c>
      <c r="V51" s="12">
        <f ca="1">VLOOKUP(A51,Buchwert_je_Aktie!A$3:AK$103,24,FALSE)</f>
        <v>0.1793166011490781</v>
      </c>
      <c r="W51" s="12">
        <f>VLOOKUP(A51,Buchwert_je_Aktie!A$3:AK$103,37,FALSE)</f>
        <v>-0.16738197424892709</v>
      </c>
      <c r="X51" s="16">
        <f t="shared" ca="1" si="16"/>
        <v>13.530042918454935</v>
      </c>
      <c r="Y51" s="12">
        <f t="shared" ca="1" si="17"/>
        <v>-1.8079739815789142E-2</v>
      </c>
      <c r="Z51" s="51">
        <f ca="1">IF(V51&lt;Bewertung_Stammdaten!B$25,Bewertung_Stammdaten!A$25,IF(V51&lt;Bewertung_Stammdaten!B$26,Bewertung_Stammdaten!A$26,IF(V51&lt;Bewertung_Stammdaten!B$27,Bewertung_Stammdaten!A$27,IF(V51&lt;Bewertung_Stammdaten!B$28,Bewertung_Stammdaten!A$28,IF(V51&lt;Bewertung_Stammdaten!B$29,Bewertung_Stammdaten!A$29,IF(V51&lt;Bewertung_Stammdaten!B$30,Bewertung_Stammdaten!A$30,IF(V51&lt;Bewertung_Stammdaten!B$31,Bewertung_Stammdaten!A$31,IF(V51&lt;Bewertung_Stammdaten!B$32,Bewertung_Stammdaten!A$32,IF(V51&lt;Bewertung_Stammdaten!B$33,Bewertung_Stammdaten!A$33,Bewertung_Stammdaten!A$34)))))))))</f>
        <v>6</v>
      </c>
      <c r="AA51" s="51">
        <f>IF(W51&lt;Bewertung_Stammdaten!F$25,Bewertung_Stammdaten!E$25,IF(W51&lt;Bewertung_Stammdaten!F$26,Bewertung_Stammdaten!E$26,IF(W51&lt;Bewertung_Stammdaten!F$27,Bewertung_Stammdaten!E$27,IF(W51&lt;Bewertung_Stammdaten!F$28,Bewertung_Stammdaten!E$28,IF(W51&lt;Bewertung_Stammdaten!F$29,Bewertung_Stammdaten!E$29,IF(W51&lt;Bewertung_Stammdaten!F$30,Bewertung_Stammdaten!E$30,IF(W51&lt;Bewertung_Stammdaten!F$31,Bewertung_Stammdaten!E$31,IF(W51&lt;Bewertung_Stammdaten!F$32,Bewertung_Stammdaten!E$32,IF(W51&lt;Bewertung_Stammdaten!F$33,Bewertung_Stammdaten!E$33,Bewertung_Stammdaten!E$34)))))))))</f>
        <v>6</v>
      </c>
      <c r="AB51" s="51">
        <f ca="1">IF(Y51&lt;Bewertung_Stammdaten!J$25,Bewertung_Stammdaten!I$25,IF(Y51&lt;Bewertung_Stammdaten!J$26,Bewertung_Stammdaten!I$26,IF(Y51&lt;Bewertung_Stammdaten!J$27,Bewertung_Stammdaten!I$27,IF(Y51&lt;Bewertung_Stammdaten!J$28,Bewertung_Stammdaten!I$28,IF(Y51&lt;Bewertung_Stammdaten!J$29,Bewertung_Stammdaten!I$29,IF(Y51&lt;Bewertung_Stammdaten!J$30,Bewertung_Stammdaten!I$30,IF(Y51&lt;Bewertung_Stammdaten!J$31,Bewertung_Stammdaten!I$31,IF(Y51&lt;Bewertung_Stammdaten!J$32,Bewertung_Stammdaten!I$32,IF(Y51&lt;Bewertung_Stammdaten!J$33,Bewertung_Stammdaten!I$33,Bewertung_Stammdaten!I$34)))))))))</f>
        <v>2</v>
      </c>
      <c r="AC51" s="43"/>
      <c r="AD51" s="14">
        <f ca="1">VLOOKUP(A51,Ergebnis_je_Aktie_verwässert!A$3:AK$103,23,FALSE)</f>
        <v>2.1324999999999998</v>
      </c>
      <c r="AE51" s="14">
        <f>VLOOKUP(A51,Ergebnis_je_Aktie_verwässert!A$3:AK$103,19,FALSE)</f>
        <v>1.8108333333333333</v>
      </c>
      <c r="AF51" s="12">
        <f ca="1">VLOOKUP(A51,Ergebnis_je_Aktie_verwässert!A$3:AK$103,24,FALSE)</f>
        <v>0.1776346065347445</v>
      </c>
      <c r="AG51" s="40">
        <f>VLOOKUP(A51,Ergebnis_je_Aktie_verwässert!A$3:AK$103,37,FALSE)</f>
        <v>-0.22727272727272729</v>
      </c>
      <c r="AH51" s="16">
        <f t="shared" ca="1" si="18"/>
        <v>1.647840909090909</v>
      </c>
      <c r="AI51" s="12">
        <f t="shared" ca="1" si="19"/>
        <v>-9.0009622223152008E-2</v>
      </c>
      <c r="AJ51" s="32">
        <f ca="1">IF(AF51&lt;Bewertung_Stammdaten!B$38,Bewertung_Stammdaten!A$38,IF(AF51&lt;Bewertung_Stammdaten!B$39,Bewertung_Stammdaten!A$39,IF(AF51&lt;Bewertung_Stammdaten!B$40,Bewertung_Stammdaten!A$40,IF(AF51&lt;Bewertung_Stammdaten!B$41,Bewertung_Stammdaten!A$41,IF(AF51&lt;Bewertung_Stammdaten!B$42,Bewertung_Stammdaten!A$42,IF(AF51&lt;Bewertung_Stammdaten!B$43,Bewertung_Stammdaten!A$43,IF(AF51&lt;Bewertung_Stammdaten!B$44,Bewertung_Stammdaten!A$44,IF(AF51&lt;Bewertung_Stammdaten!B$45,Bewertung_Stammdaten!A$45,IF(AF51&lt;Bewertung_Stammdaten!B$46,Bewertung_Stammdaten!A$46,Bewertung_Stammdaten!A$47)))))))))</f>
        <v>10</v>
      </c>
      <c r="AK51" s="32">
        <f>IF(AG51&lt;Bewertung_Stammdaten!F$38,Bewertung_Stammdaten!E$38,IF(AG51&lt;Bewertung_Stammdaten!F$39,Bewertung_Stammdaten!E$39,IF(AG51&lt;Bewertung_Stammdaten!F$40,Bewertung_Stammdaten!E$40,IF(AG51&lt;Bewertung_Stammdaten!F$41,Bewertung_Stammdaten!E$41,IF(AG51&lt;Bewertung_Stammdaten!F$42,Bewertung_Stammdaten!E$42,IF(AG51&lt;Bewertung_Stammdaten!F$43,Bewertung_Stammdaten!E$43,IF(AG51&lt;Bewertung_Stammdaten!F$44,Bewertung_Stammdaten!E$44,IF(AG51&lt;Bewertung_Stammdaten!F$45,Bewertung_Stammdaten!E$45,IF(AG51&lt;Bewertung_Stammdaten!F$46,Bewertung_Stammdaten!E$46,Bewertung_Stammdaten!E$47)))))))))</f>
        <v>7.5</v>
      </c>
      <c r="AL51" s="32">
        <f ca="1">IF(AI51&lt;Bewertung_Stammdaten!J$38,Bewertung_Stammdaten!I$38,IF(AI51&lt;Bewertung_Stammdaten!J$39,Bewertung_Stammdaten!I$39,IF(AI51&lt;Bewertung_Stammdaten!J$40,Bewertung_Stammdaten!I$40,IF(AI51&lt;Bewertung_Stammdaten!J$41,Bewertung_Stammdaten!I$41,IF(AI51&lt;Bewertung_Stammdaten!J$42,Bewertung_Stammdaten!I$42,IF(AI51&lt;Bewertung_Stammdaten!J$43,Bewertung_Stammdaten!I$43,IF(AI51&lt;Bewertung_Stammdaten!J$44,Bewertung_Stammdaten!I$44,IF(AI51&lt;Bewertung_Stammdaten!J$45,Bewertung_Stammdaten!I$45,IF(AI51&lt;Bewertung_Stammdaten!J$46,Bewertung_Stammdaten!I$46,Bewertung_Stammdaten!I$47)))))))))</f>
        <v>3</v>
      </c>
      <c r="AM51" s="43"/>
      <c r="AN51" s="14">
        <f ca="1">VLOOKUP(A51,Dividende_je_Aktie!A$3:AM$103,24,FALSE)</f>
        <v>1.2734999999999999</v>
      </c>
      <c r="AO51" s="14">
        <f>VLOOKUP(A51,Dividende_je_Aktie!A$3:AM$103,20,FALSE)</f>
        <v>0.92083333333333328</v>
      </c>
      <c r="AP51" s="12">
        <f ca="1">VLOOKUP(A51,Dividende_je_Aktie!A$3:AM$103,25,FALSE)</f>
        <v>0.38298642533936644</v>
      </c>
      <c r="AQ51" s="40">
        <f>VLOOKUP(A51,Dividende_je_Aktie!A$3:AM$103,39,FALSE)</f>
        <v>0</v>
      </c>
      <c r="AR51" s="16">
        <f t="shared" ca="1" si="20"/>
        <v>1.2734999999999999</v>
      </c>
      <c r="AS51" s="12">
        <f t="shared" ca="1" si="21"/>
        <v>0.38298642533936644</v>
      </c>
      <c r="AT51" s="32">
        <f ca="1">IF(AP51&lt;Bewertung_Stammdaten!B$51,Bewertung_Stammdaten!A$51,IF(AP51&lt;Bewertung_Stammdaten!B$52,Bewertung_Stammdaten!A$52,IF(AP51&lt;Bewertung_Stammdaten!B$53,Bewertung_Stammdaten!A$53,IF(AP51&lt;Bewertung_Stammdaten!B$54,Bewertung_Stammdaten!A$54,IF(AP51&lt;Bewertung_Stammdaten!B$55,Bewertung_Stammdaten!A$55,IF(AP51&lt;Bewertung_Stammdaten!B$56,Bewertung_Stammdaten!A$56,IF(AP51&lt;Bewertung_Stammdaten!B$57,Bewertung_Stammdaten!A$57,IF(AP51&lt;Bewertung_Stammdaten!B$58,Bewertung_Stammdaten!A$58,IF(AP51&lt;Bewertung_Stammdaten!B$59,Bewertung_Stammdaten!A$59,Bewertung_Stammdaten!A$60)))))))))</f>
        <v>12</v>
      </c>
      <c r="AU51" s="32">
        <f>IF(AQ51&lt;Bewertung_Stammdaten!F$51,Bewertung_Stammdaten!E$51,IF(AQ51&lt;Bewertung_Stammdaten!F$52,Bewertung_Stammdaten!E$52,IF(AQ51&lt;Bewertung_Stammdaten!F$53,Bewertung_Stammdaten!E$53,IF(AQ51&lt;Bewertung_Stammdaten!F$54,Bewertung_Stammdaten!E$54,IF(AQ51&lt;Bewertung_Stammdaten!F$55,Bewertung_Stammdaten!E$55,IF(AQ51&lt;Bewertung_Stammdaten!F$56,Bewertung_Stammdaten!E$56,IF(AQ51&lt;Bewertung_Stammdaten!F$57,Bewertung_Stammdaten!E$57,IF(AQ51&lt;Bewertung_Stammdaten!F$58,Bewertung_Stammdaten!E$58,IF(AQ51&lt;Bewertung_Stammdaten!F$59,Bewertung_Stammdaten!E$59,Bewertung_Stammdaten!E$60)))))))))</f>
        <v>12</v>
      </c>
      <c r="AV51" s="32">
        <f ca="1">IF(AS51&lt;Bewertung_Stammdaten!J$51,Bewertung_Stammdaten!I$51,IF(AS51&lt;Bewertung_Stammdaten!J$52,Bewertung_Stammdaten!I$52,IF(AS51&lt;Bewertung_Stammdaten!J$53,Bewertung_Stammdaten!I$53,IF(AS51&lt;Bewertung_Stammdaten!J$54,Bewertung_Stammdaten!I$54,IF(AS51&lt;Bewertung_Stammdaten!J$55,Bewertung_Stammdaten!I$55,IF(AS51&lt;Bewertung_Stammdaten!J$56,Bewertung_Stammdaten!I$56,IF(AS51&lt;Bewertung_Stammdaten!J$57,Bewertung_Stammdaten!I$57,IF(AS51&lt;Bewertung_Stammdaten!J$58,Bewertung_Stammdaten!I$58,IF(AS51&lt;Bewertung_Stammdaten!J$59,Bewertung_Stammdaten!I$59,Bewertung_Stammdaten!I$60)))))))))</f>
        <v>8</v>
      </c>
      <c r="AW51" s="43"/>
      <c r="AX51" s="12">
        <f ca="1">VLOOKUP(A51,Dividendenrendite!A$3:R$103,17,FALSE)</f>
        <v>2.137844665129925E-2</v>
      </c>
      <c r="AY51" s="12">
        <f>VLOOKUP(A51,Dividendenrendite!A$3:R$103,16,FALSE)</f>
        <v>2.3591749842856866E-2</v>
      </c>
      <c r="AZ51" s="12">
        <f ca="1">VLOOKUP(A51,Dividendenrendite!A$3:R$103,18,FALSE)</f>
        <v>-9.3816830302978271E-2</v>
      </c>
      <c r="BA51" s="32">
        <f ca="1">IF(AX51&lt;Bewertung_Stammdaten!B$64,Bewertung_Stammdaten!A$64,IF(AX51&lt;Bewertung_Stammdaten!B$65,Bewertung_Stammdaten!A$65,IF(AX51&lt;Bewertung_Stammdaten!B$66,Bewertung_Stammdaten!A$66,IF(AX51&lt;Bewertung_Stammdaten!B$67,Bewertung_Stammdaten!A$67,IF(AX51&lt;Bewertung_Stammdaten!B$68,Bewertung_Stammdaten!A$68,IF(AX51&lt;Bewertung_Stammdaten!B$69,Bewertung_Stammdaten!A$69,IF(AX51&lt;Bewertung_Stammdaten!B$70,Bewertung_Stammdaten!A$70,IF(AX51&lt;Bewertung_Stammdaten!B$71,Bewertung_Stammdaten!A$71,IF(AX51&lt;Bewertung_Stammdaten!B$72,Bewertung_Stammdaten!A$72,Bewertung_Stammdaten!A$73)))))))))</f>
        <v>7.5</v>
      </c>
      <c r="BB51" s="32">
        <f>IF(AY51&lt;Bewertung_Stammdaten!F$64,Bewertung_Stammdaten!E$64,IF(AY51&lt;Bewertung_Stammdaten!F$65,Bewertung_Stammdaten!E$65,IF(AY51&lt;Bewertung_Stammdaten!F$66,Bewertung_Stammdaten!E$66,IF(AY51&lt;Bewertung_Stammdaten!F$67,Bewertung_Stammdaten!E$67,IF(AY51&lt;Bewertung_Stammdaten!F$68,Bewertung_Stammdaten!E$68,IF(AY51&lt;Bewertung_Stammdaten!F$69,Bewertung_Stammdaten!E$69,IF(AY51&lt;Bewertung_Stammdaten!F$70,Bewertung_Stammdaten!E$70,IF(AY51&lt;Bewertung_Stammdaten!F$71,Bewertung_Stammdaten!E$71,IF(AY51&lt;Bewertung_Stammdaten!F$72,Bewertung_Stammdaten!E$72,Bewertung_Stammdaten!E$73)))))))))</f>
        <v>5</v>
      </c>
      <c r="BC51" s="32">
        <f ca="1">IF(AZ51&lt;Bewertung_Stammdaten!J$64,Bewertung_Stammdaten!I$64,IF(AZ51&lt;Bewertung_Stammdaten!J$65,Bewertung_Stammdaten!I$65,IF(AZ51&lt;Bewertung_Stammdaten!J$66,Bewertung_Stammdaten!I$66,IF(AZ51&lt;Bewertung_Stammdaten!J$67,Bewertung_Stammdaten!I$67,IF(AZ51&lt;Bewertung_Stammdaten!J$68,Bewertung_Stammdaten!I$68,IF(AZ51&lt;Bewertung_Stammdaten!J$69,Bewertung_Stammdaten!I$69,IF(AZ51&lt;Bewertung_Stammdaten!J$70,Bewertung_Stammdaten!I$70,IF(AZ51&lt;Bewertung_Stammdaten!J$71,Bewertung_Stammdaten!I$71,IF(AZ51&lt;Bewertung_Stammdaten!J$72,Bewertung_Stammdaten!I$72,Bewertung_Stammdaten!I$73)))))))))</f>
        <v>2</v>
      </c>
      <c r="BD51" s="43"/>
      <c r="BE51" s="12">
        <f>VLOOKUP(A51,Aktien_im_Umlauf_splitbereinigt!A$3:AB$103,28,FALSE)</f>
        <v>-3.3412887828162319E-2</v>
      </c>
      <c r="BF51" s="12">
        <f>VLOOKUP(A51,Aktien_im_Umlauf_splitbereinigt!A$3:AA$103,26,FALSE)</f>
        <v>8.3948143597704951E-3</v>
      </c>
      <c r="BG51" s="12">
        <f>VLOOKUP(A51,Aktien_im_Umlauf_splitbereinigt!A$3:AA$103,27,FALSE)</f>
        <v>4.9801818594444525</v>
      </c>
      <c r="BH51" s="41">
        <f>IF(BE51&lt;Bewertung_Stammdaten!B$77,Bewertung_Stammdaten!A$77,IF(BE51&lt;Bewertung_Stammdaten!B$78,Bewertung_Stammdaten!A$78,IF(BE51&lt;Bewertung_Stammdaten!B$79,Bewertung_Stammdaten!A$79,IF(BE51&lt;Bewertung_Stammdaten!B$80,Bewertung_Stammdaten!A$80,IF(BE51&lt;Bewertung_Stammdaten!B$81,Bewertung_Stammdaten!A$81,IF(BE51&lt;Bewertung_Stammdaten!B$82,Bewertung_Stammdaten!A$82,IF(BE51&lt;Bewertung_Stammdaten!B$83,Bewertung_Stammdaten!A$83,IF(BE51&lt;Bewertung_Stammdaten!B$84,Bewertung_Stammdaten!A$84,IF(BE51&lt;Bewertung_Stammdaten!B$85,Bewertung_Stammdaten!A$85,Bewertung_Stammdaten!A$86)))))))))</f>
        <v>9</v>
      </c>
      <c r="BI51" s="41">
        <f>IF(BF51&lt;Bewertung_Stammdaten!F$77,Bewertung_Stammdaten!E$77,IF(BF51&lt;Bewertung_Stammdaten!F$78,Bewertung_Stammdaten!E$78,IF(BF51&lt;Bewertung_Stammdaten!F$79,Bewertung_Stammdaten!E$79,IF(BF51&lt;Bewertung_Stammdaten!F$80,Bewertung_Stammdaten!E$80,IF(BF51&lt;Bewertung_Stammdaten!F$81,Bewertung_Stammdaten!E$81,IF(BF51&lt;Bewertung_Stammdaten!F$82,Bewertung_Stammdaten!E$82,IF(BF51&lt;Bewertung_Stammdaten!F$83,Bewertung_Stammdaten!E$83,IF(BF51&lt;Bewertung_Stammdaten!F$84,Bewertung_Stammdaten!E$84,IF(BF51&lt;Bewertung_Stammdaten!F$85,Bewertung_Stammdaten!E$85,Bewertung_Stammdaten!E$86)))))))))</f>
        <v>1</v>
      </c>
      <c r="BJ51" s="41">
        <f>IF(BG51&lt;Bewertung_Stammdaten!J$77,Bewertung_Stammdaten!I$77,IF(BG51&lt;Bewertung_Stammdaten!J$78,Bewertung_Stammdaten!I$78,IF(BG51&lt;Bewertung_Stammdaten!J$79,Bewertung_Stammdaten!I$79,IF(BG51&lt;Bewertung_Stammdaten!J$80,Bewertung_Stammdaten!I$80,IF(BG51&lt;Bewertung_Stammdaten!J$81,Bewertung_Stammdaten!I$81,IF(BG51&lt;Bewertung_Stammdaten!J$82,Bewertung_Stammdaten!I$82,IF(BG51&lt;Bewertung_Stammdaten!J$83,Bewertung_Stammdaten!I$83,IF(BG51&lt;Bewertung_Stammdaten!J$84,Bewertung_Stammdaten!I$84,IF(BG51&lt;Bewertung_Stammdaten!J$85,Bewertung_Stammdaten!I$85,Bewertung_Stammdaten!I$86)))))))))</f>
        <v>5</v>
      </c>
      <c r="BK51" s="43"/>
      <c r="BL51" s="12">
        <f ca="1">VLOOKUP(A51,Ausschüttungsquote!A$3:AL$103,37,FALSE)</f>
        <v>0.5973738157789984</v>
      </c>
      <c r="BM51" s="12">
        <f>VLOOKUP(A51,Ausschüttungsquote!A$3:AL$103,19,FALSE)</f>
        <v>0.59617192049761503</v>
      </c>
      <c r="BN51" s="12">
        <f ca="1">VLOOKUP(A51,Ausschüttungsquote!A$3:AL$103,38,FALSE)</f>
        <v>0.17569752413982087</v>
      </c>
      <c r="BO51" s="32">
        <f ca="1">IF(BL51&lt;Bewertung_Stammdaten!B$90,Bewertung_Stammdaten!A$90,IF(BL51&lt;Bewertung_Stammdaten!B$91,Bewertung_Stammdaten!A$91,IF(BL51&lt;Bewertung_Stammdaten!B$92,Bewertung_Stammdaten!A$92,IF(BL51&lt;Bewertung_Stammdaten!B$93,Bewertung_Stammdaten!A$93,IF(BL51&lt;Bewertung_Stammdaten!B$94,Bewertung_Stammdaten!A$94,IF(BL51&lt;Bewertung_Stammdaten!B$95,Bewertung_Stammdaten!A$95,IF(BL51&lt;Bewertung_Stammdaten!B$96,Bewertung_Stammdaten!A$96,IF(BL51&lt;Bewertung_Stammdaten!B$97,Bewertung_Stammdaten!A$97,IF(BL51&lt;Bewertung_Stammdaten!B$98,Bewertung_Stammdaten!A$98,Bewertung_Stammdaten!A$99)))))))))</f>
        <v>6</v>
      </c>
      <c r="BP51" s="41">
        <f>IF(BM51&lt;Bewertung_Stammdaten!F$90,Bewertung_Stammdaten!E$90,IF(BM51&lt;Bewertung_Stammdaten!F$91,Bewertung_Stammdaten!E$91,IF(BM51&lt;Bewertung_Stammdaten!F$92,Bewertung_Stammdaten!E$92,IF(BM51&lt;Bewertung_Stammdaten!F$93,Bewertung_Stammdaten!E$93,IF(BM51&lt;Bewertung_Stammdaten!F$94,Bewertung_Stammdaten!E$94,IF(BM51&lt;Bewertung_Stammdaten!F$95,Bewertung_Stammdaten!E$95,IF(BM51&lt;Bewertung_Stammdaten!F$96,Bewertung_Stammdaten!E$96,IF(BM51&lt;Bewertung_Stammdaten!F$97,Bewertung_Stammdaten!E$97,IF(BM51&lt;Bewertung_Stammdaten!F$98,Bewertung_Stammdaten!E$98,Bewertung_Stammdaten!E$99)))))))))</f>
        <v>6</v>
      </c>
      <c r="BQ51" s="32">
        <f ca="1">IF(BN51&lt;Bewertung_Stammdaten!J$90,Bewertung_Stammdaten!I$90,IF(BN51&lt;Bewertung_Stammdaten!J$91,Bewertung_Stammdaten!I$91,IF(BN51&lt;Bewertung_Stammdaten!J$92,Bewertung_Stammdaten!I$92,IF(BN51&lt;Bewertung_Stammdaten!J$93,Bewertung_Stammdaten!I$93,IF(BN51&lt;Bewertung_Stammdaten!J$94,Bewertung_Stammdaten!I$94,IF(BN51&lt;Bewertung_Stammdaten!J$95,Bewertung_Stammdaten!I$95,IF(BN51&lt;Bewertung_Stammdaten!J$96,Bewertung_Stammdaten!I$96,IF(BN51&lt;Bewertung_Stammdaten!J$97,Bewertung_Stammdaten!I$97,IF(BN51&lt;Bewertung_Stammdaten!J$98,Bewertung_Stammdaten!I$98,Bewertung_Stammdaten!I$99)))))))))</f>
        <v>2</v>
      </c>
    </row>
    <row r="52" spans="1:69">
      <c r="A52" s="38" t="s">
        <v>18</v>
      </c>
      <c r="B52" s="38" t="s">
        <v>19</v>
      </c>
      <c r="C52" s="38" t="s">
        <v>283</v>
      </c>
      <c r="D52" s="32">
        <f t="shared" ca="1" si="11"/>
        <v>117</v>
      </c>
      <c r="E52" s="43"/>
      <c r="F52" s="60">
        <v>0</v>
      </c>
      <c r="G52" s="11">
        <f ca="1">VLOOKUP(A52,KGV!A$3:R$103,17,FALSE)</f>
        <v>9.2292358803986705</v>
      </c>
      <c r="H52" s="11">
        <f>VLOOKUP(A52,KGV!A$3:R$103,16,FALSE)</f>
        <v>8.6563199280590588</v>
      </c>
      <c r="I52" s="12">
        <f ca="1">VLOOKUP(A52,KGV!A$3:R$103,18,FALSE)</f>
        <v>6.6184701709387062E-2</v>
      </c>
      <c r="J52" s="16">
        <f t="shared" ca="1" si="12"/>
        <v>99</v>
      </c>
      <c r="K52" s="12">
        <f t="shared" ca="1" si="13"/>
        <v>10.43673071498849</v>
      </c>
      <c r="L52" s="11">
        <f ca="1">VLOOKUP(A52,KBV!A$3:R$103,17,FALSE)</f>
        <v>0.97268907563025209</v>
      </c>
      <c r="M52" s="11">
        <f>VLOOKUP(A52,KBV!A$3:R$103,16,FALSE)</f>
        <v>0.95524564761644337</v>
      </c>
      <c r="N52" s="12">
        <f ca="1">VLOOKUP(A52,KBV!A$3:R$103,18,FALSE)</f>
        <v>1.8260672589646587E-2</v>
      </c>
      <c r="O52" s="16">
        <f t="shared" ca="1" si="14"/>
        <v>1.3876681943792983</v>
      </c>
      <c r="P52" s="12">
        <f t="shared" ca="1" si="15"/>
        <v>0.45268203821901554</v>
      </c>
      <c r="Q52" s="32">
        <f ca="1">IF(F52=1,IF(I52&lt;Bewertung_Stammdaten!B$12,Bewertung_Stammdaten!A$12,IF(I52&lt;Bewertung_Stammdaten!B$13,Bewertung_Stammdaten!A$13,IF(I52&lt;Bewertung_Stammdaten!B$14,Bewertung_Stammdaten!A$14,IF(I52&lt;Bewertung_Stammdaten!B$15,Bewertung_Stammdaten!A$15,IF(I52&lt;Bewertung_Stammdaten!B$16,Bewertung_Stammdaten!A$16,IF(I52&lt;Bewertung_Stammdaten!B$17,Bewertung_Stammdaten!A$17,IF(I52&lt;Bewertung_Stammdaten!B$18,Bewertung_Stammdaten!A$18,IF(I52&lt;Bewertung_Stammdaten!B$19,Bewertung_Stammdaten!A$19,IF(I52&lt;Bewertung_Stammdaten!B$20,Bewertung_Stammdaten!A$20,Bewertung_Stammdaten!A$21))))))))),IF(N52&lt;Bewertung_Stammdaten!C$12,Bewertung_Stammdaten!A$12,IF(N52&lt;Bewertung_Stammdaten!C$13,Bewertung_Stammdaten!A$13,IF(N52&lt;Bewertung_Stammdaten!C$14,Bewertung_Stammdaten!A$14,IF(N52&lt;Bewertung_Stammdaten!C$15,Bewertung_Stammdaten!A$15,IF(N52&lt;Bewertung_Stammdaten!C$16,Bewertung_Stammdaten!A$16,IF(N52&lt;Bewertung_Stammdaten!C$17,Bewertung_Stammdaten!A$17,IF(N52&lt;Bewertung_Stammdaten!C$18,Bewertung_Stammdaten!A$18,IF(N52&lt;Bewertung_Stammdaten!C$19,Bewertung_Stammdaten!A$19,IF(N52&lt;Bewertung_Stammdaten!C$20,Bewertung_Stammdaten!A$20,Bewertung_Stammdaten!A$21))))))))))</f>
        <v>12</v>
      </c>
      <c r="R52" s="32">
        <f ca="1">IF(F52=1,IF(K52&lt;Bewertung_Stammdaten!F$12,Bewertung_Stammdaten!E$12,IF(K52&lt;Bewertung_Stammdaten!F$13,Bewertung_Stammdaten!E$13,IF(K52&lt;Bewertung_Stammdaten!F$14,Bewertung_Stammdaten!E$14,IF(K52&lt;Bewertung_Stammdaten!F$15,Bewertung_Stammdaten!E$15,IF(K52&lt;Bewertung_Stammdaten!F$16,Bewertung_Stammdaten!E$16,IF(K52&lt;Bewertung_Stammdaten!F$17,Bewertung_Stammdaten!E$17,IF(K52&lt;Bewertung_Stammdaten!F$18,Bewertung_Stammdaten!E$18,IF(K52&lt;Bewertung_Stammdaten!F$19,Bewertung_Stammdaten!E$19,IF(K52&lt;Bewertung_Stammdaten!F$20,Bewertung_Stammdaten!E$20,Bewertung_Stammdaten!E$21))))))))),IF(P52&lt;Bewertung_Stammdaten!G$12,Bewertung_Stammdaten!E$12,IF(P52&lt;Bewertung_Stammdaten!G$13,Bewertung_Stammdaten!E$13,IF(P52&lt;Bewertung_Stammdaten!G$14,Bewertung_Stammdaten!E$14,IF(P52&lt;Bewertung_Stammdaten!G$15,Bewertung_Stammdaten!E$15,IF(P52&lt;Bewertung_Stammdaten!G$16,Bewertung_Stammdaten!E$16,IF(P52&lt;Bewertung_Stammdaten!G$17,Bewertung_Stammdaten!E$17,IF(P52&lt;Bewertung_Stammdaten!G$18,Bewertung_Stammdaten!E$18,IF(P52&lt;Bewertung_Stammdaten!G$19,Bewertung_Stammdaten!E$19,IF(P52&lt;Bewertung_Stammdaten!G$20,Bewertung_Stammdaten!E$20,Bewertung_Stammdaten!E$21))))))))))</f>
        <v>2.5</v>
      </c>
      <c r="S52" s="43"/>
      <c r="T52" s="11">
        <f ca="1">VLOOKUP(A52,Buchwert_je_Aktie!A$3:AK$103,23,FALSE)</f>
        <v>142.80000000000001</v>
      </c>
      <c r="U52" s="11">
        <f>VLOOKUP(A52,Buchwert_je_Aktie!A$3:AK$103,19,FALSE)</f>
        <v>116.96230769230769</v>
      </c>
      <c r="V52" s="12">
        <f ca="1">VLOOKUP(A52,Buchwert_je_Aktie!A$3:AK$103,24,FALSE)</f>
        <v>0.2209061433334869</v>
      </c>
      <c r="W52" s="12">
        <f>VLOOKUP(A52,Buchwert_je_Aktie!A$3:AK$103,37,FALSE)</f>
        <v>-0.29904779862355046</v>
      </c>
      <c r="X52" s="16">
        <f t="shared" ca="1" si="16"/>
        <v>100.09597435655701</v>
      </c>
      <c r="Y52" s="12">
        <f t="shared" ca="1" si="17"/>
        <v>-0.14420315115636129</v>
      </c>
      <c r="Z52" s="51">
        <f ca="1">IF(V52&lt;Bewertung_Stammdaten!B$25,Bewertung_Stammdaten!A$25,IF(V52&lt;Bewertung_Stammdaten!B$26,Bewertung_Stammdaten!A$26,IF(V52&lt;Bewertung_Stammdaten!B$27,Bewertung_Stammdaten!A$27,IF(V52&lt;Bewertung_Stammdaten!B$28,Bewertung_Stammdaten!A$28,IF(V52&lt;Bewertung_Stammdaten!B$29,Bewertung_Stammdaten!A$29,IF(V52&lt;Bewertung_Stammdaten!B$30,Bewertung_Stammdaten!A$30,IF(V52&lt;Bewertung_Stammdaten!B$31,Bewertung_Stammdaten!A$31,IF(V52&lt;Bewertung_Stammdaten!B$32,Bewertung_Stammdaten!A$32,IF(V52&lt;Bewertung_Stammdaten!B$33,Bewertung_Stammdaten!A$33,Bewertung_Stammdaten!A$34)))))))))</f>
        <v>7.5</v>
      </c>
      <c r="AA52" s="51">
        <f>IF(W52&lt;Bewertung_Stammdaten!F$25,Bewertung_Stammdaten!E$25,IF(W52&lt;Bewertung_Stammdaten!F$26,Bewertung_Stammdaten!E$26,IF(W52&lt;Bewertung_Stammdaten!F$27,Bewertung_Stammdaten!E$27,IF(W52&lt;Bewertung_Stammdaten!F$28,Bewertung_Stammdaten!E$28,IF(W52&lt;Bewertung_Stammdaten!F$29,Bewertung_Stammdaten!E$29,IF(W52&lt;Bewertung_Stammdaten!F$30,Bewertung_Stammdaten!E$30,IF(W52&lt;Bewertung_Stammdaten!F$31,Bewertung_Stammdaten!E$31,IF(W52&lt;Bewertung_Stammdaten!F$32,Bewertung_Stammdaten!E$32,IF(W52&lt;Bewertung_Stammdaten!F$33,Bewertung_Stammdaten!E$33,Bewertung_Stammdaten!E$34)))))))))</f>
        <v>3</v>
      </c>
      <c r="AB52" s="51">
        <f ca="1">IF(Y52&lt;Bewertung_Stammdaten!J$25,Bewertung_Stammdaten!I$25,IF(Y52&lt;Bewertung_Stammdaten!J$26,Bewertung_Stammdaten!I$26,IF(Y52&lt;Bewertung_Stammdaten!J$27,Bewertung_Stammdaten!I$27,IF(Y52&lt;Bewertung_Stammdaten!J$28,Bewertung_Stammdaten!I$28,IF(Y52&lt;Bewertung_Stammdaten!J$29,Bewertung_Stammdaten!I$29,IF(Y52&lt;Bewertung_Stammdaten!J$30,Bewertung_Stammdaten!I$30,IF(Y52&lt;Bewertung_Stammdaten!J$31,Bewertung_Stammdaten!I$31,IF(Y52&lt;Bewertung_Stammdaten!J$32,Bewertung_Stammdaten!I$32,IF(Y52&lt;Bewertung_Stammdaten!J$33,Bewertung_Stammdaten!I$33,Bewertung_Stammdaten!I$34)))))))))</f>
        <v>1</v>
      </c>
      <c r="AC52" s="43"/>
      <c r="AD52" s="14">
        <f ca="1">VLOOKUP(A52,Ergebnis_je_Aktie_verwässert!A$3:AK$103,23,FALSE)</f>
        <v>15.05</v>
      </c>
      <c r="AE52" s="14">
        <f>VLOOKUP(A52,Ergebnis_je_Aktie_verwässert!A$3:AK$103,19,FALSE)</f>
        <v>11.861538461538462</v>
      </c>
      <c r="AF52" s="12">
        <f ca="1">VLOOKUP(A52,Ergebnis_je_Aktie_verwässert!A$3:AK$103,24,FALSE)</f>
        <v>0.26880674448767827</v>
      </c>
      <c r="AG52" s="40">
        <f>VLOOKUP(A52,Ergebnis_je_Aktie_verwässert!A$3:AK$103,37,FALSE)</f>
        <v>-1.3088650479954826</v>
      </c>
      <c r="AH52" s="16">
        <f t="shared" ca="1" si="18"/>
        <v>-4.6484189723320144</v>
      </c>
      <c r="AI52" s="12">
        <f t="shared" ca="1" si="19"/>
        <v>-1.3918900560331788</v>
      </c>
      <c r="AJ52" s="32">
        <f ca="1">IF(AF52&lt;Bewertung_Stammdaten!B$38,Bewertung_Stammdaten!A$38,IF(AF52&lt;Bewertung_Stammdaten!B$39,Bewertung_Stammdaten!A$39,IF(AF52&lt;Bewertung_Stammdaten!B$40,Bewertung_Stammdaten!A$40,IF(AF52&lt;Bewertung_Stammdaten!B$41,Bewertung_Stammdaten!A$41,IF(AF52&lt;Bewertung_Stammdaten!B$42,Bewertung_Stammdaten!A$42,IF(AF52&lt;Bewertung_Stammdaten!B$43,Bewertung_Stammdaten!A$43,IF(AF52&lt;Bewertung_Stammdaten!B$44,Bewertung_Stammdaten!A$44,IF(AF52&lt;Bewertung_Stammdaten!B$45,Bewertung_Stammdaten!A$45,IF(AF52&lt;Bewertung_Stammdaten!B$46,Bewertung_Stammdaten!A$46,Bewertung_Stammdaten!A$47)))))))))</f>
        <v>12</v>
      </c>
      <c r="AK52" s="32">
        <f>IF(AG52&lt;Bewertung_Stammdaten!F$38,Bewertung_Stammdaten!E$38,IF(AG52&lt;Bewertung_Stammdaten!F$39,Bewertung_Stammdaten!E$39,IF(AG52&lt;Bewertung_Stammdaten!F$40,Bewertung_Stammdaten!E$40,IF(AG52&lt;Bewertung_Stammdaten!F$41,Bewertung_Stammdaten!E$41,IF(AG52&lt;Bewertung_Stammdaten!F$42,Bewertung_Stammdaten!E$42,IF(AG52&lt;Bewertung_Stammdaten!F$43,Bewertung_Stammdaten!E$43,IF(AG52&lt;Bewertung_Stammdaten!F$44,Bewertung_Stammdaten!E$44,IF(AG52&lt;Bewertung_Stammdaten!F$45,Bewertung_Stammdaten!E$45,IF(AG52&lt;Bewertung_Stammdaten!F$46,Bewertung_Stammdaten!E$46,Bewertung_Stammdaten!E$47)))))))))</f>
        <v>1.5</v>
      </c>
      <c r="AL52" s="32">
        <f ca="1">IF(AI52&lt;Bewertung_Stammdaten!J$38,Bewertung_Stammdaten!I$38,IF(AI52&lt;Bewertung_Stammdaten!J$39,Bewertung_Stammdaten!I$39,IF(AI52&lt;Bewertung_Stammdaten!J$40,Bewertung_Stammdaten!I$40,IF(AI52&lt;Bewertung_Stammdaten!J$41,Bewertung_Stammdaten!I$41,IF(AI52&lt;Bewertung_Stammdaten!J$42,Bewertung_Stammdaten!I$42,IF(AI52&lt;Bewertung_Stammdaten!J$43,Bewertung_Stammdaten!I$43,IF(AI52&lt;Bewertung_Stammdaten!J$44,Bewertung_Stammdaten!I$44,IF(AI52&lt;Bewertung_Stammdaten!J$45,Bewertung_Stammdaten!I$45,IF(AI52&lt;Bewertung_Stammdaten!J$46,Bewertung_Stammdaten!I$46,Bewertung_Stammdaten!I$47)))))))))</f>
        <v>1</v>
      </c>
      <c r="AM52" s="43"/>
      <c r="AN52" s="14">
        <f ca="1">VLOOKUP(A52,Dividende_je_Aktie!A$3:AM$103,24,FALSE)</f>
        <v>7.6310000000000002</v>
      </c>
      <c r="AO52" s="14">
        <f>VLOOKUP(A52,Dividende_je_Aktie!A$3:AM$103,20,FALSE)</f>
        <v>5.3771428571428563</v>
      </c>
      <c r="AP52" s="12">
        <f ca="1">VLOOKUP(A52,Dividende_je_Aktie!A$3:AM$103,25,FALSE)</f>
        <v>0.41915515409139248</v>
      </c>
      <c r="AQ52" s="40">
        <f>VLOOKUP(A52,Dividende_je_Aktie!A$3:AM$103,39,FALSE)</f>
        <v>-0.36363636363636365</v>
      </c>
      <c r="AR52" s="16">
        <f t="shared" ca="1" si="20"/>
        <v>4.8560909090909092</v>
      </c>
      <c r="AS52" s="12">
        <f t="shared" ca="1" si="21"/>
        <v>-9.6901265578204887E-2</v>
      </c>
      <c r="AT52" s="32">
        <f ca="1">IF(AP52&lt;Bewertung_Stammdaten!B$51,Bewertung_Stammdaten!A$51,IF(AP52&lt;Bewertung_Stammdaten!B$52,Bewertung_Stammdaten!A$52,IF(AP52&lt;Bewertung_Stammdaten!B$53,Bewertung_Stammdaten!A$53,IF(AP52&lt;Bewertung_Stammdaten!B$54,Bewertung_Stammdaten!A$54,IF(AP52&lt;Bewertung_Stammdaten!B$55,Bewertung_Stammdaten!A$55,IF(AP52&lt;Bewertung_Stammdaten!B$56,Bewertung_Stammdaten!A$56,IF(AP52&lt;Bewertung_Stammdaten!B$57,Bewertung_Stammdaten!A$57,IF(AP52&lt;Bewertung_Stammdaten!B$58,Bewertung_Stammdaten!A$58,IF(AP52&lt;Bewertung_Stammdaten!B$59,Bewertung_Stammdaten!A$59,Bewertung_Stammdaten!A$60)))))))))</f>
        <v>14</v>
      </c>
      <c r="AU52" s="32">
        <f>IF(AQ52&lt;Bewertung_Stammdaten!F$51,Bewertung_Stammdaten!E$51,IF(AQ52&lt;Bewertung_Stammdaten!F$52,Bewertung_Stammdaten!E$52,IF(AQ52&lt;Bewertung_Stammdaten!F$53,Bewertung_Stammdaten!E$53,IF(AQ52&lt;Bewertung_Stammdaten!F$54,Bewertung_Stammdaten!E$54,IF(AQ52&lt;Bewertung_Stammdaten!F$55,Bewertung_Stammdaten!E$55,IF(AQ52&lt;Bewertung_Stammdaten!F$56,Bewertung_Stammdaten!E$56,IF(AQ52&lt;Bewertung_Stammdaten!F$57,Bewertung_Stammdaten!E$57,IF(AQ52&lt;Bewertung_Stammdaten!F$58,Bewertung_Stammdaten!E$58,IF(AQ52&lt;Bewertung_Stammdaten!F$59,Bewertung_Stammdaten!E$59,Bewertung_Stammdaten!E$60)))))))))</f>
        <v>6</v>
      </c>
      <c r="AV52" s="32">
        <f ca="1">IF(AS52&lt;Bewertung_Stammdaten!J$51,Bewertung_Stammdaten!I$51,IF(AS52&lt;Bewertung_Stammdaten!J$52,Bewertung_Stammdaten!I$52,IF(AS52&lt;Bewertung_Stammdaten!J$53,Bewertung_Stammdaten!I$53,IF(AS52&lt;Bewertung_Stammdaten!J$54,Bewertung_Stammdaten!I$54,IF(AS52&lt;Bewertung_Stammdaten!J$55,Bewertung_Stammdaten!I$55,IF(AS52&lt;Bewertung_Stammdaten!J$56,Bewertung_Stammdaten!I$56,IF(AS52&lt;Bewertung_Stammdaten!J$57,Bewertung_Stammdaten!I$57,IF(AS52&lt;Bewertung_Stammdaten!J$58,Bewertung_Stammdaten!I$58,IF(AS52&lt;Bewertung_Stammdaten!J$59,Bewertung_Stammdaten!I$59,Bewertung_Stammdaten!I$60)))))))))</f>
        <v>3</v>
      </c>
      <c r="AW52" s="43"/>
      <c r="AX52" s="12">
        <f ca="1">VLOOKUP(A52,Dividendenrendite!A$3:R$103,17,FALSE)</f>
        <v>5.4938804895608352E-2</v>
      </c>
      <c r="AY52" s="12">
        <f>VLOOKUP(A52,Dividendenrendite!A$3:R$103,16,FALSE)</f>
        <v>4.3925597340519991E-2</v>
      </c>
      <c r="AZ52" s="12">
        <f ca="1">VLOOKUP(A52,Dividendenrendite!A$3:R$103,18,FALSE)</f>
        <v>0.2507241385862502</v>
      </c>
      <c r="BA52" s="32">
        <f ca="1">IF(AX52&lt;Bewertung_Stammdaten!B$64,Bewertung_Stammdaten!A$64,IF(AX52&lt;Bewertung_Stammdaten!B$65,Bewertung_Stammdaten!A$65,IF(AX52&lt;Bewertung_Stammdaten!B$66,Bewertung_Stammdaten!A$66,IF(AX52&lt;Bewertung_Stammdaten!B$67,Bewertung_Stammdaten!A$67,IF(AX52&lt;Bewertung_Stammdaten!B$68,Bewertung_Stammdaten!A$68,IF(AX52&lt;Bewertung_Stammdaten!B$69,Bewertung_Stammdaten!A$69,IF(AX52&lt;Bewertung_Stammdaten!B$70,Bewertung_Stammdaten!A$70,IF(AX52&lt;Bewertung_Stammdaten!B$71,Bewertung_Stammdaten!A$71,IF(AX52&lt;Bewertung_Stammdaten!B$72,Bewertung_Stammdaten!A$72,Bewertung_Stammdaten!A$73)))))))))</f>
        <v>15</v>
      </c>
      <c r="BB52" s="32">
        <f>IF(AY52&lt;Bewertung_Stammdaten!F$64,Bewertung_Stammdaten!E$64,IF(AY52&lt;Bewertung_Stammdaten!F$65,Bewertung_Stammdaten!E$65,IF(AY52&lt;Bewertung_Stammdaten!F$66,Bewertung_Stammdaten!E$66,IF(AY52&lt;Bewertung_Stammdaten!F$67,Bewertung_Stammdaten!E$67,IF(AY52&lt;Bewertung_Stammdaten!F$68,Bewertung_Stammdaten!E$68,IF(AY52&lt;Bewertung_Stammdaten!F$69,Bewertung_Stammdaten!E$69,IF(AY52&lt;Bewertung_Stammdaten!F$70,Bewertung_Stammdaten!E$70,IF(AY52&lt;Bewertung_Stammdaten!F$71,Bewertung_Stammdaten!E$71,IF(AY52&lt;Bewertung_Stammdaten!F$72,Bewertung_Stammdaten!E$72,Bewertung_Stammdaten!E$73)))))))))</f>
        <v>9</v>
      </c>
      <c r="BC52" s="32">
        <f ca="1">IF(AZ52&lt;Bewertung_Stammdaten!J$64,Bewertung_Stammdaten!I$64,IF(AZ52&lt;Bewertung_Stammdaten!J$65,Bewertung_Stammdaten!I$65,IF(AZ52&lt;Bewertung_Stammdaten!J$66,Bewertung_Stammdaten!I$66,IF(AZ52&lt;Bewertung_Stammdaten!J$67,Bewertung_Stammdaten!I$67,IF(AZ52&lt;Bewertung_Stammdaten!J$68,Bewertung_Stammdaten!I$68,IF(AZ52&lt;Bewertung_Stammdaten!J$69,Bewertung_Stammdaten!I$69,IF(AZ52&lt;Bewertung_Stammdaten!J$70,Bewertung_Stammdaten!I$70,IF(AZ52&lt;Bewertung_Stammdaten!J$71,Bewertung_Stammdaten!I$71,IF(AZ52&lt;Bewertung_Stammdaten!J$72,Bewertung_Stammdaten!I$72,Bewertung_Stammdaten!I$73)))))))))</f>
        <v>5</v>
      </c>
      <c r="BD52" s="43"/>
      <c r="BE52" s="12">
        <f>VLOOKUP(A52,Aktien_im_Umlauf_splitbereinigt!A$3:AB$103,28,FALSE)</f>
        <v>0</v>
      </c>
      <c r="BF52" s="12">
        <f>VLOOKUP(A52,Aktien_im_Umlauf_splitbereinigt!A$3:AA$103,26,FALSE)</f>
        <v>1.2119734363753553E-2</v>
      </c>
      <c r="BG52" s="12">
        <f>VLOOKUP(A52,Aktien_im_Umlauf_splitbereinigt!A$3:AA$103,27,FALSE)</f>
        <v>-99.999989999999997</v>
      </c>
      <c r="BH52" s="41">
        <f>IF(BE52&lt;Bewertung_Stammdaten!B$77,Bewertung_Stammdaten!A$77,IF(BE52&lt;Bewertung_Stammdaten!B$78,Bewertung_Stammdaten!A$78,IF(BE52&lt;Bewertung_Stammdaten!B$79,Bewertung_Stammdaten!A$79,IF(BE52&lt;Bewertung_Stammdaten!B$80,Bewertung_Stammdaten!A$80,IF(BE52&lt;Bewertung_Stammdaten!B$81,Bewertung_Stammdaten!A$81,IF(BE52&lt;Bewertung_Stammdaten!B$82,Bewertung_Stammdaten!A$82,IF(BE52&lt;Bewertung_Stammdaten!B$83,Bewertung_Stammdaten!A$83,IF(BE52&lt;Bewertung_Stammdaten!B$84,Bewertung_Stammdaten!A$84,IF(BE52&lt;Bewertung_Stammdaten!B$85,Bewertung_Stammdaten!A$85,Bewertung_Stammdaten!A$86)))))))))</f>
        <v>2</v>
      </c>
      <c r="BI52" s="41">
        <f>IF(BF52&lt;Bewertung_Stammdaten!F$77,Bewertung_Stammdaten!E$77,IF(BF52&lt;Bewertung_Stammdaten!F$78,Bewertung_Stammdaten!E$78,IF(BF52&lt;Bewertung_Stammdaten!F$79,Bewertung_Stammdaten!E$79,IF(BF52&lt;Bewertung_Stammdaten!F$80,Bewertung_Stammdaten!E$80,IF(BF52&lt;Bewertung_Stammdaten!F$81,Bewertung_Stammdaten!E$81,IF(BF52&lt;Bewertung_Stammdaten!F$82,Bewertung_Stammdaten!E$82,IF(BF52&lt;Bewertung_Stammdaten!F$83,Bewertung_Stammdaten!E$83,IF(BF52&lt;Bewertung_Stammdaten!F$84,Bewertung_Stammdaten!E$84,IF(BF52&lt;Bewertung_Stammdaten!F$85,Bewertung_Stammdaten!E$85,Bewertung_Stammdaten!E$86)))))))))</f>
        <v>1</v>
      </c>
      <c r="BJ52" s="41">
        <f>IF(BG52&lt;Bewertung_Stammdaten!J$77,Bewertung_Stammdaten!I$77,IF(BG52&lt;Bewertung_Stammdaten!J$78,Bewertung_Stammdaten!I$78,IF(BG52&lt;Bewertung_Stammdaten!J$79,Bewertung_Stammdaten!I$79,IF(BG52&lt;Bewertung_Stammdaten!J$80,Bewertung_Stammdaten!I$80,IF(BG52&lt;Bewertung_Stammdaten!J$81,Bewertung_Stammdaten!I$81,IF(BG52&lt;Bewertung_Stammdaten!J$82,Bewertung_Stammdaten!I$82,IF(BG52&lt;Bewertung_Stammdaten!J$83,Bewertung_Stammdaten!I$83,IF(BG52&lt;Bewertung_Stammdaten!J$84,Bewertung_Stammdaten!I$84,IF(BG52&lt;Bewertung_Stammdaten!J$85,Bewertung_Stammdaten!I$85,Bewertung_Stammdaten!I$86)))))))))</f>
        <v>0.5</v>
      </c>
      <c r="BK52" s="43"/>
      <c r="BL52" s="12">
        <f ca="1">VLOOKUP(A52,Ausschüttungsquote!A$3:AL$103,37,FALSE)</f>
        <v>0.50708140852436157</v>
      </c>
      <c r="BM52" s="12">
        <f>VLOOKUP(A52,Ausschüttungsquote!A$3:AL$103,19,FALSE)</f>
        <v>0.57794515725631512</v>
      </c>
      <c r="BN52" s="12">
        <f ca="1">VLOOKUP(A52,Ausschüttungsquote!A$3:AL$103,38,FALSE)</f>
        <v>-0.12261327539859623</v>
      </c>
      <c r="BO52" s="32">
        <f ca="1">IF(BL52&lt;Bewertung_Stammdaten!B$90,Bewertung_Stammdaten!A$90,IF(BL52&lt;Bewertung_Stammdaten!B$91,Bewertung_Stammdaten!A$91,IF(BL52&lt;Bewertung_Stammdaten!B$92,Bewertung_Stammdaten!A$92,IF(BL52&lt;Bewertung_Stammdaten!B$93,Bewertung_Stammdaten!A$93,IF(BL52&lt;Bewertung_Stammdaten!B$94,Bewertung_Stammdaten!A$94,IF(BL52&lt;Bewertung_Stammdaten!B$95,Bewertung_Stammdaten!A$95,IF(BL52&lt;Bewertung_Stammdaten!B$96,Bewertung_Stammdaten!A$96,IF(BL52&lt;Bewertung_Stammdaten!B$97,Bewertung_Stammdaten!A$97,IF(BL52&lt;Bewertung_Stammdaten!B$98,Bewertung_Stammdaten!A$98,Bewertung_Stammdaten!A$99)))))))))</f>
        <v>7</v>
      </c>
      <c r="BP52" s="41">
        <f>IF(BM52&lt;Bewertung_Stammdaten!F$90,Bewertung_Stammdaten!E$90,IF(BM52&lt;Bewertung_Stammdaten!F$91,Bewertung_Stammdaten!E$91,IF(BM52&lt;Bewertung_Stammdaten!F$92,Bewertung_Stammdaten!E$92,IF(BM52&lt;Bewertung_Stammdaten!F$93,Bewertung_Stammdaten!E$93,IF(BM52&lt;Bewertung_Stammdaten!F$94,Bewertung_Stammdaten!E$94,IF(BM52&lt;Bewertung_Stammdaten!F$95,Bewertung_Stammdaten!E$95,IF(BM52&lt;Bewertung_Stammdaten!F$96,Bewertung_Stammdaten!E$96,IF(BM52&lt;Bewertung_Stammdaten!F$97,Bewertung_Stammdaten!E$97,IF(BM52&lt;Bewertung_Stammdaten!F$98,Bewertung_Stammdaten!E$98,Bewertung_Stammdaten!E$99)))))))))</f>
        <v>6</v>
      </c>
      <c r="BQ52" s="32">
        <f ca="1">IF(BN52&lt;Bewertung_Stammdaten!J$90,Bewertung_Stammdaten!I$90,IF(BN52&lt;Bewertung_Stammdaten!J$91,Bewertung_Stammdaten!I$91,IF(BN52&lt;Bewertung_Stammdaten!J$92,Bewertung_Stammdaten!I$92,IF(BN52&lt;Bewertung_Stammdaten!J$93,Bewertung_Stammdaten!I$93,IF(BN52&lt;Bewertung_Stammdaten!J$94,Bewertung_Stammdaten!I$94,IF(BN52&lt;Bewertung_Stammdaten!J$95,Bewertung_Stammdaten!I$95,IF(BN52&lt;Bewertung_Stammdaten!J$96,Bewertung_Stammdaten!I$96,IF(BN52&lt;Bewertung_Stammdaten!J$97,Bewertung_Stammdaten!I$97,IF(BN52&lt;Bewertung_Stammdaten!J$98,Bewertung_Stammdaten!I$98,Bewertung_Stammdaten!I$99)))))))))</f>
        <v>8</v>
      </c>
    </row>
    <row r="53" spans="1:69">
      <c r="A53" s="38" t="s">
        <v>94</v>
      </c>
      <c r="B53" s="38" t="s">
        <v>95</v>
      </c>
      <c r="C53" s="38" t="s">
        <v>282</v>
      </c>
      <c r="D53" s="32">
        <f t="shared" ca="1" si="11"/>
        <v>117</v>
      </c>
      <c r="E53" s="43"/>
      <c r="F53" s="60">
        <v>1</v>
      </c>
      <c r="G53" s="11">
        <f ca="1">VLOOKUP(A53,KGV!A$3:R$103,17,FALSE)</f>
        <v>22.136531959426822</v>
      </c>
      <c r="H53" s="11">
        <f>VLOOKUP(A53,KGV!A$3:R$103,16,FALSE)</f>
        <v>16.646251837334642</v>
      </c>
      <c r="I53" s="12">
        <f ca="1">VLOOKUP(A53,KGV!A$3:R$103,18,FALSE)</f>
        <v>0.32982080144783343</v>
      </c>
      <c r="J53" s="16">
        <f t="shared" ca="1" si="12"/>
        <v>22.783994820569912</v>
      </c>
      <c r="K53" s="12">
        <f t="shared" ca="1" si="13"/>
        <v>0.36871621571105773</v>
      </c>
      <c r="L53" s="11">
        <f ca="1">VLOOKUP(A53,KBV!A$3:R$103,17,FALSE)</f>
        <v>169.32266009852216</v>
      </c>
      <c r="M53" s="11">
        <f>VLOOKUP(A53,KBV!A$3:R$103,16,FALSE)</f>
        <v>109.11904761904762</v>
      </c>
      <c r="N53" s="12">
        <f ca="1">VLOOKUP(A53,KBV!A$3:R$103,18,FALSE)</f>
        <v>0.55172413793103448</v>
      </c>
      <c r="O53" s="16">
        <f t="shared" ca="1" si="14"/>
        <v>99</v>
      </c>
      <c r="P53" s="12">
        <f t="shared" ca="1" si="15"/>
        <v>-9.2734017019419634E-2</v>
      </c>
      <c r="Q53" s="32">
        <f ca="1">IF(F53=1,IF(I53&lt;Bewertung_Stammdaten!B$12,Bewertung_Stammdaten!A$12,IF(I53&lt;Bewertung_Stammdaten!B$13,Bewertung_Stammdaten!A$13,IF(I53&lt;Bewertung_Stammdaten!B$14,Bewertung_Stammdaten!A$14,IF(I53&lt;Bewertung_Stammdaten!B$15,Bewertung_Stammdaten!A$15,IF(I53&lt;Bewertung_Stammdaten!B$16,Bewertung_Stammdaten!A$16,IF(I53&lt;Bewertung_Stammdaten!B$17,Bewertung_Stammdaten!A$17,IF(I53&lt;Bewertung_Stammdaten!B$18,Bewertung_Stammdaten!A$18,IF(I53&lt;Bewertung_Stammdaten!B$19,Bewertung_Stammdaten!A$19,IF(I53&lt;Bewertung_Stammdaten!B$20,Bewertung_Stammdaten!A$20,Bewertung_Stammdaten!A$21))))))))),IF(N53&lt;Bewertung_Stammdaten!C$12,Bewertung_Stammdaten!A$12,IF(N53&lt;Bewertung_Stammdaten!C$13,Bewertung_Stammdaten!A$13,IF(N53&lt;Bewertung_Stammdaten!C$14,Bewertung_Stammdaten!A$14,IF(N53&lt;Bewertung_Stammdaten!C$15,Bewertung_Stammdaten!A$15,IF(N53&lt;Bewertung_Stammdaten!C$16,Bewertung_Stammdaten!A$16,IF(N53&lt;Bewertung_Stammdaten!C$17,Bewertung_Stammdaten!A$17,IF(N53&lt;Bewertung_Stammdaten!C$18,Bewertung_Stammdaten!A$18,IF(N53&lt;Bewertung_Stammdaten!C$19,Bewertung_Stammdaten!A$19,IF(N53&lt;Bewertung_Stammdaten!C$20,Bewertung_Stammdaten!A$20,Bewertung_Stammdaten!A$21))))))))))</f>
        <v>6</v>
      </c>
      <c r="R53" s="32">
        <f ca="1">IF(F53=1,IF(K53&lt;Bewertung_Stammdaten!F$12,Bewertung_Stammdaten!E$12,IF(K53&lt;Bewertung_Stammdaten!F$13,Bewertung_Stammdaten!E$13,IF(K53&lt;Bewertung_Stammdaten!F$14,Bewertung_Stammdaten!E$14,IF(K53&lt;Bewertung_Stammdaten!F$15,Bewertung_Stammdaten!E$15,IF(K53&lt;Bewertung_Stammdaten!F$16,Bewertung_Stammdaten!E$16,IF(K53&lt;Bewertung_Stammdaten!F$17,Bewertung_Stammdaten!E$17,IF(K53&lt;Bewertung_Stammdaten!F$18,Bewertung_Stammdaten!E$18,IF(K53&lt;Bewertung_Stammdaten!F$19,Bewertung_Stammdaten!E$19,IF(K53&lt;Bewertung_Stammdaten!F$20,Bewertung_Stammdaten!E$20,Bewertung_Stammdaten!E$21))))))))),IF(P53&lt;Bewertung_Stammdaten!G$12,Bewertung_Stammdaten!E$12,IF(P53&lt;Bewertung_Stammdaten!G$13,Bewertung_Stammdaten!E$13,IF(P53&lt;Bewertung_Stammdaten!G$14,Bewertung_Stammdaten!E$14,IF(P53&lt;Bewertung_Stammdaten!G$15,Bewertung_Stammdaten!E$15,IF(P53&lt;Bewertung_Stammdaten!G$16,Bewertung_Stammdaten!E$16,IF(P53&lt;Bewertung_Stammdaten!G$17,Bewertung_Stammdaten!E$17,IF(P53&lt;Bewertung_Stammdaten!G$18,Bewertung_Stammdaten!E$18,IF(P53&lt;Bewertung_Stammdaten!G$19,Bewertung_Stammdaten!E$19,IF(P53&lt;Bewertung_Stammdaten!G$20,Bewertung_Stammdaten!E$20,Bewertung_Stammdaten!E$21))))))))))</f>
        <v>5</v>
      </c>
      <c r="S53" s="43"/>
      <c r="T53" s="11">
        <f ca="1">VLOOKUP(A53,Buchwert_je_Aktie!A$3:AK$103,23,FALSE)</f>
        <v>0.81200000000000006</v>
      </c>
      <c r="U53" s="11">
        <f>VLOOKUP(A53,Buchwert_je_Aktie!A$3:AK$103,19,FALSE)</f>
        <v>0.88400000000000001</v>
      </c>
      <c r="V53" s="12">
        <f ca="1">VLOOKUP(A53,Buchwert_je_Aktie!A$3:AK$103,24,FALSE)</f>
        <v>-8.144796380090491E-2</v>
      </c>
      <c r="W53" s="12">
        <f>VLOOKUP(A53,Buchwert_je_Aktie!A$3:AK$103,37,FALSE)</f>
        <v>-1.24</v>
      </c>
      <c r="X53" s="16">
        <f t="shared" ca="1" si="16"/>
        <v>-0.19488</v>
      </c>
      <c r="Y53" s="12">
        <f t="shared" ca="1" si="17"/>
        <v>-1.2204524886877828</v>
      </c>
      <c r="Z53" s="51">
        <f ca="1">IF(V53&lt;Bewertung_Stammdaten!B$25,Bewertung_Stammdaten!A$25,IF(V53&lt;Bewertung_Stammdaten!B$26,Bewertung_Stammdaten!A$26,IF(V53&lt;Bewertung_Stammdaten!B$27,Bewertung_Stammdaten!A$27,IF(V53&lt;Bewertung_Stammdaten!B$28,Bewertung_Stammdaten!A$28,IF(V53&lt;Bewertung_Stammdaten!B$29,Bewertung_Stammdaten!A$29,IF(V53&lt;Bewertung_Stammdaten!B$30,Bewertung_Stammdaten!A$30,IF(V53&lt;Bewertung_Stammdaten!B$31,Bewertung_Stammdaten!A$31,IF(V53&lt;Bewertung_Stammdaten!B$32,Bewertung_Stammdaten!A$32,IF(V53&lt;Bewertung_Stammdaten!B$33,Bewertung_Stammdaten!A$33,Bewertung_Stammdaten!A$34)))))))))</f>
        <v>3</v>
      </c>
      <c r="AA53" s="51">
        <f>IF(W53&lt;Bewertung_Stammdaten!F$25,Bewertung_Stammdaten!E$25,IF(W53&lt;Bewertung_Stammdaten!F$26,Bewertung_Stammdaten!E$26,IF(W53&lt;Bewertung_Stammdaten!F$27,Bewertung_Stammdaten!E$27,IF(W53&lt;Bewertung_Stammdaten!F$28,Bewertung_Stammdaten!E$28,IF(W53&lt;Bewertung_Stammdaten!F$29,Bewertung_Stammdaten!E$29,IF(W53&lt;Bewertung_Stammdaten!F$30,Bewertung_Stammdaten!E$30,IF(W53&lt;Bewertung_Stammdaten!F$31,Bewertung_Stammdaten!E$31,IF(W53&lt;Bewertung_Stammdaten!F$32,Bewertung_Stammdaten!E$32,IF(W53&lt;Bewertung_Stammdaten!F$33,Bewertung_Stammdaten!E$33,Bewertung_Stammdaten!E$34)))))))))</f>
        <v>1.5</v>
      </c>
      <c r="AB53" s="51">
        <f ca="1">IF(Y53&lt;Bewertung_Stammdaten!J$25,Bewertung_Stammdaten!I$25,IF(Y53&lt;Bewertung_Stammdaten!J$26,Bewertung_Stammdaten!I$26,IF(Y53&lt;Bewertung_Stammdaten!J$27,Bewertung_Stammdaten!I$27,IF(Y53&lt;Bewertung_Stammdaten!J$28,Bewertung_Stammdaten!I$28,IF(Y53&lt;Bewertung_Stammdaten!J$29,Bewertung_Stammdaten!I$29,IF(Y53&lt;Bewertung_Stammdaten!J$30,Bewertung_Stammdaten!I$30,IF(Y53&lt;Bewertung_Stammdaten!J$31,Bewertung_Stammdaten!I$31,IF(Y53&lt;Bewertung_Stammdaten!J$32,Bewertung_Stammdaten!I$32,IF(Y53&lt;Bewertung_Stammdaten!J$33,Bewertung_Stammdaten!I$33,Bewertung_Stammdaten!I$34)))))))))</f>
        <v>1</v>
      </c>
      <c r="AC53" s="43"/>
      <c r="AD53" s="14">
        <f ca="1">VLOOKUP(A53,Ergebnis_je_Aktie_verwässert!A$3:AK$103,23,FALSE)</f>
        <v>6.2110000000000003</v>
      </c>
      <c r="AE53" s="14">
        <f>VLOOKUP(A53,Ergebnis_je_Aktie_verwässert!A$3:AK$103,19,FALSE)</f>
        <v>5.147384615384615</v>
      </c>
      <c r="AF53" s="12">
        <f ca="1">VLOOKUP(A53,Ergebnis_je_Aktie_verwässert!A$3:AK$103,24,FALSE)</f>
        <v>0.2066321955884991</v>
      </c>
      <c r="AG53" s="40">
        <f>VLOOKUP(A53,Ergebnis_je_Aktie_verwässert!A$3:AK$103,37,FALSE)</f>
        <v>-2.8417442430181183E-2</v>
      </c>
      <c r="AH53" s="16">
        <f t="shared" ca="1" si="18"/>
        <v>6.0344992650661453</v>
      </c>
      <c r="AI53" s="12">
        <f t="shared" ca="1" si="19"/>
        <v>0.17234279463595992</v>
      </c>
      <c r="AJ53" s="32">
        <f ca="1">IF(AF53&lt;Bewertung_Stammdaten!B$38,Bewertung_Stammdaten!A$38,IF(AF53&lt;Bewertung_Stammdaten!B$39,Bewertung_Stammdaten!A$39,IF(AF53&lt;Bewertung_Stammdaten!B$40,Bewertung_Stammdaten!A$40,IF(AF53&lt;Bewertung_Stammdaten!B$41,Bewertung_Stammdaten!A$41,IF(AF53&lt;Bewertung_Stammdaten!B$42,Bewertung_Stammdaten!A$42,IF(AF53&lt;Bewertung_Stammdaten!B$43,Bewertung_Stammdaten!A$43,IF(AF53&lt;Bewertung_Stammdaten!B$44,Bewertung_Stammdaten!A$44,IF(AF53&lt;Bewertung_Stammdaten!B$45,Bewertung_Stammdaten!A$45,IF(AF53&lt;Bewertung_Stammdaten!B$46,Bewertung_Stammdaten!A$46,Bewertung_Stammdaten!A$47)))))))))</f>
        <v>12</v>
      </c>
      <c r="AK53" s="32">
        <f>IF(AG53&lt;Bewertung_Stammdaten!F$38,Bewertung_Stammdaten!E$38,IF(AG53&lt;Bewertung_Stammdaten!F$39,Bewertung_Stammdaten!E$39,IF(AG53&lt;Bewertung_Stammdaten!F$40,Bewertung_Stammdaten!E$40,IF(AG53&lt;Bewertung_Stammdaten!F$41,Bewertung_Stammdaten!E$41,IF(AG53&lt;Bewertung_Stammdaten!F$42,Bewertung_Stammdaten!E$42,IF(AG53&lt;Bewertung_Stammdaten!F$43,Bewertung_Stammdaten!E$43,IF(AG53&lt;Bewertung_Stammdaten!F$44,Bewertung_Stammdaten!E$44,IF(AG53&lt;Bewertung_Stammdaten!F$45,Bewertung_Stammdaten!E$45,IF(AG53&lt;Bewertung_Stammdaten!F$46,Bewertung_Stammdaten!E$46,Bewertung_Stammdaten!E$47)))))))))</f>
        <v>10.5</v>
      </c>
      <c r="AL53" s="32">
        <f ca="1">IF(AI53&lt;Bewertung_Stammdaten!J$38,Bewertung_Stammdaten!I$38,IF(AI53&lt;Bewertung_Stammdaten!J$39,Bewertung_Stammdaten!I$39,IF(AI53&lt;Bewertung_Stammdaten!J$40,Bewertung_Stammdaten!I$40,IF(AI53&lt;Bewertung_Stammdaten!J$41,Bewertung_Stammdaten!I$41,IF(AI53&lt;Bewertung_Stammdaten!J$42,Bewertung_Stammdaten!I$42,IF(AI53&lt;Bewertung_Stammdaten!J$43,Bewertung_Stammdaten!I$43,IF(AI53&lt;Bewertung_Stammdaten!J$44,Bewertung_Stammdaten!I$44,IF(AI53&lt;Bewertung_Stammdaten!J$45,Bewertung_Stammdaten!I$45,IF(AI53&lt;Bewertung_Stammdaten!J$46,Bewertung_Stammdaten!I$46,Bewertung_Stammdaten!I$47)))))))))</f>
        <v>6</v>
      </c>
      <c r="AM53" s="43"/>
      <c r="AN53" s="14">
        <f ca="1">VLOOKUP(A53,Dividende_je_Aktie!A$3:AM$103,24,FALSE)</f>
        <v>3.7219999999999995</v>
      </c>
      <c r="AO53" s="14">
        <f>VLOOKUP(A53,Dividende_je_Aktie!A$3:AM$103,20,FALSE)</f>
        <v>2.9235714285714285</v>
      </c>
      <c r="AP53" s="12">
        <f ca="1">VLOOKUP(A53,Dividende_je_Aktie!A$3:AM$103,25,FALSE)</f>
        <v>0.27310041534326879</v>
      </c>
      <c r="AQ53" s="40">
        <f>VLOOKUP(A53,Dividende_je_Aktie!A$3:AM$103,39,FALSE)</f>
        <v>3.4482758620689724E-2</v>
      </c>
      <c r="AR53" s="16">
        <f t="shared" ca="1" si="20"/>
        <v>3.7219999999999995</v>
      </c>
      <c r="AS53" s="12">
        <f t="shared" ca="1" si="21"/>
        <v>0.27310041534326879</v>
      </c>
      <c r="AT53" s="32">
        <f ca="1">IF(AP53&lt;Bewertung_Stammdaten!B$51,Bewertung_Stammdaten!A$51,IF(AP53&lt;Bewertung_Stammdaten!B$52,Bewertung_Stammdaten!A$52,IF(AP53&lt;Bewertung_Stammdaten!B$53,Bewertung_Stammdaten!A$53,IF(AP53&lt;Bewertung_Stammdaten!B$54,Bewertung_Stammdaten!A$54,IF(AP53&lt;Bewertung_Stammdaten!B$55,Bewertung_Stammdaten!A$55,IF(AP53&lt;Bewertung_Stammdaten!B$56,Bewertung_Stammdaten!A$56,IF(AP53&lt;Bewertung_Stammdaten!B$57,Bewertung_Stammdaten!A$57,IF(AP53&lt;Bewertung_Stammdaten!B$58,Bewertung_Stammdaten!A$58,IF(AP53&lt;Bewertung_Stammdaten!B$59,Bewertung_Stammdaten!A$59,Bewertung_Stammdaten!A$60)))))))))</f>
        <v>10</v>
      </c>
      <c r="AU53" s="32">
        <f>IF(AQ53&lt;Bewertung_Stammdaten!F$51,Bewertung_Stammdaten!E$51,IF(AQ53&lt;Bewertung_Stammdaten!F$52,Bewertung_Stammdaten!E$52,IF(AQ53&lt;Bewertung_Stammdaten!F$53,Bewertung_Stammdaten!E$53,IF(AQ53&lt;Bewertung_Stammdaten!F$54,Bewertung_Stammdaten!E$54,IF(AQ53&lt;Bewertung_Stammdaten!F$55,Bewertung_Stammdaten!E$55,IF(AQ53&lt;Bewertung_Stammdaten!F$56,Bewertung_Stammdaten!E$56,IF(AQ53&lt;Bewertung_Stammdaten!F$57,Bewertung_Stammdaten!E$57,IF(AQ53&lt;Bewertung_Stammdaten!F$58,Bewertung_Stammdaten!E$58,IF(AQ53&lt;Bewertung_Stammdaten!F$59,Bewertung_Stammdaten!E$59,Bewertung_Stammdaten!E$60)))))))))</f>
        <v>12</v>
      </c>
      <c r="AV53" s="32">
        <f ca="1">IF(AS53&lt;Bewertung_Stammdaten!J$51,Bewertung_Stammdaten!I$51,IF(AS53&lt;Bewertung_Stammdaten!J$52,Bewertung_Stammdaten!I$52,IF(AS53&lt;Bewertung_Stammdaten!J$53,Bewertung_Stammdaten!I$53,IF(AS53&lt;Bewertung_Stammdaten!J$54,Bewertung_Stammdaten!I$54,IF(AS53&lt;Bewertung_Stammdaten!J$55,Bewertung_Stammdaten!I$55,IF(AS53&lt;Bewertung_Stammdaten!J$56,Bewertung_Stammdaten!I$56,IF(AS53&lt;Bewertung_Stammdaten!J$57,Bewertung_Stammdaten!I$57,IF(AS53&lt;Bewertung_Stammdaten!J$58,Bewertung_Stammdaten!I$58,IF(AS53&lt;Bewertung_Stammdaten!J$59,Bewertung_Stammdaten!I$59,Bewertung_Stammdaten!I$60)))))))))</f>
        <v>7</v>
      </c>
      <c r="AW53" s="43"/>
      <c r="AX53" s="12">
        <f ca="1">VLOOKUP(A53,Dividendenrendite!A$3:R$103,17,FALSE)</f>
        <v>2.7071059713433699E-2</v>
      </c>
      <c r="AY53" s="12">
        <f>VLOOKUP(A53,Dividendenrendite!A$3:R$103,16,FALSE)</f>
        <v>3.294979332514697E-2</v>
      </c>
      <c r="AZ53" s="12">
        <f ca="1">VLOOKUP(A53,Dividendenrendite!A$3:R$103,18,FALSE)</f>
        <v>-0.17841488575367415</v>
      </c>
      <c r="BA53" s="32">
        <f ca="1">IF(AX53&lt;Bewertung_Stammdaten!B$64,Bewertung_Stammdaten!A$64,IF(AX53&lt;Bewertung_Stammdaten!B$65,Bewertung_Stammdaten!A$65,IF(AX53&lt;Bewertung_Stammdaten!B$66,Bewertung_Stammdaten!A$66,IF(AX53&lt;Bewertung_Stammdaten!B$67,Bewertung_Stammdaten!A$67,IF(AX53&lt;Bewertung_Stammdaten!B$68,Bewertung_Stammdaten!A$68,IF(AX53&lt;Bewertung_Stammdaten!B$69,Bewertung_Stammdaten!A$69,IF(AX53&lt;Bewertung_Stammdaten!B$70,Bewertung_Stammdaten!A$70,IF(AX53&lt;Bewertung_Stammdaten!B$71,Bewertung_Stammdaten!A$71,IF(AX53&lt;Bewertung_Stammdaten!B$72,Bewertung_Stammdaten!A$72,Bewertung_Stammdaten!A$73)))))))))</f>
        <v>9</v>
      </c>
      <c r="BB53" s="32">
        <f>IF(AY53&lt;Bewertung_Stammdaten!F$64,Bewertung_Stammdaten!E$64,IF(AY53&lt;Bewertung_Stammdaten!F$65,Bewertung_Stammdaten!E$65,IF(AY53&lt;Bewertung_Stammdaten!F$66,Bewertung_Stammdaten!E$66,IF(AY53&lt;Bewertung_Stammdaten!F$67,Bewertung_Stammdaten!E$67,IF(AY53&lt;Bewertung_Stammdaten!F$68,Bewertung_Stammdaten!E$68,IF(AY53&lt;Bewertung_Stammdaten!F$69,Bewertung_Stammdaten!E$69,IF(AY53&lt;Bewertung_Stammdaten!F$70,Bewertung_Stammdaten!E$70,IF(AY53&lt;Bewertung_Stammdaten!F$71,Bewertung_Stammdaten!E$71,IF(AY53&lt;Bewertung_Stammdaten!F$72,Bewertung_Stammdaten!E$72,Bewertung_Stammdaten!E$73)))))))))</f>
        <v>7</v>
      </c>
      <c r="BC53" s="32">
        <f ca="1">IF(AZ53&lt;Bewertung_Stammdaten!J$64,Bewertung_Stammdaten!I$64,IF(AZ53&lt;Bewertung_Stammdaten!J$65,Bewertung_Stammdaten!I$65,IF(AZ53&lt;Bewertung_Stammdaten!J$66,Bewertung_Stammdaten!I$66,IF(AZ53&lt;Bewertung_Stammdaten!J$67,Bewertung_Stammdaten!I$67,IF(AZ53&lt;Bewertung_Stammdaten!J$68,Bewertung_Stammdaten!I$68,IF(AZ53&lt;Bewertung_Stammdaten!J$69,Bewertung_Stammdaten!I$69,IF(AZ53&lt;Bewertung_Stammdaten!J$70,Bewertung_Stammdaten!I$70,IF(AZ53&lt;Bewertung_Stammdaten!J$71,Bewertung_Stammdaten!I$71,IF(AZ53&lt;Bewertung_Stammdaten!J$72,Bewertung_Stammdaten!I$72,Bewertung_Stammdaten!I$73)))))))))</f>
        <v>1</v>
      </c>
      <c r="BD53" s="43"/>
      <c r="BE53" s="12">
        <f>VLOOKUP(A53,Aktien_im_Umlauf_splitbereinigt!A$3:AB$103,28,FALSE)</f>
        <v>-1.2044894607172285E-2</v>
      </c>
      <c r="BF53" s="12">
        <f>VLOOKUP(A53,Aktien_im_Umlauf_splitbereinigt!A$3:AA$103,26,FALSE)</f>
        <v>-2.4062510764064682E-2</v>
      </c>
      <c r="BG53" s="12">
        <f>VLOOKUP(A53,Aktien_im_Umlauf_splitbereinigt!A$3:AA$103,27,FALSE)</f>
        <v>-0.49943317531268128</v>
      </c>
      <c r="BH53" s="41">
        <f>IF(BE53&lt;Bewertung_Stammdaten!B$77,Bewertung_Stammdaten!A$77,IF(BE53&lt;Bewertung_Stammdaten!B$78,Bewertung_Stammdaten!A$78,IF(BE53&lt;Bewertung_Stammdaten!B$79,Bewertung_Stammdaten!A$79,IF(BE53&lt;Bewertung_Stammdaten!B$80,Bewertung_Stammdaten!A$80,IF(BE53&lt;Bewertung_Stammdaten!B$81,Bewertung_Stammdaten!A$81,IF(BE53&lt;Bewertung_Stammdaten!B$82,Bewertung_Stammdaten!A$82,IF(BE53&lt;Bewertung_Stammdaten!B$83,Bewertung_Stammdaten!A$83,IF(BE53&lt;Bewertung_Stammdaten!B$84,Bewertung_Stammdaten!A$84,IF(BE53&lt;Bewertung_Stammdaten!B$85,Bewertung_Stammdaten!A$85,Bewertung_Stammdaten!A$86)))))))))</f>
        <v>5</v>
      </c>
      <c r="BI53" s="41">
        <f>IF(BF53&lt;Bewertung_Stammdaten!F$77,Bewertung_Stammdaten!E$77,IF(BF53&lt;Bewertung_Stammdaten!F$78,Bewertung_Stammdaten!E$78,IF(BF53&lt;Bewertung_Stammdaten!F$79,Bewertung_Stammdaten!E$79,IF(BF53&lt;Bewertung_Stammdaten!F$80,Bewertung_Stammdaten!E$80,IF(BF53&lt;Bewertung_Stammdaten!F$81,Bewertung_Stammdaten!E$81,IF(BF53&lt;Bewertung_Stammdaten!F$82,Bewertung_Stammdaten!E$82,IF(BF53&lt;Bewertung_Stammdaten!F$83,Bewertung_Stammdaten!E$83,IF(BF53&lt;Bewertung_Stammdaten!F$84,Bewertung_Stammdaten!E$84,IF(BF53&lt;Bewertung_Stammdaten!F$85,Bewertung_Stammdaten!E$85,Bewertung_Stammdaten!E$86)))))))))</f>
        <v>7</v>
      </c>
      <c r="BJ53" s="41">
        <f>IF(BG53&lt;Bewertung_Stammdaten!J$77,Bewertung_Stammdaten!I$77,IF(BG53&lt;Bewertung_Stammdaten!J$78,Bewertung_Stammdaten!I$78,IF(BG53&lt;Bewertung_Stammdaten!J$79,Bewertung_Stammdaten!I$79,IF(BG53&lt;Bewertung_Stammdaten!J$80,Bewertung_Stammdaten!I$80,IF(BG53&lt;Bewertung_Stammdaten!J$81,Bewertung_Stammdaten!I$81,IF(BG53&lt;Bewertung_Stammdaten!J$82,Bewertung_Stammdaten!I$82,IF(BG53&lt;Bewertung_Stammdaten!J$83,Bewertung_Stammdaten!I$83,IF(BG53&lt;Bewertung_Stammdaten!J$84,Bewertung_Stammdaten!I$84,IF(BG53&lt;Bewertung_Stammdaten!J$85,Bewertung_Stammdaten!I$85,Bewertung_Stammdaten!I$86)))))))))</f>
        <v>2</v>
      </c>
      <c r="BK53" s="43"/>
      <c r="BL53" s="12">
        <f ca="1">VLOOKUP(A53,Ausschüttungsquote!A$3:AL$103,37,FALSE)</f>
        <v>0.59936293698895149</v>
      </c>
      <c r="BM53" s="12">
        <f>VLOOKUP(A53,Ausschüttungsquote!A$3:AL$103,19,FALSE)</f>
        <v>0.92392590255423657</v>
      </c>
      <c r="BN53" s="12">
        <f ca="1">VLOOKUP(A53,Ausschüttungsquote!A$3:AL$103,38,FALSE)</f>
        <v>3.194084925889995E-2</v>
      </c>
      <c r="BO53" s="32">
        <f ca="1">IF(BL53&lt;Bewertung_Stammdaten!B$90,Bewertung_Stammdaten!A$90,IF(BL53&lt;Bewertung_Stammdaten!B$91,Bewertung_Stammdaten!A$91,IF(BL53&lt;Bewertung_Stammdaten!B$92,Bewertung_Stammdaten!A$92,IF(BL53&lt;Bewertung_Stammdaten!B$93,Bewertung_Stammdaten!A$93,IF(BL53&lt;Bewertung_Stammdaten!B$94,Bewertung_Stammdaten!A$94,IF(BL53&lt;Bewertung_Stammdaten!B$95,Bewertung_Stammdaten!A$95,IF(BL53&lt;Bewertung_Stammdaten!B$96,Bewertung_Stammdaten!A$96,IF(BL53&lt;Bewertung_Stammdaten!B$97,Bewertung_Stammdaten!A$97,IF(BL53&lt;Bewertung_Stammdaten!B$98,Bewertung_Stammdaten!A$98,Bewertung_Stammdaten!A$99)))))))))</f>
        <v>6</v>
      </c>
      <c r="BP53" s="41">
        <f>IF(BM53&lt;Bewertung_Stammdaten!F$90,Bewertung_Stammdaten!E$90,IF(BM53&lt;Bewertung_Stammdaten!F$91,Bewertung_Stammdaten!E$91,IF(BM53&lt;Bewertung_Stammdaten!F$92,Bewertung_Stammdaten!E$92,IF(BM53&lt;Bewertung_Stammdaten!F$93,Bewertung_Stammdaten!E$93,IF(BM53&lt;Bewertung_Stammdaten!F$94,Bewertung_Stammdaten!E$94,IF(BM53&lt;Bewertung_Stammdaten!F$95,Bewertung_Stammdaten!E$95,IF(BM53&lt;Bewertung_Stammdaten!F$96,Bewertung_Stammdaten!E$96,IF(BM53&lt;Bewertung_Stammdaten!F$97,Bewertung_Stammdaten!E$97,IF(BM53&lt;Bewertung_Stammdaten!F$98,Bewertung_Stammdaten!E$98,Bewertung_Stammdaten!E$99)))))))))</f>
        <v>1</v>
      </c>
      <c r="BQ53" s="32">
        <f ca="1">IF(BN53&lt;Bewertung_Stammdaten!J$90,Bewertung_Stammdaten!I$90,IF(BN53&lt;Bewertung_Stammdaten!J$91,Bewertung_Stammdaten!I$91,IF(BN53&lt;Bewertung_Stammdaten!J$92,Bewertung_Stammdaten!I$92,IF(BN53&lt;Bewertung_Stammdaten!J$93,Bewertung_Stammdaten!I$93,IF(BN53&lt;Bewertung_Stammdaten!J$94,Bewertung_Stammdaten!I$94,IF(BN53&lt;Bewertung_Stammdaten!J$95,Bewertung_Stammdaten!I$95,IF(BN53&lt;Bewertung_Stammdaten!J$96,Bewertung_Stammdaten!I$96,IF(BN53&lt;Bewertung_Stammdaten!J$97,Bewertung_Stammdaten!I$97,IF(BN53&lt;Bewertung_Stammdaten!J$98,Bewertung_Stammdaten!I$98,Bewertung_Stammdaten!I$99)))))))))</f>
        <v>5</v>
      </c>
    </row>
    <row r="54" spans="1:69">
      <c r="A54" s="38" t="s">
        <v>22</v>
      </c>
      <c r="B54" s="38" t="s">
        <v>23</v>
      </c>
      <c r="C54" s="38" t="s">
        <v>283</v>
      </c>
      <c r="D54" s="32">
        <f t="shared" ca="1" si="11"/>
        <v>116.5</v>
      </c>
      <c r="E54" s="43"/>
      <c r="F54" s="60">
        <v>1</v>
      </c>
      <c r="G54" s="11">
        <f ca="1">VLOOKUP(A54,KGV!A$3:R$103,17,FALSE)</f>
        <v>14.907844990548208</v>
      </c>
      <c r="H54" s="11">
        <f>VLOOKUP(A54,KGV!A$3:R$103,16,FALSE)</f>
        <v>12.040076335877863</v>
      </c>
      <c r="I54" s="12">
        <f ca="1">VLOOKUP(A54,KGV!A$3:R$103,18,FALSE)</f>
        <v>0.23818525519848799</v>
      </c>
      <c r="J54" s="16">
        <f t="shared" ca="1" si="12"/>
        <v>19.068173825119803</v>
      </c>
      <c r="K54" s="12">
        <f t="shared" ca="1" si="13"/>
        <v>0.58372532641667085</v>
      </c>
      <c r="L54" s="11">
        <f ca="1">VLOOKUP(A54,KBV!A$3:R$103,17,FALSE)</f>
        <v>1.9043163296106251</v>
      </c>
      <c r="M54" s="11">
        <f>VLOOKUP(A54,KBV!A$3:R$103,16,FALSE)</f>
        <v>1.9184763260946958</v>
      </c>
      <c r="N54" s="12">
        <f ca="1">VLOOKUP(A54,KBV!A$3:R$103,18,FALSE)</f>
        <v>-7.3808554692437189E-3</v>
      </c>
      <c r="O54" s="16">
        <f t="shared" ca="1" si="14"/>
        <v>1.9937263036228317</v>
      </c>
      <c r="P54" s="12">
        <f t="shared" ca="1" si="15"/>
        <v>3.922382387762724E-2</v>
      </c>
      <c r="Q54" s="32">
        <f ca="1">IF(F54=1,IF(I54&lt;Bewertung_Stammdaten!B$12,Bewertung_Stammdaten!A$12,IF(I54&lt;Bewertung_Stammdaten!B$13,Bewertung_Stammdaten!A$13,IF(I54&lt;Bewertung_Stammdaten!B$14,Bewertung_Stammdaten!A$14,IF(I54&lt;Bewertung_Stammdaten!B$15,Bewertung_Stammdaten!A$15,IF(I54&lt;Bewertung_Stammdaten!B$16,Bewertung_Stammdaten!A$16,IF(I54&lt;Bewertung_Stammdaten!B$17,Bewertung_Stammdaten!A$17,IF(I54&lt;Bewertung_Stammdaten!B$18,Bewertung_Stammdaten!A$18,IF(I54&lt;Bewertung_Stammdaten!B$19,Bewertung_Stammdaten!A$19,IF(I54&lt;Bewertung_Stammdaten!B$20,Bewertung_Stammdaten!A$20,Bewertung_Stammdaten!A$21))))))))),IF(N54&lt;Bewertung_Stammdaten!C$12,Bewertung_Stammdaten!A$12,IF(N54&lt;Bewertung_Stammdaten!C$13,Bewertung_Stammdaten!A$13,IF(N54&lt;Bewertung_Stammdaten!C$14,Bewertung_Stammdaten!A$14,IF(N54&lt;Bewertung_Stammdaten!C$15,Bewertung_Stammdaten!A$15,IF(N54&lt;Bewertung_Stammdaten!C$16,Bewertung_Stammdaten!A$16,IF(N54&lt;Bewertung_Stammdaten!C$17,Bewertung_Stammdaten!A$17,IF(N54&lt;Bewertung_Stammdaten!C$18,Bewertung_Stammdaten!A$18,IF(N54&lt;Bewertung_Stammdaten!C$19,Bewertung_Stammdaten!A$19,IF(N54&lt;Bewertung_Stammdaten!C$20,Bewertung_Stammdaten!A$20,Bewertung_Stammdaten!A$21))))))))))</f>
        <v>12</v>
      </c>
      <c r="R54" s="32">
        <f ca="1">IF(F54=1,IF(K54&lt;Bewertung_Stammdaten!F$12,Bewertung_Stammdaten!E$12,IF(K54&lt;Bewertung_Stammdaten!F$13,Bewertung_Stammdaten!E$13,IF(K54&lt;Bewertung_Stammdaten!F$14,Bewertung_Stammdaten!E$14,IF(K54&lt;Bewertung_Stammdaten!F$15,Bewertung_Stammdaten!E$15,IF(K54&lt;Bewertung_Stammdaten!F$16,Bewertung_Stammdaten!E$16,IF(K54&lt;Bewertung_Stammdaten!F$17,Bewertung_Stammdaten!E$17,IF(K54&lt;Bewertung_Stammdaten!F$18,Bewertung_Stammdaten!E$18,IF(K54&lt;Bewertung_Stammdaten!F$19,Bewertung_Stammdaten!E$19,IF(K54&lt;Bewertung_Stammdaten!F$20,Bewertung_Stammdaten!E$20,Bewertung_Stammdaten!E$21))))))))),IF(P54&lt;Bewertung_Stammdaten!G$12,Bewertung_Stammdaten!E$12,IF(P54&lt;Bewertung_Stammdaten!G$13,Bewertung_Stammdaten!E$13,IF(P54&lt;Bewertung_Stammdaten!G$14,Bewertung_Stammdaten!E$14,IF(P54&lt;Bewertung_Stammdaten!G$15,Bewertung_Stammdaten!E$15,IF(P54&lt;Bewertung_Stammdaten!G$16,Bewertung_Stammdaten!E$16,IF(P54&lt;Bewertung_Stammdaten!G$17,Bewertung_Stammdaten!E$17,IF(P54&lt;Bewertung_Stammdaten!G$18,Bewertung_Stammdaten!E$18,IF(P54&lt;Bewertung_Stammdaten!G$19,Bewertung_Stammdaten!E$19,IF(P54&lt;Bewertung_Stammdaten!G$20,Bewertung_Stammdaten!E$20,Bewertung_Stammdaten!E$21))))))))))</f>
        <v>2.5</v>
      </c>
      <c r="S54" s="43"/>
      <c r="T54" s="11">
        <f ca="1">VLOOKUP(A54,Buchwert_je_Aktie!A$3:AK$103,23,FALSE)</f>
        <v>33.129999999999995</v>
      </c>
      <c r="U54" s="11">
        <f>VLOOKUP(A54,Buchwert_je_Aktie!A$3:AK$103,19,FALSE)</f>
        <v>27.617692307692305</v>
      </c>
      <c r="V54" s="12">
        <f ca="1">VLOOKUP(A54,Buchwert_je_Aktie!A$3:AK$103,24,FALSE)</f>
        <v>0.19959334874523016</v>
      </c>
      <c r="W54" s="12">
        <f>VLOOKUP(A54,Buchwert_je_Aktie!A$3:AK$103,37,FALSE)</f>
        <v>-4.4845661036692075E-2</v>
      </c>
      <c r="X54" s="16">
        <f t="shared" ca="1" si="16"/>
        <v>31.644263249854387</v>
      </c>
      <c r="Y54" s="12">
        <f t="shared" ca="1" si="17"/>
        <v>0.1457967920455312</v>
      </c>
      <c r="Z54" s="51">
        <f ca="1">IF(V54&lt;Bewertung_Stammdaten!B$25,Bewertung_Stammdaten!A$25,IF(V54&lt;Bewertung_Stammdaten!B$26,Bewertung_Stammdaten!A$26,IF(V54&lt;Bewertung_Stammdaten!B$27,Bewertung_Stammdaten!A$27,IF(V54&lt;Bewertung_Stammdaten!B$28,Bewertung_Stammdaten!A$28,IF(V54&lt;Bewertung_Stammdaten!B$29,Bewertung_Stammdaten!A$29,IF(V54&lt;Bewertung_Stammdaten!B$30,Bewertung_Stammdaten!A$30,IF(V54&lt;Bewertung_Stammdaten!B$31,Bewertung_Stammdaten!A$31,IF(V54&lt;Bewertung_Stammdaten!B$32,Bewertung_Stammdaten!A$32,IF(V54&lt;Bewertung_Stammdaten!B$33,Bewertung_Stammdaten!A$33,Bewertung_Stammdaten!A$34)))))))))</f>
        <v>6</v>
      </c>
      <c r="AA54" s="51">
        <f>IF(W54&lt;Bewertung_Stammdaten!F$25,Bewertung_Stammdaten!E$25,IF(W54&lt;Bewertung_Stammdaten!F$26,Bewertung_Stammdaten!E$26,IF(W54&lt;Bewertung_Stammdaten!F$27,Bewertung_Stammdaten!E$27,IF(W54&lt;Bewertung_Stammdaten!F$28,Bewertung_Stammdaten!E$28,IF(W54&lt;Bewertung_Stammdaten!F$29,Bewertung_Stammdaten!E$29,IF(W54&lt;Bewertung_Stammdaten!F$30,Bewertung_Stammdaten!E$30,IF(W54&lt;Bewertung_Stammdaten!F$31,Bewertung_Stammdaten!E$31,IF(W54&lt;Bewertung_Stammdaten!F$32,Bewertung_Stammdaten!E$32,IF(W54&lt;Bewertung_Stammdaten!F$33,Bewertung_Stammdaten!E$33,Bewertung_Stammdaten!E$34)))))))))</f>
        <v>10.5</v>
      </c>
      <c r="AB54" s="51">
        <f ca="1">IF(Y54&lt;Bewertung_Stammdaten!J$25,Bewertung_Stammdaten!I$25,IF(Y54&lt;Bewertung_Stammdaten!J$26,Bewertung_Stammdaten!I$26,IF(Y54&lt;Bewertung_Stammdaten!J$27,Bewertung_Stammdaten!I$27,IF(Y54&lt;Bewertung_Stammdaten!J$28,Bewertung_Stammdaten!I$28,IF(Y54&lt;Bewertung_Stammdaten!J$29,Bewertung_Stammdaten!I$29,IF(Y54&lt;Bewertung_Stammdaten!J$30,Bewertung_Stammdaten!I$30,IF(Y54&lt;Bewertung_Stammdaten!J$31,Bewertung_Stammdaten!I$31,IF(Y54&lt;Bewertung_Stammdaten!J$32,Bewertung_Stammdaten!I$32,IF(Y54&lt;Bewertung_Stammdaten!J$33,Bewertung_Stammdaten!I$33,Bewertung_Stammdaten!I$34)))))))))</f>
        <v>4</v>
      </c>
      <c r="AC54" s="43"/>
      <c r="AD54" s="14">
        <f ca="1">VLOOKUP(A54,Ergebnis_je_Aktie_verwässert!A$3:AK$103,23,FALSE)</f>
        <v>4.2319999999999993</v>
      </c>
      <c r="AE54" s="14">
        <f>VLOOKUP(A54,Ergebnis_je_Aktie_verwässert!A$3:AK$103,19,FALSE)</f>
        <v>4.7284615384615387</v>
      </c>
      <c r="AF54" s="12">
        <f ca="1">VLOOKUP(A54,Ergebnis_je_Aktie_verwässert!A$3:AK$103,24,FALSE)</f>
        <v>-0.10499430616560945</v>
      </c>
      <c r="AG54" s="40">
        <f>VLOOKUP(A54,Ergebnis_je_Aktie_verwässert!A$3:AK$103,37,FALSE)</f>
        <v>-0.21818181818181825</v>
      </c>
      <c r="AH54" s="16">
        <f t="shared" ca="1" si="18"/>
        <v>3.3086545454545444</v>
      </c>
      <c r="AI54" s="12">
        <f t="shared" ca="1" si="19"/>
        <v>-0.30026827572947656</v>
      </c>
      <c r="AJ54" s="32">
        <f ca="1">IF(AF54&lt;Bewertung_Stammdaten!B$38,Bewertung_Stammdaten!A$38,IF(AF54&lt;Bewertung_Stammdaten!B$39,Bewertung_Stammdaten!A$39,IF(AF54&lt;Bewertung_Stammdaten!B$40,Bewertung_Stammdaten!A$40,IF(AF54&lt;Bewertung_Stammdaten!B$41,Bewertung_Stammdaten!A$41,IF(AF54&lt;Bewertung_Stammdaten!B$42,Bewertung_Stammdaten!A$42,IF(AF54&lt;Bewertung_Stammdaten!B$43,Bewertung_Stammdaten!A$43,IF(AF54&lt;Bewertung_Stammdaten!B$44,Bewertung_Stammdaten!A$44,IF(AF54&lt;Bewertung_Stammdaten!B$45,Bewertung_Stammdaten!A$45,IF(AF54&lt;Bewertung_Stammdaten!B$46,Bewertung_Stammdaten!A$46,Bewertung_Stammdaten!A$47)))))))))</f>
        <v>4</v>
      </c>
      <c r="AK54" s="32">
        <f>IF(AG54&lt;Bewertung_Stammdaten!F$38,Bewertung_Stammdaten!E$38,IF(AG54&lt;Bewertung_Stammdaten!F$39,Bewertung_Stammdaten!E$39,IF(AG54&lt;Bewertung_Stammdaten!F$40,Bewertung_Stammdaten!E$40,IF(AG54&lt;Bewertung_Stammdaten!F$41,Bewertung_Stammdaten!E$41,IF(AG54&lt;Bewertung_Stammdaten!F$42,Bewertung_Stammdaten!E$42,IF(AG54&lt;Bewertung_Stammdaten!F$43,Bewertung_Stammdaten!E$43,IF(AG54&lt;Bewertung_Stammdaten!F$44,Bewertung_Stammdaten!E$44,IF(AG54&lt;Bewertung_Stammdaten!F$45,Bewertung_Stammdaten!E$45,IF(AG54&lt;Bewertung_Stammdaten!F$46,Bewertung_Stammdaten!E$46,Bewertung_Stammdaten!E$47)))))))))</f>
        <v>7.5</v>
      </c>
      <c r="AL54" s="32">
        <f ca="1">IF(AI54&lt;Bewertung_Stammdaten!J$38,Bewertung_Stammdaten!I$38,IF(AI54&lt;Bewertung_Stammdaten!J$39,Bewertung_Stammdaten!I$39,IF(AI54&lt;Bewertung_Stammdaten!J$40,Bewertung_Stammdaten!I$40,IF(AI54&lt;Bewertung_Stammdaten!J$41,Bewertung_Stammdaten!I$41,IF(AI54&lt;Bewertung_Stammdaten!J$42,Bewertung_Stammdaten!I$42,IF(AI54&lt;Bewertung_Stammdaten!J$43,Bewertung_Stammdaten!I$43,IF(AI54&lt;Bewertung_Stammdaten!J$44,Bewertung_Stammdaten!I$44,IF(AI54&lt;Bewertung_Stammdaten!J$45,Bewertung_Stammdaten!I$45,IF(AI54&lt;Bewertung_Stammdaten!J$46,Bewertung_Stammdaten!I$46,Bewertung_Stammdaten!I$47)))))))))</f>
        <v>1</v>
      </c>
      <c r="AM54" s="43"/>
      <c r="AN54" s="14">
        <f ca="1">VLOOKUP(A54,Dividende_je_Aktie!A$3:AM$103,24,FALSE)</f>
        <v>2.9800000000000004</v>
      </c>
      <c r="AO54" s="14">
        <f>VLOOKUP(A54,Dividende_je_Aktie!A$3:AM$103,20,FALSE)</f>
        <v>2.3542857142857136</v>
      </c>
      <c r="AP54" s="12">
        <f ca="1">VLOOKUP(A54,Dividende_je_Aktie!A$3:AM$103,25,FALSE)</f>
        <v>0.26577669902912682</v>
      </c>
      <c r="AQ54" s="40">
        <f>VLOOKUP(A54,Dividende_je_Aktie!A$3:AM$103,39,FALSE)</f>
        <v>-0.12820512820512819</v>
      </c>
      <c r="AR54" s="16">
        <f t="shared" ca="1" si="20"/>
        <v>2.5979487179487184</v>
      </c>
      <c r="AS54" s="12">
        <f t="shared" ca="1" si="21"/>
        <v>0.10349763505103371</v>
      </c>
      <c r="AT54" s="32">
        <f ca="1">IF(AP54&lt;Bewertung_Stammdaten!B$51,Bewertung_Stammdaten!A$51,IF(AP54&lt;Bewertung_Stammdaten!B$52,Bewertung_Stammdaten!A$52,IF(AP54&lt;Bewertung_Stammdaten!B$53,Bewertung_Stammdaten!A$53,IF(AP54&lt;Bewertung_Stammdaten!B$54,Bewertung_Stammdaten!A$54,IF(AP54&lt;Bewertung_Stammdaten!B$55,Bewertung_Stammdaten!A$55,IF(AP54&lt;Bewertung_Stammdaten!B$56,Bewertung_Stammdaten!A$56,IF(AP54&lt;Bewertung_Stammdaten!B$57,Bewertung_Stammdaten!A$57,IF(AP54&lt;Bewertung_Stammdaten!B$58,Bewertung_Stammdaten!A$58,IF(AP54&lt;Bewertung_Stammdaten!B$59,Bewertung_Stammdaten!A$59,Bewertung_Stammdaten!A$60)))))))))</f>
        <v>10</v>
      </c>
      <c r="AU54" s="32">
        <f>IF(AQ54&lt;Bewertung_Stammdaten!F$51,Bewertung_Stammdaten!E$51,IF(AQ54&lt;Bewertung_Stammdaten!F$52,Bewertung_Stammdaten!E$52,IF(AQ54&lt;Bewertung_Stammdaten!F$53,Bewertung_Stammdaten!E$53,IF(AQ54&lt;Bewertung_Stammdaten!F$54,Bewertung_Stammdaten!E$54,IF(AQ54&lt;Bewertung_Stammdaten!F$55,Bewertung_Stammdaten!E$55,IF(AQ54&lt;Bewertung_Stammdaten!F$56,Bewertung_Stammdaten!E$56,IF(AQ54&lt;Bewertung_Stammdaten!F$57,Bewertung_Stammdaten!E$57,IF(AQ54&lt;Bewertung_Stammdaten!F$58,Bewertung_Stammdaten!E$58,IF(AQ54&lt;Bewertung_Stammdaten!F$59,Bewertung_Stammdaten!E$59,Bewertung_Stammdaten!E$60)))))))))</f>
        <v>9</v>
      </c>
      <c r="AV54" s="32">
        <f ca="1">IF(AS54&lt;Bewertung_Stammdaten!J$51,Bewertung_Stammdaten!I$51,IF(AS54&lt;Bewertung_Stammdaten!J$52,Bewertung_Stammdaten!I$52,IF(AS54&lt;Bewertung_Stammdaten!J$53,Bewertung_Stammdaten!I$53,IF(AS54&lt;Bewertung_Stammdaten!J$54,Bewertung_Stammdaten!I$54,IF(AS54&lt;Bewertung_Stammdaten!J$55,Bewertung_Stammdaten!I$55,IF(AS54&lt;Bewertung_Stammdaten!J$56,Bewertung_Stammdaten!I$56,IF(AS54&lt;Bewertung_Stammdaten!J$57,Bewertung_Stammdaten!I$57,IF(AS54&lt;Bewertung_Stammdaten!J$58,Bewertung_Stammdaten!I$58,IF(AS54&lt;Bewertung_Stammdaten!J$59,Bewertung_Stammdaten!I$59,Bewertung_Stammdaten!I$60)))))))))</f>
        <v>5</v>
      </c>
      <c r="AW54" s="43"/>
      <c r="AX54" s="12">
        <f ca="1">VLOOKUP(A54,Dividendenrendite!A$3:R$103,17,FALSE)</f>
        <v>4.723411000158504E-2</v>
      </c>
      <c r="AY54" s="12">
        <f>VLOOKUP(A54,Dividendenrendite!A$3:R$103,16,FALSE)</f>
        <v>4.2325406552225137E-2</v>
      </c>
      <c r="AZ54" s="12">
        <f ca="1">VLOOKUP(A54,Dividendenrendite!A$3:R$103,18,FALSE)</f>
        <v>0.11597534079922123</v>
      </c>
      <c r="BA54" s="32">
        <f ca="1">IF(AX54&lt;Bewertung_Stammdaten!B$64,Bewertung_Stammdaten!A$64,IF(AX54&lt;Bewertung_Stammdaten!B$65,Bewertung_Stammdaten!A$65,IF(AX54&lt;Bewertung_Stammdaten!B$66,Bewertung_Stammdaten!A$66,IF(AX54&lt;Bewertung_Stammdaten!B$67,Bewertung_Stammdaten!A$67,IF(AX54&lt;Bewertung_Stammdaten!B$68,Bewertung_Stammdaten!A$68,IF(AX54&lt;Bewertung_Stammdaten!B$69,Bewertung_Stammdaten!A$69,IF(AX54&lt;Bewertung_Stammdaten!B$70,Bewertung_Stammdaten!A$70,IF(AX54&lt;Bewertung_Stammdaten!B$71,Bewertung_Stammdaten!A$71,IF(AX54&lt;Bewertung_Stammdaten!B$72,Bewertung_Stammdaten!A$72,Bewertung_Stammdaten!A$73)))))))))</f>
        <v>15</v>
      </c>
      <c r="BB54" s="32">
        <f>IF(AY54&lt;Bewertung_Stammdaten!F$64,Bewertung_Stammdaten!E$64,IF(AY54&lt;Bewertung_Stammdaten!F$65,Bewertung_Stammdaten!E$65,IF(AY54&lt;Bewertung_Stammdaten!F$66,Bewertung_Stammdaten!E$66,IF(AY54&lt;Bewertung_Stammdaten!F$67,Bewertung_Stammdaten!E$67,IF(AY54&lt;Bewertung_Stammdaten!F$68,Bewertung_Stammdaten!E$68,IF(AY54&lt;Bewertung_Stammdaten!F$69,Bewertung_Stammdaten!E$69,IF(AY54&lt;Bewertung_Stammdaten!F$70,Bewertung_Stammdaten!E$70,IF(AY54&lt;Bewertung_Stammdaten!F$71,Bewertung_Stammdaten!E$71,IF(AY54&lt;Bewertung_Stammdaten!F$72,Bewertung_Stammdaten!E$72,Bewertung_Stammdaten!E$73)))))))))</f>
        <v>9</v>
      </c>
      <c r="BC54" s="32">
        <f ca="1">IF(AZ54&lt;Bewertung_Stammdaten!J$64,Bewertung_Stammdaten!I$64,IF(AZ54&lt;Bewertung_Stammdaten!J$65,Bewertung_Stammdaten!I$65,IF(AZ54&lt;Bewertung_Stammdaten!J$66,Bewertung_Stammdaten!I$66,IF(AZ54&lt;Bewertung_Stammdaten!J$67,Bewertung_Stammdaten!I$67,IF(AZ54&lt;Bewertung_Stammdaten!J$68,Bewertung_Stammdaten!I$68,IF(AZ54&lt;Bewertung_Stammdaten!J$69,Bewertung_Stammdaten!I$69,IF(AZ54&lt;Bewertung_Stammdaten!J$70,Bewertung_Stammdaten!I$70,IF(AZ54&lt;Bewertung_Stammdaten!J$71,Bewertung_Stammdaten!I$71,IF(AZ54&lt;Bewertung_Stammdaten!J$72,Bewertung_Stammdaten!I$72,Bewertung_Stammdaten!I$73)))))))))</f>
        <v>4</v>
      </c>
      <c r="BD54" s="43"/>
      <c r="BE54" s="12">
        <f>VLOOKUP(A54,Aktien_im_Umlauf_splitbereinigt!A$3:AB$103,28,FALSE)</f>
        <v>0</v>
      </c>
      <c r="BF54" s="12">
        <f>VLOOKUP(A54,Aktien_im_Umlauf_splitbereinigt!A$3:AA$103,26,FALSE)</f>
        <v>-1.1141937832758542E-2</v>
      </c>
      <c r="BG54" s="12">
        <f>VLOOKUP(A54,Aktien_im_Umlauf_splitbereinigt!A$3:AA$103,27,FALSE)</f>
        <v>-1</v>
      </c>
      <c r="BH54" s="41">
        <f>IF(BE54&lt;Bewertung_Stammdaten!B$77,Bewertung_Stammdaten!A$77,IF(BE54&lt;Bewertung_Stammdaten!B$78,Bewertung_Stammdaten!A$78,IF(BE54&lt;Bewertung_Stammdaten!B$79,Bewertung_Stammdaten!A$79,IF(BE54&lt;Bewertung_Stammdaten!B$80,Bewertung_Stammdaten!A$80,IF(BE54&lt;Bewertung_Stammdaten!B$81,Bewertung_Stammdaten!A$81,IF(BE54&lt;Bewertung_Stammdaten!B$82,Bewertung_Stammdaten!A$82,IF(BE54&lt;Bewertung_Stammdaten!B$83,Bewertung_Stammdaten!A$83,IF(BE54&lt;Bewertung_Stammdaten!B$84,Bewertung_Stammdaten!A$84,IF(BE54&lt;Bewertung_Stammdaten!B$85,Bewertung_Stammdaten!A$85,Bewertung_Stammdaten!A$86)))))))))</f>
        <v>2</v>
      </c>
      <c r="BI54" s="41">
        <f>IF(BF54&lt;Bewertung_Stammdaten!F$77,Bewertung_Stammdaten!E$77,IF(BF54&lt;Bewertung_Stammdaten!F$78,Bewertung_Stammdaten!E$78,IF(BF54&lt;Bewertung_Stammdaten!F$79,Bewertung_Stammdaten!E$79,IF(BF54&lt;Bewertung_Stammdaten!F$80,Bewertung_Stammdaten!E$80,IF(BF54&lt;Bewertung_Stammdaten!F$81,Bewertung_Stammdaten!E$81,IF(BF54&lt;Bewertung_Stammdaten!F$82,Bewertung_Stammdaten!E$82,IF(BF54&lt;Bewertung_Stammdaten!F$83,Bewertung_Stammdaten!E$83,IF(BF54&lt;Bewertung_Stammdaten!F$84,Bewertung_Stammdaten!E$84,IF(BF54&lt;Bewertung_Stammdaten!F$85,Bewertung_Stammdaten!E$85,Bewertung_Stammdaten!E$86)))))))))</f>
        <v>5</v>
      </c>
      <c r="BJ54" s="41">
        <f>IF(BG54&lt;Bewertung_Stammdaten!J$77,Bewertung_Stammdaten!I$77,IF(BG54&lt;Bewertung_Stammdaten!J$78,Bewertung_Stammdaten!I$78,IF(BG54&lt;Bewertung_Stammdaten!J$79,Bewertung_Stammdaten!I$79,IF(BG54&lt;Bewertung_Stammdaten!J$80,Bewertung_Stammdaten!I$80,IF(BG54&lt;Bewertung_Stammdaten!J$81,Bewertung_Stammdaten!I$81,IF(BG54&lt;Bewertung_Stammdaten!J$82,Bewertung_Stammdaten!I$82,IF(BG54&lt;Bewertung_Stammdaten!J$83,Bewertung_Stammdaten!I$83,IF(BG54&lt;Bewertung_Stammdaten!J$84,Bewertung_Stammdaten!I$84,IF(BG54&lt;Bewertung_Stammdaten!J$85,Bewertung_Stammdaten!I$85,Bewertung_Stammdaten!I$86)))))))))</f>
        <v>1</v>
      </c>
      <c r="BK54" s="43"/>
      <c r="BL54" s="12">
        <f ca="1">VLOOKUP(A54,Ausschüttungsquote!A$3:AL$103,37,FALSE)</f>
        <v>0.70520038680563024</v>
      </c>
      <c r="BM54" s="12">
        <f>VLOOKUP(A54,Ausschüttungsquote!A$3:AL$103,19,FALSE)</f>
        <v>0.61847211986484563</v>
      </c>
      <c r="BN54" s="12">
        <f ca="1">VLOOKUP(A54,Ausschüttungsquote!A$3:AL$103,38,FALSE)</f>
        <v>0.33792685359597918</v>
      </c>
      <c r="BO54" s="32">
        <f ca="1">IF(BL54&lt;Bewertung_Stammdaten!B$90,Bewertung_Stammdaten!A$90,IF(BL54&lt;Bewertung_Stammdaten!B$91,Bewertung_Stammdaten!A$91,IF(BL54&lt;Bewertung_Stammdaten!B$92,Bewertung_Stammdaten!A$92,IF(BL54&lt;Bewertung_Stammdaten!B$93,Bewertung_Stammdaten!A$93,IF(BL54&lt;Bewertung_Stammdaten!B$94,Bewertung_Stammdaten!A$94,IF(BL54&lt;Bewertung_Stammdaten!B$95,Bewertung_Stammdaten!A$95,IF(BL54&lt;Bewertung_Stammdaten!B$96,Bewertung_Stammdaten!A$96,IF(BL54&lt;Bewertung_Stammdaten!B$97,Bewertung_Stammdaten!A$97,IF(BL54&lt;Bewertung_Stammdaten!B$98,Bewertung_Stammdaten!A$98,Bewertung_Stammdaten!A$99)))))))))</f>
        <v>3</v>
      </c>
      <c r="BP54" s="41">
        <f>IF(BM54&lt;Bewertung_Stammdaten!F$90,Bewertung_Stammdaten!E$90,IF(BM54&lt;Bewertung_Stammdaten!F$91,Bewertung_Stammdaten!E$91,IF(BM54&lt;Bewertung_Stammdaten!F$92,Bewertung_Stammdaten!E$92,IF(BM54&lt;Bewertung_Stammdaten!F$93,Bewertung_Stammdaten!E$93,IF(BM54&lt;Bewertung_Stammdaten!F$94,Bewertung_Stammdaten!E$94,IF(BM54&lt;Bewertung_Stammdaten!F$95,Bewertung_Stammdaten!E$95,IF(BM54&lt;Bewertung_Stammdaten!F$96,Bewertung_Stammdaten!E$96,IF(BM54&lt;Bewertung_Stammdaten!F$97,Bewertung_Stammdaten!E$97,IF(BM54&lt;Bewertung_Stammdaten!F$98,Bewertung_Stammdaten!E$98,Bewertung_Stammdaten!E$99)))))))))</f>
        <v>5</v>
      </c>
      <c r="BQ54" s="32">
        <f ca="1">IF(BN54&lt;Bewertung_Stammdaten!J$90,Bewertung_Stammdaten!I$90,IF(BN54&lt;Bewertung_Stammdaten!J$91,Bewertung_Stammdaten!I$91,IF(BN54&lt;Bewertung_Stammdaten!J$92,Bewertung_Stammdaten!I$92,IF(BN54&lt;Bewertung_Stammdaten!J$93,Bewertung_Stammdaten!I$93,IF(BN54&lt;Bewertung_Stammdaten!J$94,Bewertung_Stammdaten!I$94,IF(BN54&lt;Bewertung_Stammdaten!J$95,Bewertung_Stammdaten!I$95,IF(BN54&lt;Bewertung_Stammdaten!J$96,Bewertung_Stammdaten!I$96,IF(BN54&lt;Bewertung_Stammdaten!J$97,Bewertung_Stammdaten!I$97,IF(BN54&lt;Bewertung_Stammdaten!J$98,Bewertung_Stammdaten!I$98,Bewertung_Stammdaten!I$99)))))))))</f>
        <v>1</v>
      </c>
    </row>
    <row r="55" spans="1:69">
      <c r="A55" s="38" t="s">
        <v>2</v>
      </c>
      <c r="B55" s="38" t="s">
        <v>3</v>
      </c>
      <c r="C55" s="38" t="s">
        <v>283</v>
      </c>
      <c r="D55" s="32">
        <f t="shared" ca="1" si="11"/>
        <v>114.5</v>
      </c>
      <c r="E55" s="43"/>
      <c r="F55" s="60">
        <v>1</v>
      </c>
      <c r="G55" s="11">
        <f ca="1">VLOOKUP(A55,KGV!A$3:R$103,17,FALSE)</f>
        <v>20.445036555645817</v>
      </c>
      <c r="H55" s="11">
        <f>VLOOKUP(A55,KGV!A$3:R$103,16,FALSE)</f>
        <v>16.958618918918919</v>
      </c>
      <c r="I55" s="12">
        <f ca="1">VLOOKUP(A55,KGV!A$3:R$103,18,FALSE)</f>
        <v>0.20558381867036801</v>
      </c>
      <c r="J55" s="16">
        <f t="shared" ca="1" si="12"/>
        <v>25.556295694557271</v>
      </c>
      <c r="K55" s="12">
        <f t="shared" ca="1" si="13"/>
        <v>0.50697977333795996</v>
      </c>
      <c r="L55" s="11">
        <f ca="1">VLOOKUP(A55,KBV!A$3:R$103,17,FALSE)</f>
        <v>2.6171064124783361</v>
      </c>
      <c r="M55" s="11">
        <f>VLOOKUP(A55,KBV!A$3:R$103,16,FALSE)</f>
        <v>2.5857369863013697</v>
      </c>
      <c r="N55" s="12">
        <f ca="1">VLOOKUP(A55,KBV!A$3:R$103,18,FALSE)</f>
        <v>1.21317157712304E-2</v>
      </c>
      <c r="O55" s="16">
        <f t="shared" ca="1" si="14"/>
        <v>2.9912420475016477</v>
      </c>
      <c r="P55" s="12">
        <f t="shared" ca="1" si="15"/>
        <v>0.15682378499768124</v>
      </c>
      <c r="Q55" s="32">
        <f ca="1">IF(F55=1,IF(I55&lt;Bewertung_Stammdaten!B$12,Bewertung_Stammdaten!A$12,IF(I55&lt;Bewertung_Stammdaten!B$13,Bewertung_Stammdaten!A$13,IF(I55&lt;Bewertung_Stammdaten!B$14,Bewertung_Stammdaten!A$14,IF(I55&lt;Bewertung_Stammdaten!B$15,Bewertung_Stammdaten!A$15,IF(I55&lt;Bewertung_Stammdaten!B$16,Bewertung_Stammdaten!A$16,IF(I55&lt;Bewertung_Stammdaten!B$17,Bewertung_Stammdaten!A$17,IF(I55&lt;Bewertung_Stammdaten!B$18,Bewertung_Stammdaten!A$18,IF(I55&lt;Bewertung_Stammdaten!B$19,Bewertung_Stammdaten!A$19,IF(I55&lt;Bewertung_Stammdaten!B$20,Bewertung_Stammdaten!A$20,Bewertung_Stammdaten!A$21))))))))),IF(N55&lt;Bewertung_Stammdaten!C$12,Bewertung_Stammdaten!A$12,IF(N55&lt;Bewertung_Stammdaten!C$13,Bewertung_Stammdaten!A$13,IF(N55&lt;Bewertung_Stammdaten!C$14,Bewertung_Stammdaten!A$14,IF(N55&lt;Bewertung_Stammdaten!C$15,Bewertung_Stammdaten!A$15,IF(N55&lt;Bewertung_Stammdaten!C$16,Bewertung_Stammdaten!A$16,IF(N55&lt;Bewertung_Stammdaten!C$17,Bewertung_Stammdaten!A$17,IF(N55&lt;Bewertung_Stammdaten!C$18,Bewertung_Stammdaten!A$18,IF(N55&lt;Bewertung_Stammdaten!C$19,Bewertung_Stammdaten!A$19,IF(N55&lt;Bewertung_Stammdaten!C$20,Bewertung_Stammdaten!A$20,Bewertung_Stammdaten!A$21))))))))))</f>
        <v>12</v>
      </c>
      <c r="R55" s="32">
        <f ca="1">IF(F55=1,IF(K55&lt;Bewertung_Stammdaten!F$12,Bewertung_Stammdaten!E$12,IF(K55&lt;Bewertung_Stammdaten!F$13,Bewertung_Stammdaten!E$13,IF(K55&lt;Bewertung_Stammdaten!F$14,Bewertung_Stammdaten!E$14,IF(K55&lt;Bewertung_Stammdaten!F$15,Bewertung_Stammdaten!E$15,IF(K55&lt;Bewertung_Stammdaten!F$16,Bewertung_Stammdaten!E$16,IF(K55&lt;Bewertung_Stammdaten!F$17,Bewertung_Stammdaten!E$17,IF(K55&lt;Bewertung_Stammdaten!F$18,Bewertung_Stammdaten!E$18,IF(K55&lt;Bewertung_Stammdaten!F$19,Bewertung_Stammdaten!E$19,IF(K55&lt;Bewertung_Stammdaten!F$20,Bewertung_Stammdaten!E$20,Bewertung_Stammdaten!E$21))))))))),IF(P55&lt;Bewertung_Stammdaten!G$12,Bewertung_Stammdaten!E$12,IF(P55&lt;Bewertung_Stammdaten!G$13,Bewertung_Stammdaten!E$13,IF(P55&lt;Bewertung_Stammdaten!G$14,Bewertung_Stammdaten!E$14,IF(P55&lt;Bewertung_Stammdaten!G$15,Bewertung_Stammdaten!E$15,IF(P55&lt;Bewertung_Stammdaten!G$16,Bewertung_Stammdaten!E$16,IF(P55&lt;Bewertung_Stammdaten!G$17,Bewertung_Stammdaten!E$17,IF(P55&lt;Bewertung_Stammdaten!G$18,Bewertung_Stammdaten!E$18,IF(P55&lt;Bewertung_Stammdaten!G$19,Bewertung_Stammdaten!E$19,IF(P55&lt;Bewertung_Stammdaten!G$20,Bewertung_Stammdaten!E$20,Bewertung_Stammdaten!E$21))))))))))</f>
        <v>2.5</v>
      </c>
      <c r="S55" s="43"/>
      <c r="T55" s="11">
        <f ca="1">VLOOKUP(A55,Buchwert_je_Aktie!A$3:AK$103,23,FALSE)</f>
        <v>28.849999999999998</v>
      </c>
      <c r="U55" s="11">
        <f>VLOOKUP(A55,Buchwert_je_Aktie!A$3:AK$103,19,FALSE)</f>
        <v>25.188461538461542</v>
      </c>
      <c r="V55" s="12">
        <f ca="1">VLOOKUP(A55,Buchwert_je_Aktie!A$3:AK$103,24,FALSE)</f>
        <v>0.14536570468773835</v>
      </c>
      <c r="W55" s="12">
        <f>VLOOKUP(A55,Buchwert_je_Aktie!A$3:AK$103,37,FALSE)</f>
        <v>-0.12507701786814551</v>
      </c>
      <c r="X55" s="16">
        <f t="shared" ca="1" si="16"/>
        <v>25.241528034504</v>
      </c>
      <c r="Y55" s="12">
        <f t="shared" ca="1" si="17"/>
        <v>2.1067779769490258E-3</v>
      </c>
      <c r="Z55" s="51">
        <f ca="1">IF(V55&lt;Bewertung_Stammdaten!B$25,Bewertung_Stammdaten!A$25,IF(V55&lt;Bewertung_Stammdaten!B$26,Bewertung_Stammdaten!A$26,IF(V55&lt;Bewertung_Stammdaten!B$27,Bewertung_Stammdaten!A$27,IF(V55&lt;Bewertung_Stammdaten!B$28,Bewertung_Stammdaten!A$28,IF(V55&lt;Bewertung_Stammdaten!B$29,Bewertung_Stammdaten!A$29,IF(V55&lt;Bewertung_Stammdaten!B$30,Bewertung_Stammdaten!A$30,IF(V55&lt;Bewertung_Stammdaten!B$31,Bewertung_Stammdaten!A$31,IF(V55&lt;Bewertung_Stammdaten!B$32,Bewertung_Stammdaten!A$32,IF(V55&lt;Bewertung_Stammdaten!B$33,Bewertung_Stammdaten!A$33,Bewertung_Stammdaten!A$34)))))))))</f>
        <v>6</v>
      </c>
      <c r="AA55" s="51">
        <f>IF(W55&lt;Bewertung_Stammdaten!F$25,Bewertung_Stammdaten!E$25,IF(W55&lt;Bewertung_Stammdaten!F$26,Bewertung_Stammdaten!E$26,IF(W55&lt;Bewertung_Stammdaten!F$27,Bewertung_Stammdaten!E$27,IF(W55&lt;Bewertung_Stammdaten!F$28,Bewertung_Stammdaten!E$28,IF(W55&lt;Bewertung_Stammdaten!F$29,Bewertung_Stammdaten!E$29,IF(W55&lt;Bewertung_Stammdaten!F$30,Bewertung_Stammdaten!E$30,IF(W55&lt;Bewertung_Stammdaten!F$31,Bewertung_Stammdaten!E$31,IF(W55&lt;Bewertung_Stammdaten!F$32,Bewertung_Stammdaten!E$32,IF(W55&lt;Bewertung_Stammdaten!F$33,Bewertung_Stammdaten!E$33,Bewertung_Stammdaten!E$34)))))))))</f>
        <v>7.5</v>
      </c>
      <c r="AB55" s="51">
        <f ca="1">IF(Y55&lt;Bewertung_Stammdaten!J$25,Bewertung_Stammdaten!I$25,IF(Y55&lt;Bewertung_Stammdaten!J$26,Bewertung_Stammdaten!I$26,IF(Y55&lt;Bewertung_Stammdaten!J$27,Bewertung_Stammdaten!I$27,IF(Y55&lt;Bewertung_Stammdaten!J$28,Bewertung_Stammdaten!I$28,IF(Y55&lt;Bewertung_Stammdaten!J$29,Bewertung_Stammdaten!I$29,IF(Y55&lt;Bewertung_Stammdaten!J$30,Bewertung_Stammdaten!I$30,IF(Y55&lt;Bewertung_Stammdaten!J$31,Bewertung_Stammdaten!I$31,IF(Y55&lt;Bewertung_Stammdaten!J$32,Bewertung_Stammdaten!I$32,IF(Y55&lt;Bewertung_Stammdaten!J$33,Bewertung_Stammdaten!I$33,Bewertung_Stammdaten!I$34)))))))))</f>
        <v>3</v>
      </c>
      <c r="AC55" s="43"/>
      <c r="AD55" s="14">
        <f ca="1">VLOOKUP(A55,Ergebnis_je_Aktie_verwässert!A$3:AK$103,23,FALSE)</f>
        <v>3.6929999999999996</v>
      </c>
      <c r="AE55" s="14">
        <f>VLOOKUP(A55,Ergebnis_je_Aktie_verwässert!A$3:AK$103,19,FALSE)</f>
        <v>3.8326923076923074</v>
      </c>
      <c r="AF55" s="12">
        <f ca="1">VLOOKUP(A55,Ergebnis_je_Aktie_verwässert!A$3:AK$103,24,FALSE)</f>
        <v>-3.6447566482689431E-2</v>
      </c>
      <c r="AG55" s="40">
        <f>VLOOKUP(A55,Ergebnis_je_Aktie_verwässert!A$3:AK$103,37,FALSE)</f>
        <v>-0.19999999999999996</v>
      </c>
      <c r="AH55" s="16">
        <f t="shared" ca="1" si="18"/>
        <v>2.9543999999999997</v>
      </c>
      <c r="AI55" s="12">
        <f t="shared" ca="1" si="19"/>
        <v>-0.22915805318615157</v>
      </c>
      <c r="AJ55" s="32">
        <f ca="1">IF(AF55&lt;Bewertung_Stammdaten!B$38,Bewertung_Stammdaten!A$38,IF(AF55&lt;Bewertung_Stammdaten!B$39,Bewertung_Stammdaten!A$39,IF(AF55&lt;Bewertung_Stammdaten!B$40,Bewertung_Stammdaten!A$40,IF(AF55&lt;Bewertung_Stammdaten!B$41,Bewertung_Stammdaten!A$41,IF(AF55&lt;Bewertung_Stammdaten!B$42,Bewertung_Stammdaten!A$42,IF(AF55&lt;Bewertung_Stammdaten!B$43,Bewertung_Stammdaten!A$43,IF(AF55&lt;Bewertung_Stammdaten!B$44,Bewertung_Stammdaten!A$44,IF(AF55&lt;Bewertung_Stammdaten!B$45,Bewertung_Stammdaten!A$45,IF(AF55&lt;Bewertung_Stammdaten!B$46,Bewertung_Stammdaten!A$46,Bewertung_Stammdaten!A$47)))))))))</f>
        <v>6</v>
      </c>
      <c r="AK55" s="32">
        <f>IF(AG55&lt;Bewertung_Stammdaten!F$38,Bewertung_Stammdaten!E$38,IF(AG55&lt;Bewertung_Stammdaten!F$39,Bewertung_Stammdaten!E$39,IF(AG55&lt;Bewertung_Stammdaten!F$40,Bewertung_Stammdaten!E$40,IF(AG55&lt;Bewertung_Stammdaten!F$41,Bewertung_Stammdaten!E$41,IF(AG55&lt;Bewertung_Stammdaten!F$42,Bewertung_Stammdaten!E$42,IF(AG55&lt;Bewertung_Stammdaten!F$43,Bewertung_Stammdaten!E$43,IF(AG55&lt;Bewertung_Stammdaten!F$44,Bewertung_Stammdaten!E$44,IF(AG55&lt;Bewertung_Stammdaten!F$45,Bewertung_Stammdaten!E$45,IF(AG55&lt;Bewertung_Stammdaten!F$46,Bewertung_Stammdaten!E$46,Bewertung_Stammdaten!E$47)))))))))</f>
        <v>9</v>
      </c>
      <c r="AL55" s="32">
        <f ca="1">IF(AI55&lt;Bewertung_Stammdaten!J$38,Bewertung_Stammdaten!I$38,IF(AI55&lt;Bewertung_Stammdaten!J$39,Bewertung_Stammdaten!I$39,IF(AI55&lt;Bewertung_Stammdaten!J$40,Bewertung_Stammdaten!I$40,IF(AI55&lt;Bewertung_Stammdaten!J$41,Bewertung_Stammdaten!I$41,IF(AI55&lt;Bewertung_Stammdaten!J$42,Bewertung_Stammdaten!I$42,IF(AI55&lt;Bewertung_Stammdaten!J$43,Bewertung_Stammdaten!I$43,IF(AI55&lt;Bewertung_Stammdaten!J$44,Bewertung_Stammdaten!I$44,IF(AI55&lt;Bewertung_Stammdaten!J$45,Bewertung_Stammdaten!I$45,IF(AI55&lt;Bewertung_Stammdaten!J$46,Bewertung_Stammdaten!I$46,Bewertung_Stammdaten!I$47)))))))))</f>
        <v>2</v>
      </c>
      <c r="AM55" s="43"/>
      <c r="AN55" s="14">
        <f ca="1">VLOOKUP(A55,Dividende_je_Aktie!A$3:AM$103,24,FALSE)</f>
        <v>2.8939999999999997</v>
      </c>
      <c r="AO55" s="14">
        <f>VLOOKUP(A55,Dividende_je_Aktie!A$3:AM$103,20,FALSE)</f>
        <v>2.2671428571428569</v>
      </c>
      <c r="AP55" s="12">
        <f ca="1">VLOOKUP(A55,Dividende_je_Aktie!A$3:AM$103,25,FALSE)</f>
        <v>0.27649653434152488</v>
      </c>
      <c r="AQ55" s="40">
        <f>VLOOKUP(A55,Dividende_je_Aktie!A$3:AM$103,39,FALSE)</f>
        <v>-5.0541516245487417E-2</v>
      </c>
      <c r="AR55" s="16">
        <f t="shared" ca="1" si="20"/>
        <v>2.7477328519855591</v>
      </c>
      <c r="AS55" s="12">
        <f t="shared" ca="1" si="21"/>
        <v>0.21198046401379433</v>
      </c>
      <c r="AT55" s="32">
        <f ca="1">IF(AP55&lt;Bewertung_Stammdaten!B$51,Bewertung_Stammdaten!A$51,IF(AP55&lt;Bewertung_Stammdaten!B$52,Bewertung_Stammdaten!A$52,IF(AP55&lt;Bewertung_Stammdaten!B$53,Bewertung_Stammdaten!A$53,IF(AP55&lt;Bewertung_Stammdaten!B$54,Bewertung_Stammdaten!A$54,IF(AP55&lt;Bewertung_Stammdaten!B$55,Bewertung_Stammdaten!A$55,IF(AP55&lt;Bewertung_Stammdaten!B$56,Bewertung_Stammdaten!A$56,IF(AP55&lt;Bewertung_Stammdaten!B$57,Bewertung_Stammdaten!A$57,IF(AP55&lt;Bewertung_Stammdaten!B$58,Bewertung_Stammdaten!A$58,IF(AP55&lt;Bewertung_Stammdaten!B$59,Bewertung_Stammdaten!A$59,Bewertung_Stammdaten!A$60)))))))))</f>
        <v>10</v>
      </c>
      <c r="AU55" s="32">
        <f>IF(AQ55&lt;Bewertung_Stammdaten!F$51,Bewertung_Stammdaten!E$51,IF(AQ55&lt;Bewertung_Stammdaten!F$52,Bewertung_Stammdaten!E$52,IF(AQ55&lt;Bewertung_Stammdaten!F$53,Bewertung_Stammdaten!E$53,IF(AQ55&lt;Bewertung_Stammdaten!F$54,Bewertung_Stammdaten!E$54,IF(AQ55&lt;Bewertung_Stammdaten!F$55,Bewertung_Stammdaten!E$55,IF(AQ55&lt;Bewertung_Stammdaten!F$56,Bewertung_Stammdaten!E$56,IF(AQ55&lt;Bewertung_Stammdaten!F$57,Bewertung_Stammdaten!E$57,IF(AQ55&lt;Bewertung_Stammdaten!F$58,Bewertung_Stammdaten!E$58,IF(AQ55&lt;Bewertung_Stammdaten!F$59,Bewertung_Stammdaten!E$59,Bewertung_Stammdaten!E$60)))))))))</f>
        <v>10.5</v>
      </c>
      <c r="AV55" s="32">
        <f ca="1">IF(AS55&lt;Bewertung_Stammdaten!J$51,Bewertung_Stammdaten!I$51,IF(AS55&lt;Bewertung_Stammdaten!J$52,Bewertung_Stammdaten!I$52,IF(AS55&lt;Bewertung_Stammdaten!J$53,Bewertung_Stammdaten!I$53,IF(AS55&lt;Bewertung_Stammdaten!J$54,Bewertung_Stammdaten!I$54,IF(AS55&lt;Bewertung_Stammdaten!J$55,Bewertung_Stammdaten!I$55,IF(AS55&lt;Bewertung_Stammdaten!J$56,Bewertung_Stammdaten!I$56,IF(AS55&lt;Bewertung_Stammdaten!J$57,Bewertung_Stammdaten!I$57,IF(AS55&lt;Bewertung_Stammdaten!J$58,Bewertung_Stammdaten!I$58,IF(AS55&lt;Bewertung_Stammdaten!J$59,Bewertung_Stammdaten!I$59,Bewertung_Stammdaten!I$60)))))))))</f>
        <v>6</v>
      </c>
      <c r="AW55" s="43"/>
      <c r="AX55" s="12">
        <f ca="1">VLOOKUP(A55,Dividendenrendite!A$3:R$103,17,FALSE)</f>
        <v>3.8329338817580952E-2</v>
      </c>
      <c r="AY55" s="12">
        <f>VLOOKUP(A55,Dividendenrendite!A$3:R$103,16,FALSE)</f>
        <v>3.3079866530449246E-2</v>
      </c>
      <c r="AZ55" s="12">
        <f ca="1">VLOOKUP(A55,Dividendenrendite!A$3:R$103,18,FALSE)</f>
        <v>0.15869085452021658</v>
      </c>
      <c r="BA55" s="32">
        <f ca="1">IF(AX55&lt;Bewertung_Stammdaten!B$64,Bewertung_Stammdaten!A$64,IF(AX55&lt;Bewertung_Stammdaten!B$65,Bewertung_Stammdaten!A$65,IF(AX55&lt;Bewertung_Stammdaten!B$66,Bewertung_Stammdaten!A$66,IF(AX55&lt;Bewertung_Stammdaten!B$67,Bewertung_Stammdaten!A$67,IF(AX55&lt;Bewertung_Stammdaten!B$68,Bewertung_Stammdaten!A$68,IF(AX55&lt;Bewertung_Stammdaten!B$69,Bewertung_Stammdaten!A$69,IF(AX55&lt;Bewertung_Stammdaten!B$70,Bewertung_Stammdaten!A$70,IF(AX55&lt;Bewertung_Stammdaten!B$71,Bewertung_Stammdaten!A$71,IF(AX55&lt;Bewertung_Stammdaten!B$72,Bewertung_Stammdaten!A$72,Bewertung_Stammdaten!A$73)))))))))</f>
        <v>12</v>
      </c>
      <c r="BB55" s="32">
        <f>IF(AY55&lt;Bewertung_Stammdaten!F$64,Bewertung_Stammdaten!E$64,IF(AY55&lt;Bewertung_Stammdaten!F$65,Bewertung_Stammdaten!E$65,IF(AY55&lt;Bewertung_Stammdaten!F$66,Bewertung_Stammdaten!E$66,IF(AY55&lt;Bewertung_Stammdaten!F$67,Bewertung_Stammdaten!E$67,IF(AY55&lt;Bewertung_Stammdaten!F$68,Bewertung_Stammdaten!E$68,IF(AY55&lt;Bewertung_Stammdaten!F$69,Bewertung_Stammdaten!E$69,IF(AY55&lt;Bewertung_Stammdaten!F$70,Bewertung_Stammdaten!E$70,IF(AY55&lt;Bewertung_Stammdaten!F$71,Bewertung_Stammdaten!E$71,IF(AY55&lt;Bewertung_Stammdaten!F$72,Bewertung_Stammdaten!E$72,Bewertung_Stammdaten!E$73)))))))))</f>
        <v>7</v>
      </c>
      <c r="BC55" s="32">
        <f ca="1">IF(AZ55&lt;Bewertung_Stammdaten!J$64,Bewertung_Stammdaten!I$64,IF(AZ55&lt;Bewertung_Stammdaten!J$65,Bewertung_Stammdaten!I$65,IF(AZ55&lt;Bewertung_Stammdaten!J$66,Bewertung_Stammdaten!I$66,IF(AZ55&lt;Bewertung_Stammdaten!J$67,Bewertung_Stammdaten!I$67,IF(AZ55&lt;Bewertung_Stammdaten!J$68,Bewertung_Stammdaten!I$68,IF(AZ55&lt;Bewertung_Stammdaten!J$69,Bewertung_Stammdaten!I$69,IF(AZ55&lt;Bewertung_Stammdaten!J$70,Bewertung_Stammdaten!I$70,IF(AZ55&lt;Bewertung_Stammdaten!J$71,Bewertung_Stammdaten!I$71,IF(AZ55&lt;Bewertung_Stammdaten!J$72,Bewertung_Stammdaten!I$72,Bewertung_Stammdaten!I$73)))))))))</f>
        <v>4.5</v>
      </c>
      <c r="BD55" s="43"/>
      <c r="BE55" s="12">
        <f>VLOOKUP(A55,Aktien_im_Umlauf_splitbereinigt!A$3:AB$103,28,FALSE)</f>
        <v>-1.0421008753647376E-2</v>
      </c>
      <c r="BF55" s="12">
        <f>VLOOKUP(A55,Aktien_im_Umlauf_splitbereinigt!A$3:AA$103,26,FALSE)</f>
        <v>-1.3571793490799334E-2</v>
      </c>
      <c r="BG55" s="12">
        <f>VLOOKUP(A55,Aktien_im_Umlauf_splitbereinigt!A$3:AA$103,27,FALSE)</f>
        <v>-0.23215684347746346</v>
      </c>
      <c r="BH55" s="41">
        <f>IF(BE55&lt;Bewertung_Stammdaten!B$77,Bewertung_Stammdaten!A$77,IF(BE55&lt;Bewertung_Stammdaten!B$78,Bewertung_Stammdaten!A$78,IF(BE55&lt;Bewertung_Stammdaten!B$79,Bewertung_Stammdaten!A$79,IF(BE55&lt;Bewertung_Stammdaten!B$80,Bewertung_Stammdaten!A$80,IF(BE55&lt;Bewertung_Stammdaten!B$81,Bewertung_Stammdaten!A$81,IF(BE55&lt;Bewertung_Stammdaten!B$82,Bewertung_Stammdaten!A$82,IF(BE55&lt;Bewertung_Stammdaten!B$83,Bewertung_Stammdaten!A$83,IF(BE55&lt;Bewertung_Stammdaten!B$84,Bewertung_Stammdaten!A$84,IF(BE55&lt;Bewertung_Stammdaten!B$85,Bewertung_Stammdaten!A$85,Bewertung_Stammdaten!A$86)))))))))</f>
        <v>5</v>
      </c>
      <c r="BI55" s="41">
        <f>IF(BF55&lt;Bewertung_Stammdaten!F$77,Bewertung_Stammdaten!E$77,IF(BF55&lt;Bewertung_Stammdaten!F$78,Bewertung_Stammdaten!E$78,IF(BF55&lt;Bewertung_Stammdaten!F$79,Bewertung_Stammdaten!E$79,IF(BF55&lt;Bewertung_Stammdaten!F$80,Bewertung_Stammdaten!E$80,IF(BF55&lt;Bewertung_Stammdaten!F$81,Bewertung_Stammdaten!E$81,IF(BF55&lt;Bewertung_Stammdaten!F$82,Bewertung_Stammdaten!E$82,IF(BF55&lt;Bewertung_Stammdaten!F$83,Bewertung_Stammdaten!E$83,IF(BF55&lt;Bewertung_Stammdaten!F$84,Bewertung_Stammdaten!E$84,IF(BF55&lt;Bewertung_Stammdaten!F$85,Bewertung_Stammdaten!E$85,Bewertung_Stammdaten!E$86)))))))))</f>
        <v>5</v>
      </c>
      <c r="BJ55" s="41">
        <f>IF(BG55&lt;Bewertung_Stammdaten!J$77,Bewertung_Stammdaten!I$77,IF(BG55&lt;Bewertung_Stammdaten!J$78,Bewertung_Stammdaten!I$78,IF(BG55&lt;Bewertung_Stammdaten!J$79,Bewertung_Stammdaten!I$79,IF(BG55&lt;Bewertung_Stammdaten!J$80,Bewertung_Stammdaten!I$80,IF(BG55&lt;Bewertung_Stammdaten!J$81,Bewertung_Stammdaten!I$81,IF(BG55&lt;Bewertung_Stammdaten!J$82,Bewertung_Stammdaten!I$82,IF(BG55&lt;Bewertung_Stammdaten!J$83,Bewertung_Stammdaten!I$83,IF(BG55&lt;Bewertung_Stammdaten!J$84,Bewertung_Stammdaten!I$84,IF(BG55&lt;Bewertung_Stammdaten!J$85,Bewertung_Stammdaten!I$85,Bewertung_Stammdaten!I$86)))))))))</f>
        <v>2.5</v>
      </c>
      <c r="BK55" s="43"/>
      <c r="BL55" s="12">
        <f ca="1">VLOOKUP(A55,Ausschüttungsquote!A$3:AL$103,37,FALSE)</f>
        <v>0.78528562460765849</v>
      </c>
      <c r="BM55" s="12">
        <f>VLOOKUP(A55,Ausschüttungsquote!A$3:AL$103,19,FALSE)</f>
        <v>0.80379158754672275</v>
      </c>
      <c r="BN55" s="12">
        <f ca="1">VLOOKUP(A55,Ausschüttungsquote!A$3:AL$103,38,FALSE)</f>
        <v>0.28143494903040001</v>
      </c>
      <c r="BO55" s="32">
        <f ca="1">IF(BL55&lt;Bewertung_Stammdaten!B$90,Bewertung_Stammdaten!A$90,IF(BL55&lt;Bewertung_Stammdaten!B$91,Bewertung_Stammdaten!A$91,IF(BL55&lt;Bewertung_Stammdaten!B$92,Bewertung_Stammdaten!A$92,IF(BL55&lt;Bewertung_Stammdaten!B$93,Bewertung_Stammdaten!A$93,IF(BL55&lt;Bewertung_Stammdaten!B$94,Bewertung_Stammdaten!A$94,IF(BL55&lt;Bewertung_Stammdaten!B$95,Bewertung_Stammdaten!A$95,IF(BL55&lt;Bewertung_Stammdaten!B$96,Bewertung_Stammdaten!A$96,IF(BL55&lt;Bewertung_Stammdaten!B$97,Bewertung_Stammdaten!A$97,IF(BL55&lt;Bewertung_Stammdaten!B$98,Bewertung_Stammdaten!A$98,Bewertung_Stammdaten!A$99)))))))))</f>
        <v>2</v>
      </c>
      <c r="BP55" s="41">
        <f>IF(BM55&lt;Bewertung_Stammdaten!F$90,Bewertung_Stammdaten!E$90,IF(BM55&lt;Bewertung_Stammdaten!F$91,Bewertung_Stammdaten!E$91,IF(BM55&lt;Bewertung_Stammdaten!F$92,Bewertung_Stammdaten!E$92,IF(BM55&lt;Bewertung_Stammdaten!F$93,Bewertung_Stammdaten!E$93,IF(BM55&lt;Bewertung_Stammdaten!F$94,Bewertung_Stammdaten!E$94,IF(BM55&lt;Bewertung_Stammdaten!F$95,Bewertung_Stammdaten!E$95,IF(BM55&lt;Bewertung_Stammdaten!F$96,Bewertung_Stammdaten!E$96,IF(BM55&lt;Bewertung_Stammdaten!F$97,Bewertung_Stammdaten!E$97,IF(BM55&lt;Bewertung_Stammdaten!F$98,Bewertung_Stammdaten!E$98,Bewertung_Stammdaten!E$99)))))))))</f>
        <v>1</v>
      </c>
      <c r="BQ55" s="32">
        <f ca="1">IF(BN55&lt;Bewertung_Stammdaten!J$90,Bewertung_Stammdaten!I$90,IF(BN55&lt;Bewertung_Stammdaten!J$91,Bewertung_Stammdaten!I$91,IF(BN55&lt;Bewertung_Stammdaten!J$92,Bewertung_Stammdaten!I$92,IF(BN55&lt;Bewertung_Stammdaten!J$93,Bewertung_Stammdaten!I$93,IF(BN55&lt;Bewertung_Stammdaten!J$94,Bewertung_Stammdaten!I$94,IF(BN55&lt;Bewertung_Stammdaten!J$95,Bewertung_Stammdaten!I$95,IF(BN55&lt;Bewertung_Stammdaten!J$96,Bewertung_Stammdaten!I$96,IF(BN55&lt;Bewertung_Stammdaten!J$97,Bewertung_Stammdaten!I$97,IF(BN55&lt;Bewertung_Stammdaten!J$98,Bewertung_Stammdaten!I$98,Bewertung_Stammdaten!I$99)))))))))</f>
        <v>1</v>
      </c>
    </row>
    <row r="56" spans="1:69">
      <c r="A56" s="38" t="s">
        <v>30</v>
      </c>
      <c r="B56" s="38" t="s">
        <v>31</v>
      </c>
      <c r="C56" s="38" t="s">
        <v>283</v>
      </c>
      <c r="D56" s="32">
        <f t="shared" ca="1" si="11"/>
        <v>112.5</v>
      </c>
      <c r="E56" s="43"/>
      <c r="F56" s="60">
        <v>1</v>
      </c>
      <c r="G56" s="11">
        <f ca="1">VLOOKUP(A56,KGV!A$3:R$103,17,FALSE)</f>
        <v>19.561157796451916</v>
      </c>
      <c r="H56" s="11">
        <f>VLOOKUP(A56,KGV!A$3:R$103,16,FALSE)</f>
        <v>15.51015228426396</v>
      </c>
      <c r="I56" s="12">
        <f ca="1">VLOOKUP(A56,KGV!A$3:R$103,18,FALSE)</f>
        <v>0.2611841223698339</v>
      </c>
      <c r="J56" s="16">
        <f t="shared" ca="1" si="12"/>
        <v>24.012199690255343</v>
      </c>
      <c r="K56" s="12">
        <f t="shared" ca="1" si="13"/>
        <v>0.54816015021446662</v>
      </c>
      <c r="L56" s="11">
        <f ca="1">VLOOKUP(A56,KBV!A$3:R$103,17,FALSE)</f>
        <v>12.631896291829966</v>
      </c>
      <c r="M56" s="11">
        <f>VLOOKUP(A56,KBV!A$3:R$103,16,FALSE)</f>
        <v>8.9124151562616554</v>
      </c>
      <c r="N56" s="12">
        <f ca="1">VLOOKUP(A56,KBV!A$3:R$103,18,FALSE)</f>
        <v>0.41733705963585965</v>
      </c>
      <c r="O56" s="16">
        <f t="shared" ca="1" si="14"/>
        <v>15.186140027310287</v>
      </c>
      <c r="P56" s="12">
        <f t="shared" ca="1" si="15"/>
        <v>0.70393095037105158</v>
      </c>
      <c r="Q56" s="32">
        <f ca="1">IF(F56=1,IF(I56&lt;Bewertung_Stammdaten!B$12,Bewertung_Stammdaten!A$12,IF(I56&lt;Bewertung_Stammdaten!B$13,Bewertung_Stammdaten!A$13,IF(I56&lt;Bewertung_Stammdaten!B$14,Bewertung_Stammdaten!A$14,IF(I56&lt;Bewertung_Stammdaten!B$15,Bewertung_Stammdaten!A$15,IF(I56&lt;Bewertung_Stammdaten!B$16,Bewertung_Stammdaten!A$16,IF(I56&lt;Bewertung_Stammdaten!B$17,Bewertung_Stammdaten!A$17,IF(I56&lt;Bewertung_Stammdaten!B$18,Bewertung_Stammdaten!A$18,IF(I56&lt;Bewertung_Stammdaten!B$19,Bewertung_Stammdaten!A$19,IF(I56&lt;Bewertung_Stammdaten!B$20,Bewertung_Stammdaten!A$20,Bewertung_Stammdaten!A$21))))))))),IF(N56&lt;Bewertung_Stammdaten!C$12,Bewertung_Stammdaten!A$12,IF(N56&lt;Bewertung_Stammdaten!C$13,Bewertung_Stammdaten!A$13,IF(N56&lt;Bewertung_Stammdaten!C$14,Bewertung_Stammdaten!A$14,IF(N56&lt;Bewertung_Stammdaten!C$15,Bewertung_Stammdaten!A$15,IF(N56&lt;Bewertung_Stammdaten!C$16,Bewertung_Stammdaten!A$16,IF(N56&lt;Bewertung_Stammdaten!C$17,Bewertung_Stammdaten!A$17,IF(N56&lt;Bewertung_Stammdaten!C$18,Bewertung_Stammdaten!A$18,IF(N56&lt;Bewertung_Stammdaten!C$19,Bewertung_Stammdaten!A$19,IF(N56&lt;Bewertung_Stammdaten!C$20,Bewertung_Stammdaten!A$20,Bewertung_Stammdaten!A$21))))))))))</f>
        <v>6</v>
      </c>
      <c r="R56" s="32">
        <f ca="1">IF(F56=1,IF(K56&lt;Bewertung_Stammdaten!F$12,Bewertung_Stammdaten!E$12,IF(K56&lt;Bewertung_Stammdaten!F$13,Bewertung_Stammdaten!E$13,IF(K56&lt;Bewertung_Stammdaten!F$14,Bewertung_Stammdaten!E$14,IF(K56&lt;Bewertung_Stammdaten!F$15,Bewertung_Stammdaten!E$15,IF(K56&lt;Bewertung_Stammdaten!F$16,Bewertung_Stammdaten!E$16,IF(K56&lt;Bewertung_Stammdaten!F$17,Bewertung_Stammdaten!E$17,IF(K56&lt;Bewertung_Stammdaten!F$18,Bewertung_Stammdaten!E$18,IF(K56&lt;Bewertung_Stammdaten!F$19,Bewertung_Stammdaten!E$19,IF(K56&lt;Bewertung_Stammdaten!F$20,Bewertung_Stammdaten!E$20,Bewertung_Stammdaten!E$21))))))))),IF(P56&lt;Bewertung_Stammdaten!G$12,Bewertung_Stammdaten!E$12,IF(P56&lt;Bewertung_Stammdaten!G$13,Bewertung_Stammdaten!E$13,IF(P56&lt;Bewertung_Stammdaten!G$14,Bewertung_Stammdaten!E$14,IF(P56&lt;Bewertung_Stammdaten!G$15,Bewertung_Stammdaten!E$15,IF(P56&lt;Bewertung_Stammdaten!G$16,Bewertung_Stammdaten!E$16,IF(P56&lt;Bewertung_Stammdaten!G$17,Bewertung_Stammdaten!E$17,IF(P56&lt;Bewertung_Stammdaten!G$18,Bewertung_Stammdaten!E$18,IF(P56&lt;Bewertung_Stammdaten!G$19,Bewertung_Stammdaten!E$19,IF(P56&lt;Bewertung_Stammdaten!G$20,Bewertung_Stammdaten!E$20,Bewertung_Stammdaten!E$21))))))))))</f>
        <v>2.5</v>
      </c>
      <c r="S56" s="43"/>
      <c r="T56" s="11">
        <f ca="1">VLOOKUP(A56,Buchwert_je_Aktie!A$3:AK$103,23,FALSE)</f>
        <v>3.3170000000000002</v>
      </c>
      <c r="U56" s="11">
        <f>VLOOKUP(A56,Buchwert_je_Aktie!A$3:AK$103,19,FALSE)</f>
        <v>3.5124999999999997</v>
      </c>
      <c r="V56" s="12">
        <f ca="1">VLOOKUP(A56,Buchwert_je_Aktie!A$3:AK$103,24,FALSE)</f>
        <v>-5.5658362989323695E-2</v>
      </c>
      <c r="W56" s="12">
        <f>VLOOKUP(A56,Buchwert_je_Aktie!A$3:AK$103,37,FALSE)</f>
        <v>-0.16819571865443417</v>
      </c>
      <c r="X56" s="16">
        <f t="shared" ca="1" si="16"/>
        <v>2.7590948012232421</v>
      </c>
      <c r="Y56" s="12">
        <f t="shared" ca="1" si="17"/>
        <v>-0.21449258328163923</v>
      </c>
      <c r="Z56" s="51">
        <f ca="1">IF(V56&lt;Bewertung_Stammdaten!B$25,Bewertung_Stammdaten!A$25,IF(V56&lt;Bewertung_Stammdaten!B$26,Bewertung_Stammdaten!A$26,IF(V56&lt;Bewertung_Stammdaten!B$27,Bewertung_Stammdaten!A$27,IF(V56&lt;Bewertung_Stammdaten!B$28,Bewertung_Stammdaten!A$28,IF(V56&lt;Bewertung_Stammdaten!B$29,Bewertung_Stammdaten!A$29,IF(V56&lt;Bewertung_Stammdaten!B$30,Bewertung_Stammdaten!A$30,IF(V56&lt;Bewertung_Stammdaten!B$31,Bewertung_Stammdaten!A$31,IF(V56&lt;Bewertung_Stammdaten!B$32,Bewertung_Stammdaten!A$32,IF(V56&lt;Bewertung_Stammdaten!B$33,Bewertung_Stammdaten!A$33,Bewertung_Stammdaten!A$34)))))))))</f>
        <v>3</v>
      </c>
      <c r="AA56" s="51">
        <f>IF(W56&lt;Bewertung_Stammdaten!F$25,Bewertung_Stammdaten!E$25,IF(W56&lt;Bewertung_Stammdaten!F$26,Bewertung_Stammdaten!E$26,IF(W56&lt;Bewertung_Stammdaten!F$27,Bewertung_Stammdaten!E$27,IF(W56&lt;Bewertung_Stammdaten!F$28,Bewertung_Stammdaten!E$28,IF(W56&lt;Bewertung_Stammdaten!F$29,Bewertung_Stammdaten!E$29,IF(W56&lt;Bewertung_Stammdaten!F$30,Bewertung_Stammdaten!E$30,IF(W56&lt;Bewertung_Stammdaten!F$31,Bewertung_Stammdaten!E$31,IF(W56&lt;Bewertung_Stammdaten!F$32,Bewertung_Stammdaten!E$32,IF(W56&lt;Bewertung_Stammdaten!F$33,Bewertung_Stammdaten!E$33,Bewertung_Stammdaten!E$34)))))))))</f>
        <v>6</v>
      </c>
      <c r="AB56" s="51">
        <f ca="1">IF(Y56&lt;Bewertung_Stammdaten!J$25,Bewertung_Stammdaten!I$25,IF(Y56&lt;Bewertung_Stammdaten!J$26,Bewertung_Stammdaten!I$26,IF(Y56&lt;Bewertung_Stammdaten!J$27,Bewertung_Stammdaten!I$27,IF(Y56&lt;Bewertung_Stammdaten!J$28,Bewertung_Stammdaten!I$28,IF(Y56&lt;Bewertung_Stammdaten!J$29,Bewertung_Stammdaten!I$29,IF(Y56&lt;Bewertung_Stammdaten!J$30,Bewertung_Stammdaten!I$30,IF(Y56&lt;Bewertung_Stammdaten!J$31,Bewertung_Stammdaten!I$31,IF(Y56&lt;Bewertung_Stammdaten!J$32,Bewertung_Stammdaten!I$32,IF(Y56&lt;Bewertung_Stammdaten!J$33,Bewertung_Stammdaten!I$33,Bewertung_Stammdaten!I$34)))))))))</f>
        <v>1</v>
      </c>
      <c r="AC56" s="43"/>
      <c r="AD56" s="14">
        <f ca="1">VLOOKUP(A56,Ergebnis_je_Aktie_verwässert!A$3:AK$103,23,FALSE)</f>
        <v>2.1419999999999999</v>
      </c>
      <c r="AE56" s="14">
        <f>VLOOKUP(A56,Ergebnis_je_Aktie_verwässert!A$3:AK$103,19,FALSE)</f>
        <v>1.7312307692307694</v>
      </c>
      <c r="AF56" s="12">
        <f ca="1">VLOOKUP(A56,Ergebnis_je_Aktie_verwässert!A$3:AK$103,24,FALSE)</f>
        <v>0.23727006131698203</v>
      </c>
      <c r="AG56" s="40">
        <f>VLOOKUP(A56,Ergebnis_je_Aktie_verwässert!A$3:AK$103,37,FALSE)</f>
        <v>-0.18536585365853653</v>
      </c>
      <c r="AH56" s="16">
        <f t="shared" ca="1" si="18"/>
        <v>1.7449463414634148</v>
      </c>
      <c r="AI56" s="12">
        <f t="shared" ca="1" si="19"/>
        <v>7.922440194809921E-3</v>
      </c>
      <c r="AJ56" s="32">
        <f ca="1">IF(AF56&lt;Bewertung_Stammdaten!B$38,Bewertung_Stammdaten!A$38,IF(AF56&lt;Bewertung_Stammdaten!B$39,Bewertung_Stammdaten!A$39,IF(AF56&lt;Bewertung_Stammdaten!B$40,Bewertung_Stammdaten!A$40,IF(AF56&lt;Bewertung_Stammdaten!B$41,Bewertung_Stammdaten!A$41,IF(AF56&lt;Bewertung_Stammdaten!B$42,Bewertung_Stammdaten!A$42,IF(AF56&lt;Bewertung_Stammdaten!B$43,Bewertung_Stammdaten!A$43,IF(AF56&lt;Bewertung_Stammdaten!B$44,Bewertung_Stammdaten!A$44,IF(AF56&lt;Bewertung_Stammdaten!B$45,Bewertung_Stammdaten!A$45,IF(AF56&lt;Bewertung_Stammdaten!B$46,Bewertung_Stammdaten!A$46,Bewertung_Stammdaten!A$47)))))))))</f>
        <v>12</v>
      </c>
      <c r="AK56" s="32">
        <f>IF(AG56&lt;Bewertung_Stammdaten!F$38,Bewertung_Stammdaten!E$38,IF(AG56&lt;Bewertung_Stammdaten!F$39,Bewertung_Stammdaten!E$39,IF(AG56&lt;Bewertung_Stammdaten!F$40,Bewertung_Stammdaten!E$40,IF(AG56&lt;Bewertung_Stammdaten!F$41,Bewertung_Stammdaten!E$41,IF(AG56&lt;Bewertung_Stammdaten!F$42,Bewertung_Stammdaten!E$42,IF(AG56&lt;Bewertung_Stammdaten!F$43,Bewertung_Stammdaten!E$43,IF(AG56&lt;Bewertung_Stammdaten!F$44,Bewertung_Stammdaten!E$44,IF(AG56&lt;Bewertung_Stammdaten!F$45,Bewertung_Stammdaten!E$45,IF(AG56&lt;Bewertung_Stammdaten!F$46,Bewertung_Stammdaten!E$46,Bewertung_Stammdaten!E$47)))))))))</f>
        <v>9</v>
      </c>
      <c r="AL56" s="32">
        <f ca="1">IF(AI56&lt;Bewertung_Stammdaten!J$38,Bewertung_Stammdaten!I$38,IF(AI56&lt;Bewertung_Stammdaten!J$39,Bewertung_Stammdaten!I$39,IF(AI56&lt;Bewertung_Stammdaten!J$40,Bewertung_Stammdaten!I$40,IF(AI56&lt;Bewertung_Stammdaten!J$41,Bewertung_Stammdaten!I$41,IF(AI56&lt;Bewertung_Stammdaten!J$42,Bewertung_Stammdaten!I$42,IF(AI56&lt;Bewertung_Stammdaten!J$43,Bewertung_Stammdaten!I$43,IF(AI56&lt;Bewertung_Stammdaten!J$44,Bewertung_Stammdaten!I$44,IF(AI56&lt;Bewertung_Stammdaten!J$45,Bewertung_Stammdaten!I$45,IF(AI56&lt;Bewertung_Stammdaten!J$46,Bewertung_Stammdaten!I$46,Bewertung_Stammdaten!I$47)))))))))</f>
        <v>4</v>
      </c>
      <c r="AM56" s="43"/>
      <c r="AN56" s="14">
        <f ca="1">VLOOKUP(A56,Dividende_je_Aktie!A$3:AM$103,24,FALSE)</f>
        <v>1.667</v>
      </c>
      <c r="AO56" s="14">
        <f>VLOOKUP(A56,Dividende_je_Aktie!A$3:AM$103,20,FALSE)</f>
        <v>1.2092857142857143</v>
      </c>
      <c r="AP56" s="12">
        <f ca="1">VLOOKUP(A56,Dividende_je_Aktie!A$3:AM$103,25,FALSE)</f>
        <v>0.37849970466627281</v>
      </c>
      <c r="AQ56" s="40">
        <f>VLOOKUP(A56,Dividende_je_Aktie!A$3:AM$103,39,FALSE)</f>
        <v>4.0540540540540571E-2</v>
      </c>
      <c r="AR56" s="16">
        <f t="shared" ca="1" si="20"/>
        <v>1.667</v>
      </c>
      <c r="AS56" s="12">
        <f t="shared" ca="1" si="21"/>
        <v>0.37849970466627281</v>
      </c>
      <c r="AT56" s="32">
        <f ca="1">IF(AP56&lt;Bewertung_Stammdaten!B$51,Bewertung_Stammdaten!A$51,IF(AP56&lt;Bewertung_Stammdaten!B$52,Bewertung_Stammdaten!A$52,IF(AP56&lt;Bewertung_Stammdaten!B$53,Bewertung_Stammdaten!A$53,IF(AP56&lt;Bewertung_Stammdaten!B$54,Bewertung_Stammdaten!A$54,IF(AP56&lt;Bewertung_Stammdaten!B$55,Bewertung_Stammdaten!A$55,IF(AP56&lt;Bewertung_Stammdaten!B$56,Bewertung_Stammdaten!A$56,IF(AP56&lt;Bewertung_Stammdaten!B$57,Bewertung_Stammdaten!A$57,IF(AP56&lt;Bewertung_Stammdaten!B$58,Bewertung_Stammdaten!A$58,IF(AP56&lt;Bewertung_Stammdaten!B$59,Bewertung_Stammdaten!A$59,Bewertung_Stammdaten!A$60)))))))))</f>
        <v>12</v>
      </c>
      <c r="AU56" s="32">
        <f>IF(AQ56&lt;Bewertung_Stammdaten!F$51,Bewertung_Stammdaten!E$51,IF(AQ56&lt;Bewertung_Stammdaten!F$52,Bewertung_Stammdaten!E$52,IF(AQ56&lt;Bewertung_Stammdaten!F$53,Bewertung_Stammdaten!E$53,IF(AQ56&lt;Bewertung_Stammdaten!F$54,Bewertung_Stammdaten!E$54,IF(AQ56&lt;Bewertung_Stammdaten!F$55,Bewertung_Stammdaten!E$55,IF(AQ56&lt;Bewertung_Stammdaten!F$56,Bewertung_Stammdaten!E$56,IF(AQ56&lt;Bewertung_Stammdaten!F$57,Bewertung_Stammdaten!E$57,IF(AQ56&lt;Bewertung_Stammdaten!F$58,Bewertung_Stammdaten!E$58,IF(AQ56&lt;Bewertung_Stammdaten!F$59,Bewertung_Stammdaten!E$59,Bewertung_Stammdaten!E$60)))))))))</f>
        <v>12</v>
      </c>
      <c r="AV56" s="32">
        <f ca="1">IF(AS56&lt;Bewertung_Stammdaten!J$51,Bewertung_Stammdaten!I$51,IF(AS56&lt;Bewertung_Stammdaten!J$52,Bewertung_Stammdaten!I$52,IF(AS56&lt;Bewertung_Stammdaten!J$53,Bewertung_Stammdaten!I$53,IF(AS56&lt;Bewertung_Stammdaten!J$54,Bewertung_Stammdaten!I$54,IF(AS56&lt;Bewertung_Stammdaten!J$55,Bewertung_Stammdaten!I$55,IF(AS56&lt;Bewertung_Stammdaten!J$56,Bewertung_Stammdaten!I$56,IF(AS56&lt;Bewertung_Stammdaten!J$57,Bewertung_Stammdaten!I$57,IF(AS56&lt;Bewertung_Stammdaten!J$58,Bewertung_Stammdaten!I$58,IF(AS56&lt;Bewertung_Stammdaten!J$59,Bewertung_Stammdaten!I$59,Bewertung_Stammdaten!I$60)))))))))</f>
        <v>8</v>
      </c>
      <c r="AW56" s="43"/>
      <c r="AX56" s="12">
        <f ca="1">VLOOKUP(A56,Dividendenrendite!A$3:R$103,17,FALSE)</f>
        <v>3.9785202863961817E-2</v>
      </c>
      <c r="AY56" s="12">
        <f>VLOOKUP(A56,Dividendenrendite!A$3:R$103,16,FALSE)</f>
        <v>4.1822331886477965E-2</v>
      </c>
      <c r="AZ56" s="12">
        <f ca="1">VLOOKUP(A56,Dividendenrendite!A$3:R$103,18,FALSE)</f>
        <v>-4.8709120955897522E-2</v>
      </c>
      <c r="BA56" s="32">
        <f ca="1">IF(AX56&lt;Bewertung_Stammdaten!B$64,Bewertung_Stammdaten!A$64,IF(AX56&lt;Bewertung_Stammdaten!B$65,Bewertung_Stammdaten!A$65,IF(AX56&lt;Bewertung_Stammdaten!B$66,Bewertung_Stammdaten!A$66,IF(AX56&lt;Bewertung_Stammdaten!B$67,Bewertung_Stammdaten!A$67,IF(AX56&lt;Bewertung_Stammdaten!B$68,Bewertung_Stammdaten!A$68,IF(AX56&lt;Bewertung_Stammdaten!B$69,Bewertung_Stammdaten!A$69,IF(AX56&lt;Bewertung_Stammdaten!B$70,Bewertung_Stammdaten!A$70,IF(AX56&lt;Bewertung_Stammdaten!B$71,Bewertung_Stammdaten!A$71,IF(AX56&lt;Bewertung_Stammdaten!B$72,Bewertung_Stammdaten!A$72,Bewertung_Stammdaten!A$73)))))))))</f>
        <v>12</v>
      </c>
      <c r="BB56" s="32">
        <f>IF(AY56&lt;Bewertung_Stammdaten!F$64,Bewertung_Stammdaten!E$64,IF(AY56&lt;Bewertung_Stammdaten!F$65,Bewertung_Stammdaten!E$65,IF(AY56&lt;Bewertung_Stammdaten!F$66,Bewertung_Stammdaten!E$66,IF(AY56&lt;Bewertung_Stammdaten!F$67,Bewertung_Stammdaten!E$67,IF(AY56&lt;Bewertung_Stammdaten!F$68,Bewertung_Stammdaten!E$68,IF(AY56&lt;Bewertung_Stammdaten!F$69,Bewertung_Stammdaten!E$69,IF(AY56&lt;Bewertung_Stammdaten!F$70,Bewertung_Stammdaten!E$70,IF(AY56&lt;Bewertung_Stammdaten!F$71,Bewertung_Stammdaten!E$71,IF(AY56&lt;Bewertung_Stammdaten!F$72,Bewertung_Stammdaten!E$72,Bewertung_Stammdaten!E$73)))))))))</f>
        <v>9</v>
      </c>
      <c r="BC56" s="32">
        <f ca="1">IF(AZ56&lt;Bewertung_Stammdaten!J$64,Bewertung_Stammdaten!I$64,IF(AZ56&lt;Bewertung_Stammdaten!J$65,Bewertung_Stammdaten!I$65,IF(AZ56&lt;Bewertung_Stammdaten!J$66,Bewertung_Stammdaten!I$66,IF(AZ56&lt;Bewertung_Stammdaten!J$67,Bewertung_Stammdaten!I$67,IF(AZ56&lt;Bewertung_Stammdaten!J$68,Bewertung_Stammdaten!I$68,IF(AZ56&lt;Bewertung_Stammdaten!J$69,Bewertung_Stammdaten!I$69,IF(AZ56&lt;Bewertung_Stammdaten!J$70,Bewertung_Stammdaten!I$70,IF(AZ56&lt;Bewertung_Stammdaten!J$71,Bewertung_Stammdaten!I$71,IF(AZ56&lt;Bewertung_Stammdaten!J$72,Bewertung_Stammdaten!I$72,Bewertung_Stammdaten!I$73)))))))))</f>
        <v>2.5</v>
      </c>
      <c r="BD56" s="43"/>
      <c r="BE56" s="12">
        <f>VLOOKUP(A56,Aktien_im_Umlauf_splitbereinigt!A$3:AB$103,28,FALSE)</f>
        <v>0</v>
      </c>
      <c r="BF56" s="12">
        <f>VLOOKUP(A56,Aktien_im_Umlauf_splitbereinigt!A$3:AA$103,26,FALSE)</f>
        <v>1.2342632201137183E-4</v>
      </c>
      <c r="BG56" s="12">
        <f>VLOOKUP(A56,Aktien_im_Umlauf_splitbereinigt!A$3:AA$103,27,FALSE)</f>
        <v>-99.999989999999997</v>
      </c>
      <c r="BH56" s="41">
        <f>IF(BE56&lt;Bewertung_Stammdaten!B$77,Bewertung_Stammdaten!A$77,IF(BE56&lt;Bewertung_Stammdaten!B$78,Bewertung_Stammdaten!A$78,IF(BE56&lt;Bewertung_Stammdaten!B$79,Bewertung_Stammdaten!A$79,IF(BE56&lt;Bewertung_Stammdaten!B$80,Bewertung_Stammdaten!A$80,IF(BE56&lt;Bewertung_Stammdaten!B$81,Bewertung_Stammdaten!A$81,IF(BE56&lt;Bewertung_Stammdaten!B$82,Bewertung_Stammdaten!A$82,IF(BE56&lt;Bewertung_Stammdaten!B$83,Bewertung_Stammdaten!A$83,IF(BE56&lt;Bewertung_Stammdaten!B$84,Bewertung_Stammdaten!A$84,IF(BE56&lt;Bewertung_Stammdaten!B$85,Bewertung_Stammdaten!A$85,Bewertung_Stammdaten!A$86)))))))))</f>
        <v>2</v>
      </c>
      <c r="BI56" s="41">
        <f>IF(BF56&lt;Bewertung_Stammdaten!F$77,Bewertung_Stammdaten!E$77,IF(BF56&lt;Bewertung_Stammdaten!F$78,Bewertung_Stammdaten!E$78,IF(BF56&lt;Bewertung_Stammdaten!F$79,Bewertung_Stammdaten!E$79,IF(BF56&lt;Bewertung_Stammdaten!F$80,Bewertung_Stammdaten!E$80,IF(BF56&lt;Bewertung_Stammdaten!F$81,Bewertung_Stammdaten!E$81,IF(BF56&lt;Bewertung_Stammdaten!F$82,Bewertung_Stammdaten!E$82,IF(BF56&lt;Bewertung_Stammdaten!F$83,Bewertung_Stammdaten!E$83,IF(BF56&lt;Bewertung_Stammdaten!F$84,Bewertung_Stammdaten!E$84,IF(BF56&lt;Bewertung_Stammdaten!F$85,Bewertung_Stammdaten!E$85,Bewertung_Stammdaten!E$86)))))))))</f>
        <v>2</v>
      </c>
      <c r="BJ56" s="41">
        <f>IF(BG56&lt;Bewertung_Stammdaten!J$77,Bewertung_Stammdaten!I$77,IF(BG56&lt;Bewertung_Stammdaten!J$78,Bewertung_Stammdaten!I$78,IF(BG56&lt;Bewertung_Stammdaten!J$79,Bewertung_Stammdaten!I$79,IF(BG56&lt;Bewertung_Stammdaten!J$80,Bewertung_Stammdaten!I$80,IF(BG56&lt;Bewertung_Stammdaten!J$81,Bewertung_Stammdaten!I$81,IF(BG56&lt;Bewertung_Stammdaten!J$82,Bewertung_Stammdaten!I$82,IF(BG56&lt;Bewertung_Stammdaten!J$83,Bewertung_Stammdaten!I$83,IF(BG56&lt;Bewertung_Stammdaten!J$84,Bewertung_Stammdaten!I$84,IF(BG56&lt;Bewertung_Stammdaten!J$85,Bewertung_Stammdaten!I$85,Bewertung_Stammdaten!I$86)))))))))</f>
        <v>0.5</v>
      </c>
      <c r="BK56" s="43"/>
      <c r="BL56" s="12">
        <f ca="1">VLOOKUP(A56,Ausschüttungsquote!A$3:AL$103,37,FALSE)</f>
        <v>0.77813764306267719</v>
      </c>
      <c r="BM56" s="12">
        <f>VLOOKUP(A56,Ausschüttungsquote!A$3:AL$103,19,FALSE)</f>
        <v>0.72548815278747836</v>
      </c>
      <c r="BN56" s="12">
        <f ca="1">VLOOKUP(A56,Ausschüttungsquote!A$3:AL$103,38,FALSE)</f>
        <v>7.2571123419325811E-2</v>
      </c>
      <c r="BO56" s="32">
        <f ca="1">IF(BL56&lt;Bewertung_Stammdaten!B$90,Bewertung_Stammdaten!A$90,IF(BL56&lt;Bewertung_Stammdaten!B$91,Bewertung_Stammdaten!A$91,IF(BL56&lt;Bewertung_Stammdaten!B$92,Bewertung_Stammdaten!A$92,IF(BL56&lt;Bewertung_Stammdaten!B$93,Bewertung_Stammdaten!A$93,IF(BL56&lt;Bewertung_Stammdaten!B$94,Bewertung_Stammdaten!A$94,IF(BL56&lt;Bewertung_Stammdaten!B$95,Bewertung_Stammdaten!A$95,IF(BL56&lt;Bewertung_Stammdaten!B$96,Bewertung_Stammdaten!A$96,IF(BL56&lt;Bewertung_Stammdaten!B$97,Bewertung_Stammdaten!A$97,IF(BL56&lt;Bewertung_Stammdaten!B$98,Bewertung_Stammdaten!A$98,Bewertung_Stammdaten!A$99)))))))))</f>
        <v>2</v>
      </c>
      <c r="BP56" s="41">
        <f>IF(BM56&lt;Bewertung_Stammdaten!F$90,Bewertung_Stammdaten!E$90,IF(BM56&lt;Bewertung_Stammdaten!F$91,Bewertung_Stammdaten!E$91,IF(BM56&lt;Bewertung_Stammdaten!F$92,Bewertung_Stammdaten!E$92,IF(BM56&lt;Bewertung_Stammdaten!F$93,Bewertung_Stammdaten!E$93,IF(BM56&lt;Bewertung_Stammdaten!F$94,Bewertung_Stammdaten!E$94,IF(BM56&lt;Bewertung_Stammdaten!F$95,Bewertung_Stammdaten!E$95,IF(BM56&lt;Bewertung_Stammdaten!F$96,Bewertung_Stammdaten!E$96,IF(BM56&lt;Bewertung_Stammdaten!F$97,Bewertung_Stammdaten!E$97,IF(BM56&lt;Bewertung_Stammdaten!F$98,Bewertung_Stammdaten!E$98,Bewertung_Stammdaten!E$99)))))))))</f>
        <v>3</v>
      </c>
      <c r="BQ56" s="32">
        <f ca="1">IF(BN56&lt;Bewertung_Stammdaten!J$90,Bewertung_Stammdaten!I$90,IF(BN56&lt;Bewertung_Stammdaten!J$91,Bewertung_Stammdaten!I$91,IF(BN56&lt;Bewertung_Stammdaten!J$92,Bewertung_Stammdaten!I$92,IF(BN56&lt;Bewertung_Stammdaten!J$93,Bewertung_Stammdaten!I$93,IF(BN56&lt;Bewertung_Stammdaten!J$94,Bewertung_Stammdaten!I$94,IF(BN56&lt;Bewertung_Stammdaten!J$95,Bewertung_Stammdaten!I$95,IF(BN56&lt;Bewertung_Stammdaten!J$96,Bewertung_Stammdaten!I$96,IF(BN56&lt;Bewertung_Stammdaten!J$97,Bewertung_Stammdaten!I$97,IF(BN56&lt;Bewertung_Stammdaten!J$98,Bewertung_Stammdaten!I$98,Bewertung_Stammdaten!I$99)))))))))</f>
        <v>4</v>
      </c>
    </row>
    <row r="57" spans="1:69">
      <c r="A57" s="38" t="s">
        <v>40</v>
      </c>
      <c r="B57" s="38" t="s">
        <v>41</v>
      </c>
      <c r="C57" s="38" t="s">
        <v>283</v>
      </c>
      <c r="D57" s="32">
        <f t="shared" ca="1" si="11"/>
        <v>111</v>
      </c>
      <c r="E57" s="43"/>
      <c r="F57" s="60">
        <v>1</v>
      </c>
      <c r="G57" s="11">
        <f ca="1">VLOOKUP(A57,KGV!A$3:R$103,17,FALSE)</f>
        <v>23.962167689161554</v>
      </c>
      <c r="H57" s="11">
        <f>VLOOKUP(A57,KGV!A$3:R$103,16,FALSE)</f>
        <v>18.221354166666668</v>
      </c>
      <c r="I57" s="12">
        <f ca="1">VLOOKUP(A57,KGV!A$3:R$103,18,FALSE)</f>
        <v>0.31505965308532735</v>
      </c>
      <c r="J57" s="16">
        <f t="shared" ca="1" si="12"/>
        <v>24.960591342876619</v>
      </c>
      <c r="K57" s="12">
        <f t="shared" ca="1" si="13"/>
        <v>0.36985380529721601</v>
      </c>
      <c r="L57" s="11">
        <f ca="1">VLOOKUP(A57,KBV!A$3:R$103,17,FALSE)</f>
        <v>8.9055671670150094</v>
      </c>
      <c r="M57" s="11">
        <f>VLOOKUP(A57,KBV!A$3:R$103,16,FALSE)</f>
        <v>5.5219178082191789</v>
      </c>
      <c r="N57" s="12">
        <f ca="1">VLOOKUP(A57,KBV!A$3:R$103,18,FALSE)</f>
        <v>0.61276706324012808</v>
      </c>
      <c r="O57" s="16">
        <f t="shared" ca="1" si="14"/>
        <v>10.510992540660572</v>
      </c>
      <c r="P57" s="12">
        <f t="shared" ca="1" si="15"/>
        <v>0.90350398280382449</v>
      </c>
      <c r="Q57" s="32">
        <f ca="1">IF(F57=1,IF(I57&lt;Bewertung_Stammdaten!B$12,Bewertung_Stammdaten!A$12,IF(I57&lt;Bewertung_Stammdaten!B$13,Bewertung_Stammdaten!A$13,IF(I57&lt;Bewertung_Stammdaten!B$14,Bewertung_Stammdaten!A$14,IF(I57&lt;Bewertung_Stammdaten!B$15,Bewertung_Stammdaten!A$15,IF(I57&lt;Bewertung_Stammdaten!B$16,Bewertung_Stammdaten!A$16,IF(I57&lt;Bewertung_Stammdaten!B$17,Bewertung_Stammdaten!A$17,IF(I57&lt;Bewertung_Stammdaten!B$18,Bewertung_Stammdaten!A$18,IF(I57&lt;Bewertung_Stammdaten!B$19,Bewertung_Stammdaten!A$19,IF(I57&lt;Bewertung_Stammdaten!B$20,Bewertung_Stammdaten!A$20,Bewertung_Stammdaten!A$21))))))))),IF(N57&lt;Bewertung_Stammdaten!C$12,Bewertung_Stammdaten!A$12,IF(N57&lt;Bewertung_Stammdaten!C$13,Bewertung_Stammdaten!A$13,IF(N57&lt;Bewertung_Stammdaten!C$14,Bewertung_Stammdaten!A$14,IF(N57&lt;Bewertung_Stammdaten!C$15,Bewertung_Stammdaten!A$15,IF(N57&lt;Bewertung_Stammdaten!C$16,Bewertung_Stammdaten!A$16,IF(N57&lt;Bewertung_Stammdaten!C$17,Bewertung_Stammdaten!A$17,IF(N57&lt;Bewertung_Stammdaten!C$18,Bewertung_Stammdaten!A$18,IF(N57&lt;Bewertung_Stammdaten!C$19,Bewertung_Stammdaten!A$19,IF(N57&lt;Bewertung_Stammdaten!C$20,Bewertung_Stammdaten!A$20,Bewertung_Stammdaten!A$21))))))))))</f>
        <v>6</v>
      </c>
      <c r="R57" s="32">
        <f ca="1">IF(F57=1,IF(K57&lt;Bewertung_Stammdaten!F$12,Bewertung_Stammdaten!E$12,IF(K57&lt;Bewertung_Stammdaten!F$13,Bewertung_Stammdaten!E$13,IF(K57&lt;Bewertung_Stammdaten!F$14,Bewertung_Stammdaten!E$14,IF(K57&lt;Bewertung_Stammdaten!F$15,Bewertung_Stammdaten!E$15,IF(K57&lt;Bewertung_Stammdaten!F$16,Bewertung_Stammdaten!E$16,IF(K57&lt;Bewertung_Stammdaten!F$17,Bewertung_Stammdaten!E$17,IF(K57&lt;Bewertung_Stammdaten!F$18,Bewertung_Stammdaten!E$18,IF(K57&lt;Bewertung_Stammdaten!F$19,Bewertung_Stammdaten!E$19,IF(K57&lt;Bewertung_Stammdaten!F$20,Bewertung_Stammdaten!E$20,Bewertung_Stammdaten!E$21))))))))),IF(P57&lt;Bewertung_Stammdaten!G$12,Bewertung_Stammdaten!E$12,IF(P57&lt;Bewertung_Stammdaten!G$13,Bewertung_Stammdaten!E$13,IF(P57&lt;Bewertung_Stammdaten!G$14,Bewertung_Stammdaten!E$14,IF(P57&lt;Bewertung_Stammdaten!G$15,Bewertung_Stammdaten!E$15,IF(P57&lt;Bewertung_Stammdaten!G$16,Bewertung_Stammdaten!E$16,IF(P57&lt;Bewertung_Stammdaten!G$17,Bewertung_Stammdaten!E$17,IF(P57&lt;Bewertung_Stammdaten!G$18,Bewertung_Stammdaten!E$18,IF(P57&lt;Bewertung_Stammdaten!G$19,Bewertung_Stammdaten!E$19,IF(P57&lt;Bewertung_Stammdaten!G$20,Bewertung_Stammdaten!E$20,Bewertung_Stammdaten!E$21))))))))))</f>
        <v>5</v>
      </c>
      <c r="S57" s="43"/>
      <c r="T57" s="11">
        <f ca="1">VLOOKUP(A57,Buchwert_je_Aktie!A$3:AK$103,23,FALSE)</f>
        <v>5.2629999999999999</v>
      </c>
      <c r="U57" s="11">
        <f>VLOOKUP(A57,Buchwert_je_Aktie!A$3:AK$103,19,FALSE)</f>
        <v>5.712307692307693</v>
      </c>
      <c r="V57" s="12">
        <f ca="1">VLOOKUP(A57,Buchwert_je_Aktie!A$3:AK$103,24,FALSE)</f>
        <v>-7.8656073256127224E-2</v>
      </c>
      <c r="W57" s="12">
        <f>VLOOKUP(A57,Buchwert_je_Aktie!A$3:AK$103,37,FALSE)</f>
        <v>-0.1527377521613833</v>
      </c>
      <c r="X57" s="16">
        <f t="shared" ca="1" si="16"/>
        <v>4.4591412103746393</v>
      </c>
      <c r="Y57" s="12">
        <f t="shared" ca="1" si="17"/>
        <v>-0.2193800735945286</v>
      </c>
      <c r="Z57" s="51">
        <f ca="1">IF(V57&lt;Bewertung_Stammdaten!B$25,Bewertung_Stammdaten!A$25,IF(V57&lt;Bewertung_Stammdaten!B$26,Bewertung_Stammdaten!A$26,IF(V57&lt;Bewertung_Stammdaten!B$27,Bewertung_Stammdaten!A$27,IF(V57&lt;Bewertung_Stammdaten!B$28,Bewertung_Stammdaten!A$28,IF(V57&lt;Bewertung_Stammdaten!B$29,Bewertung_Stammdaten!A$29,IF(V57&lt;Bewertung_Stammdaten!B$30,Bewertung_Stammdaten!A$30,IF(V57&lt;Bewertung_Stammdaten!B$31,Bewertung_Stammdaten!A$31,IF(V57&lt;Bewertung_Stammdaten!B$32,Bewertung_Stammdaten!A$32,IF(V57&lt;Bewertung_Stammdaten!B$33,Bewertung_Stammdaten!A$33,Bewertung_Stammdaten!A$34)))))))))</f>
        <v>3</v>
      </c>
      <c r="AA57" s="51">
        <f>IF(W57&lt;Bewertung_Stammdaten!F$25,Bewertung_Stammdaten!E$25,IF(W57&lt;Bewertung_Stammdaten!F$26,Bewertung_Stammdaten!E$26,IF(W57&lt;Bewertung_Stammdaten!F$27,Bewertung_Stammdaten!E$27,IF(W57&lt;Bewertung_Stammdaten!F$28,Bewertung_Stammdaten!E$28,IF(W57&lt;Bewertung_Stammdaten!F$29,Bewertung_Stammdaten!E$29,IF(W57&lt;Bewertung_Stammdaten!F$30,Bewertung_Stammdaten!E$30,IF(W57&lt;Bewertung_Stammdaten!F$31,Bewertung_Stammdaten!E$31,IF(W57&lt;Bewertung_Stammdaten!F$32,Bewertung_Stammdaten!E$32,IF(W57&lt;Bewertung_Stammdaten!F$33,Bewertung_Stammdaten!E$33,Bewertung_Stammdaten!E$34)))))))))</f>
        <v>6</v>
      </c>
      <c r="AB57" s="51">
        <f ca="1">IF(Y57&lt;Bewertung_Stammdaten!J$25,Bewertung_Stammdaten!I$25,IF(Y57&lt;Bewertung_Stammdaten!J$26,Bewertung_Stammdaten!I$26,IF(Y57&lt;Bewertung_Stammdaten!J$27,Bewertung_Stammdaten!I$27,IF(Y57&lt;Bewertung_Stammdaten!J$28,Bewertung_Stammdaten!I$28,IF(Y57&lt;Bewertung_Stammdaten!J$29,Bewertung_Stammdaten!I$29,IF(Y57&lt;Bewertung_Stammdaten!J$30,Bewertung_Stammdaten!I$30,IF(Y57&lt;Bewertung_Stammdaten!J$31,Bewertung_Stammdaten!I$31,IF(Y57&lt;Bewertung_Stammdaten!J$32,Bewertung_Stammdaten!I$32,IF(Y57&lt;Bewertung_Stammdaten!J$33,Bewertung_Stammdaten!I$33,Bewertung_Stammdaten!I$34)))))))))</f>
        <v>1</v>
      </c>
      <c r="AC57" s="43"/>
      <c r="AD57" s="14">
        <f ca="1">VLOOKUP(A57,Ergebnis_je_Aktie_verwässert!A$3:AK$103,23,FALSE)</f>
        <v>1.956</v>
      </c>
      <c r="AE57" s="14">
        <f>VLOOKUP(A57,Ergebnis_je_Aktie_verwässert!A$3:AK$103,19,FALSE)</f>
        <v>1.8096153846153848</v>
      </c>
      <c r="AF57" s="12">
        <f ca="1">VLOOKUP(A57,Ergebnis_je_Aktie_verwässert!A$3:AK$103,24,FALSE)</f>
        <v>8.0892667375132676E-2</v>
      </c>
      <c r="AG57" s="40">
        <f>VLOOKUP(A57,Ergebnis_je_Aktie_verwässert!A$3:AK$103,37,FALSE)</f>
        <v>-4.0000000000000036E-2</v>
      </c>
      <c r="AH57" s="16">
        <f t="shared" ca="1" si="18"/>
        <v>1.8777599999999999</v>
      </c>
      <c r="AI57" s="12">
        <f t="shared" ca="1" si="19"/>
        <v>3.765696068012736E-2</v>
      </c>
      <c r="AJ57" s="32">
        <f ca="1">IF(AF57&lt;Bewertung_Stammdaten!B$38,Bewertung_Stammdaten!A$38,IF(AF57&lt;Bewertung_Stammdaten!B$39,Bewertung_Stammdaten!A$39,IF(AF57&lt;Bewertung_Stammdaten!B$40,Bewertung_Stammdaten!A$40,IF(AF57&lt;Bewertung_Stammdaten!B$41,Bewertung_Stammdaten!A$41,IF(AF57&lt;Bewertung_Stammdaten!B$42,Bewertung_Stammdaten!A$42,IF(AF57&lt;Bewertung_Stammdaten!B$43,Bewertung_Stammdaten!A$43,IF(AF57&lt;Bewertung_Stammdaten!B$44,Bewertung_Stammdaten!A$44,IF(AF57&lt;Bewertung_Stammdaten!B$45,Bewertung_Stammdaten!A$45,IF(AF57&lt;Bewertung_Stammdaten!B$46,Bewertung_Stammdaten!A$46,Bewertung_Stammdaten!A$47)))))))))</f>
        <v>8</v>
      </c>
      <c r="AK57" s="32">
        <f>IF(AG57&lt;Bewertung_Stammdaten!F$38,Bewertung_Stammdaten!E$38,IF(AG57&lt;Bewertung_Stammdaten!F$39,Bewertung_Stammdaten!E$39,IF(AG57&lt;Bewertung_Stammdaten!F$40,Bewertung_Stammdaten!E$40,IF(AG57&lt;Bewertung_Stammdaten!F$41,Bewertung_Stammdaten!E$41,IF(AG57&lt;Bewertung_Stammdaten!F$42,Bewertung_Stammdaten!E$42,IF(AG57&lt;Bewertung_Stammdaten!F$43,Bewertung_Stammdaten!E$43,IF(AG57&lt;Bewertung_Stammdaten!F$44,Bewertung_Stammdaten!E$44,IF(AG57&lt;Bewertung_Stammdaten!F$45,Bewertung_Stammdaten!E$45,IF(AG57&lt;Bewertung_Stammdaten!F$46,Bewertung_Stammdaten!E$46,Bewertung_Stammdaten!E$47)))))))))</f>
        <v>10.5</v>
      </c>
      <c r="AL57" s="32">
        <f ca="1">IF(AI57&lt;Bewertung_Stammdaten!J$38,Bewertung_Stammdaten!I$38,IF(AI57&lt;Bewertung_Stammdaten!J$39,Bewertung_Stammdaten!I$39,IF(AI57&lt;Bewertung_Stammdaten!J$40,Bewertung_Stammdaten!I$40,IF(AI57&lt;Bewertung_Stammdaten!J$41,Bewertung_Stammdaten!I$41,IF(AI57&lt;Bewertung_Stammdaten!J$42,Bewertung_Stammdaten!I$42,IF(AI57&lt;Bewertung_Stammdaten!J$43,Bewertung_Stammdaten!I$43,IF(AI57&lt;Bewertung_Stammdaten!J$44,Bewertung_Stammdaten!I$44,IF(AI57&lt;Bewertung_Stammdaten!J$45,Bewertung_Stammdaten!I$45,IF(AI57&lt;Bewertung_Stammdaten!J$46,Bewertung_Stammdaten!I$46,Bewertung_Stammdaten!I$47)))))))))</f>
        <v>4</v>
      </c>
      <c r="AM57" s="43"/>
      <c r="AN57" s="14">
        <f ca="1">VLOOKUP(A57,Dividende_je_Aktie!A$3:AM$103,24,FALSE)</f>
        <v>1.41</v>
      </c>
      <c r="AO57" s="14">
        <f>VLOOKUP(A57,Dividende_je_Aktie!A$3:AM$103,20,FALSE)</f>
        <v>1.0278571428571428</v>
      </c>
      <c r="AP57" s="12">
        <f ca="1">VLOOKUP(A57,Dividende_je_Aktie!A$3:AM$103,25,FALSE)</f>
        <v>0.37178596247394013</v>
      </c>
      <c r="AQ57" s="40">
        <f>VLOOKUP(A57,Dividende_je_Aktie!A$3:AM$103,39,FALSE)</f>
        <v>4.5454545454545414E-2</v>
      </c>
      <c r="AR57" s="16">
        <f t="shared" ca="1" si="20"/>
        <v>1.41</v>
      </c>
      <c r="AS57" s="12">
        <f t="shared" ca="1" si="21"/>
        <v>0.37178596247394013</v>
      </c>
      <c r="AT57" s="32">
        <f ca="1">IF(AP57&lt;Bewertung_Stammdaten!B$51,Bewertung_Stammdaten!A$51,IF(AP57&lt;Bewertung_Stammdaten!B$52,Bewertung_Stammdaten!A$52,IF(AP57&lt;Bewertung_Stammdaten!B$53,Bewertung_Stammdaten!A$53,IF(AP57&lt;Bewertung_Stammdaten!B$54,Bewertung_Stammdaten!A$54,IF(AP57&lt;Bewertung_Stammdaten!B$55,Bewertung_Stammdaten!A$55,IF(AP57&lt;Bewertung_Stammdaten!B$56,Bewertung_Stammdaten!A$56,IF(AP57&lt;Bewertung_Stammdaten!B$57,Bewertung_Stammdaten!A$57,IF(AP57&lt;Bewertung_Stammdaten!B$58,Bewertung_Stammdaten!A$58,IF(AP57&lt;Bewertung_Stammdaten!B$59,Bewertung_Stammdaten!A$59,Bewertung_Stammdaten!A$60)))))))))</f>
        <v>12</v>
      </c>
      <c r="AU57" s="32">
        <f>IF(AQ57&lt;Bewertung_Stammdaten!F$51,Bewertung_Stammdaten!E$51,IF(AQ57&lt;Bewertung_Stammdaten!F$52,Bewertung_Stammdaten!E$52,IF(AQ57&lt;Bewertung_Stammdaten!F$53,Bewertung_Stammdaten!E$53,IF(AQ57&lt;Bewertung_Stammdaten!F$54,Bewertung_Stammdaten!E$54,IF(AQ57&lt;Bewertung_Stammdaten!F$55,Bewertung_Stammdaten!E$55,IF(AQ57&lt;Bewertung_Stammdaten!F$56,Bewertung_Stammdaten!E$56,IF(AQ57&lt;Bewertung_Stammdaten!F$57,Bewertung_Stammdaten!E$57,IF(AQ57&lt;Bewertung_Stammdaten!F$58,Bewertung_Stammdaten!E$58,IF(AQ57&lt;Bewertung_Stammdaten!F$59,Bewertung_Stammdaten!E$59,Bewertung_Stammdaten!E$60)))))))))</f>
        <v>12</v>
      </c>
      <c r="AV57" s="32">
        <f ca="1">IF(AS57&lt;Bewertung_Stammdaten!J$51,Bewertung_Stammdaten!I$51,IF(AS57&lt;Bewertung_Stammdaten!J$52,Bewertung_Stammdaten!I$52,IF(AS57&lt;Bewertung_Stammdaten!J$53,Bewertung_Stammdaten!I$53,IF(AS57&lt;Bewertung_Stammdaten!J$54,Bewertung_Stammdaten!I$54,IF(AS57&lt;Bewertung_Stammdaten!J$55,Bewertung_Stammdaten!I$55,IF(AS57&lt;Bewertung_Stammdaten!J$56,Bewertung_Stammdaten!I$56,IF(AS57&lt;Bewertung_Stammdaten!J$57,Bewertung_Stammdaten!I$57,IF(AS57&lt;Bewertung_Stammdaten!J$58,Bewertung_Stammdaten!I$58,IF(AS57&lt;Bewertung_Stammdaten!J$59,Bewertung_Stammdaten!I$59,Bewertung_Stammdaten!I$60)))))))))</f>
        <v>8</v>
      </c>
      <c r="AW57" s="43"/>
      <c r="AX57" s="12">
        <f ca="1">VLOOKUP(A57,Dividendenrendite!A$3:R$103,17,FALSE)</f>
        <v>3.0083208875613398E-2</v>
      </c>
      <c r="AY57" s="12">
        <f>VLOOKUP(A57,Dividendenrendite!A$3:R$103,16,FALSE)</f>
        <v>2.8264181861159851E-2</v>
      </c>
      <c r="AZ57" s="12">
        <f ca="1">VLOOKUP(A57,Dividendenrendite!A$3:R$103,18,FALSE)</f>
        <v>6.4358028241858323E-2</v>
      </c>
      <c r="BA57" s="32">
        <f ca="1">IF(AX57&lt;Bewertung_Stammdaten!B$64,Bewertung_Stammdaten!A$64,IF(AX57&lt;Bewertung_Stammdaten!B$65,Bewertung_Stammdaten!A$65,IF(AX57&lt;Bewertung_Stammdaten!B$66,Bewertung_Stammdaten!A$66,IF(AX57&lt;Bewertung_Stammdaten!B$67,Bewertung_Stammdaten!A$67,IF(AX57&lt;Bewertung_Stammdaten!B$68,Bewertung_Stammdaten!A$68,IF(AX57&lt;Bewertung_Stammdaten!B$69,Bewertung_Stammdaten!A$69,IF(AX57&lt;Bewertung_Stammdaten!B$70,Bewertung_Stammdaten!A$70,IF(AX57&lt;Bewertung_Stammdaten!B$71,Bewertung_Stammdaten!A$71,IF(AX57&lt;Bewertung_Stammdaten!B$72,Bewertung_Stammdaten!A$72,Bewertung_Stammdaten!A$73)))))))))</f>
        <v>10.5</v>
      </c>
      <c r="BB57" s="32">
        <f>IF(AY57&lt;Bewertung_Stammdaten!F$64,Bewertung_Stammdaten!E$64,IF(AY57&lt;Bewertung_Stammdaten!F$65,Bewertung_Stammdaten!E$65,IF(AY57&lt;Bewertung_Stammdaten!F$66,Bewertung_Stammdaten!E$66,IF(AY57&lt;Bewertung_Stammdaten!F$67,Bewertung_Stammdaten!E$67,IF(AY57&lt;Bewertung_Stammdaten!F$68,Bewertung_Stammdaten!E$68,IF(AY57&lt;Bewertung_Stammdaten!F$69,Bewertung_Stammdaten!E$69,IF(AY57&lt;Bewertung_Stammdaten!F$70,Bewertung_Stammdaten!E$70,IF(AY57&lt;Bewertung_Stammdaten!F$71,Bewertung_Stammdaten!E$71,IF(AY57&lt;Bewertung_Stammdaten!F$72,Bewertung_Stammdaten!E$72,Bewertung_Stammdaten!E$73)))))))))</f>
        <v>6</v>
      </c>
      <c r="BC57" s="32">
        <f ca="1">IF(AZ57&lt;Bewertung_Stammdaten!J$64,Bewertung_Stammdaten!I$64,IF(AZ57&lt;Bewertung_Stammdaten!J$65,Bewertung_Stammdaten!I$65,IF(AZ57&lt;Bewertung_Stammdaten!J$66,Bewertung_Stammdaten!I$66,IF(AZ57&lt;Bewertung_Stammdaten!J$67,Bewertung_Stammdaten!I$67,IF(AZ57&lt;Bewertung_Stammdaten!J$68,Bewertung_Stammdaten!I$68,IF(AZ57&lt;Bewertung_Stammdaten!J$69,Bewertung_Stammdaten!I$69,IF(AZ57&lt;Bewertung_Stammdaten!J$70,Bewertung_Stammdaten!I$70,IF(AZ57&lt;Bewertung_Stammdaten!J$71,Bewertung_Stammdaten!I$71,IF(AZ57&lt;Bewertung_Stammdaten!J$72,Bewertung_Stammdaten!I$72,Bewertung_Stammdaten!I$73)))))))))</f>
        <v>3.5</v>
      </c>
      <c r="BD57" s="43"/>
      <c r="BE57" s="12">
        <f>VLOOKUP(A57,Aktien_im_Umlauf_splitbereinigt!A$3:AB$103,28,FALSE)</f>
        <v>-3.8937242327072852E-3</v>
      </c>
      <c r="BF57" s="12">
        <f>VLOOKUP(A57,Aktien_im_Umlauf_splitbereinigt!A$3:AA$103,26,FALSE)</f>
        <v>-8.509622175293264E-3</v>
      </c>
      <c r="BG57" s="12">
        <f>VLOOKUP(A57,Aktien_im_Umlauf_splitbereinigt!A$3:AA$103,27,FALSE)</f>
        <v>-0.5424327716908186</v>
      </c>
      <c r="BH57" s="41">
        <f>IF(BE57&lt;Bewertung_Stammdaten!B$77,Bewertung_Stammdaten!A$77,IF(BE57&lt;Bewertung_Stammdaten!B$78,Bewertung_Stammdaten!A$78,IF(BE57&lt;Bewertung_Stammdaten!B$79,Bewertung_Stammdaten!A$79,IF(BE57&lt;Bewertung_Stammdaten!B$80,Bewertung_Stammdaten!A$80,IF(BE57&lt;Bewertung_Stammdaten!B$81,Bewertung_Stammdaten!A$81,IF(BE57&lt;Bewertung_Stammdaten!B$82,Bewertung_Stammdaten!A$82,IF(BE57&lt;Bewertung_Stammdaten!B$83,Bewertung_Stammdaten!A$83,IF(BE57&lt;Bewertung_Stammdaten!B$84,Bewertung_Stammdaten!A$84,IF(BE57&lt;Bewertung_Stammdaten!B$85,Bewertung_Stammdaten!A$85,Bewertung_Stammdaten!A$86)))))))))</f>
        <v>3</v>
      </c>
      <c r="BI57" s="41">
        <f>IF(BF57&lt;Bewertung_Stammdaten!F$77,Bewertung_Stammdaten!E$77,IF(BF57&lt;Bewertung_Stammdaten!F$78,Bewertung_Stammdaten!E$78,IF(BF57&lt;Bewertung_Stammdaten!F$79,Bewertung_Stammdaten!E$79,IF(BF57&lt;Bewertung_Stammdaten!F$80,Bewertung_Stammdaten!E$80,IF(BF57&lt;Bewertung_Stammdaten!F$81,Bewertung_Stammdaten!E$81,IF(BF57&lt;Bewertung_Stammdaten!F$82,Bewertung_Stammdaten!E$82,IF(BF57&lt;Bewertung_Stammdaten!F$83,Bewertung_Stammdaten!E$83,IF(BF57&lt;Bewertung_Stammdaten!F$84,Bewertung_Stammdaten!E$84,IF(BF57&lt;Bewertung_Stammdaten!F$85,Bewertung_Stammdaten!E$85,Bewertung_Stammdaten!E$86)))))))))</f>
        <v>4</v>
      </c>
      <c r="BJ57" s="41">
        <f>IF(BG57&lt;Bewertung_Stammdaten!J$77,Bewertung_Stammdaten!I$77,IF(BG57&lt;Bewertung_Stammdaten!J$78,Bewertung_Stammdaten!I$78,IF(BG57&lt;Bewertung_Stammdaten!J$79,Bewertung_Stammdaten!I$79,IF(BG57&lt;Bewertung_Stammdaten!J$80,Bewertung_Stammdaten!I$80,IF(BG57&lt;Bewertung_Stammdaten!J$81,Bewertung_Stammdaten!I$81,IF(BG57&lt;Bewertung_Stammdaten!J$82,Bewertung_Stammdaten!I$82,IF(BG57&lt;Bewertung_Stammdaten!J$83,Bewertung_Stammdaten!I$83,IF(BG57&lt;Bewertung_Stammdaten!J$84,Bewertung_Stammdaten!I$84,IF(BG57&lt;Bewertung_Stammdaten!J$85,Bewertung_Stammdaten!I$85,Bewertung_Stammdaten!I$86)))))))))</f>
        <v>1.5</v>
      </c>
      <c r="BK57" s="43"/>
      <c r="BL57" s="12">
        <f ca="1">VLOOKUP(A57,Ausschüttungsquote!A$3:AL$103,37,FALSE)</f>
        <v>0.72077205882352935</v>
      </c>
      <c r="BM57" s="12">
        <f>VLOOKUP(A57,Ausschüttungsquote!A$3:AL$103,19,FALSE)</f>
        <v>0.70835008067830885</v>
      </c>
      <c r="BN57" s="12">
        <f ca="1">VLOOKUP(A57,Ausschüttungsquote!A$3:AL$103,38,FALSE)</f>
        <v>0.24477632197515731</v>
      </c>
      <c r="BO57" s="32">
        <f ca="1">IF(BL57&lt;Bewertung_Stammdaten!B$90,Bewertung_Stammdaten!A$90,IF(BL57&lt;Bewertung_Stammdaten!B$91,Bewertung_Stammdaten!A$91,IF(BL57&lt;Bewertung_Stammdaten!B$92,Bewertung_Stammdaten!A$92,IF(BL57&lt;Bewertung_Stammdaten!B$93,Bewertung_Stammdaten!A$93,IF(BL57&lt;Bewertung_Stammdaten!B$94,Bewertung_Stammdaten!A$94,IF(BL57&lt;Bewertung_Stammdaten!B$95,Bewertung_Stammdaten!A$95,IF(BL57&lt;Bewertung_Stammdaten!B$96,Bewertung_Stammdaten!A$96,IF(BL57&lt;Bewertung_Stammdaten!B$97,Bewertung_Stammdaten!A$97,IF(BL57&lt;Bewertung_Stammdaten!B$98,Bewertung_Stammdaten!A$98,Bewertung_Stammdaten!A$99)))))))))</f>
        <v>3</v>
      </c>
      <c r="BP57" s="41">
        <f>IF(BM57&lt;Bewertung_Stammdaten!F$90,Bewertung_Stammdaten!E$90,IF(BM57&lt;Bewertung_Stammdaten!F$91,Bewertung_Stammdaten!E$91,IF(BM57&lt;Bewertung_Stammdaten!F$92,Bewertung_Stammdaten!E$92,IF(BM57&lt;Bewertung_Stammdaten!F$93,Bewertung_Stammdaten!E$93,IF(BM57&lt;Bewertung_Stammdaten!F$94,Bewertung_Stammdaten!E$94,IF(BM57&lt;Bewertung_Stammdaten!F$95,Bewertung_Stammdaten!E$95,IF(BM57&lt;Bewertung_Stammdaten!F$96,Bewertung_Stammdaten!E$96,IF(BM57&lt;Bewertung_Stammdaten!F$97,Bewertung_Stammdaten!E$97,IF(BM57&lt;Bewertung_Stammdaten!F$98,Bewertung_Stammdaten!E$98,Bewertung_Stammdaten!E$99)))))))))</f>
        <v>3</v>
      </c>
      <c r="BQ57" s="32">
        <f ca="1">IF(BN57&lt;Bewertung_Stammdaten!J$90,Bewertung_Stammdaten!I$90,IF(BN57&lt;Bewertung_Stammdaten!J$91,Bewertung_Stammdaten!I$91,IF(BN57&lt;Bewertung_Stammdaten!J$92,Bewertung_Stammdaten!I$92,IF(BN57&lt;Bewertung_Stammdaten!J$93,Bewertung_Stammdaten!I$93,IF(BN57&lt;Bewertung_Stammdaten!J$94,Bewertung_Stammdaten!I$94,IF(BN57&lt;Bewertung_Stammdaten!J$95,Bewertung_Stammdaten!I$95,IF(BN57&lt;Bewertung_Stammdaten!J$96,Bewertung_Stammdaten!I$96,IF(BN57&lt;Bewertung_Stammdaten!J$97,Bewertung_Stammdaten!I$97,IF(BN57&lt;Bewertung_Stammdaten!J$98,Bewertung_Stammdaten!I$98,Bewertung_Stammdaten!I$99)))))))))</f>
        <v>1</v>
      </c>
    </row>
    <row r="58" spans="1:69">
      <c r="A58" s="38" t="s">
        <v>42</v>
      </c>
      <c r="B58" s="38" t="s">
        <v>43</v>
      </c>
      <c r="C58" s="38" t="s">
        <v>283</v>
      </c>
      <c r="D58" s="32">
        <f t="shared" ca="1" si="11"/>
        <v>110.5</v>
      </c>
      <c r="E58" s="43"/>
      <c r="F58" s="60">
        <v>1</v>
      </c>
      <c r="G58" s="11">
        <f ca="1">VLOOKUP(A58,KGV!A$3:R$103,17,FALSE)</f>
        <v>25.184266477675404</v>
      </c>
      <c r="H58" s="11">
        <f>VLOOKUP(A58,KGV!A$3:R$103,16,FALSE)</f>
        <v>18.451977401129941</v>
      </c>
      <c r="I58" s="12">
        <f ca="1">VLOOKUP(A58,KGV!A$3:R$103,18,FALSE)</f>
        <v>0.36485461315019818</v>
      </c>
      <c r="J58" s="16">
        <f t="shared" ca="1" si="12"/>
        <v>26.170127442993657</v>
      </c>
      <c r="K58" s="12">
        <f t="shared" ca="1" si="13"/>
        <v>0.4182830855510955</v>
      </c>
      <c r="L58" s="11">
        <f ca="1">VLOOKUP(A58,KBV!A$3:R$103,17,FALSE)</f>
        <v>-242.55972696245732</v>
      </c>
      <c r="M58" s="11">
        <f>VLOOKUP(A58,KBV!A$3:R$103,16,FALSE)</f>
        <v>14.515555555555554</v>
      </c>
      <c r="N58" s="12">
        <f ca="1">VLOOKUP(A58,KBV!A$3:R$103,18,FALSE)</f>
        <v>-17.71033024083065</v>
      </c>
      <c r="O58" s="16">
        <f t="shared" ca="1" si="14"/>
        <v>63.831507095383522</v>
      </c>
      <c r="P58" s="12">
        <f t="shared" ca="1" si="15"/>
        <v>3.3974553265343825</v>
      </c>
      <c r="Q58" s="32">
        <f ca="1">IF(F58=1,IF(I58&lt;Bewertung_Stammdaten!B$12,Bewertung_Stammdaten!A$12,IF(I58&lt;Bewertung_Stammdaten!B$13,Bewertung_Stammdaten!A$13,IF(I58&lt;Bewertung_Stammdaten!B$14,Bewertung_Stammdaten!A$14,IF(I58&lt;Bewertung_Stammdaten!B$15,Bewertung_Stammdaten!A$15,IF(I58&lt;Bewertung_Stammdaten!B$16,Bewertung_Stammdaten!A$16,IF(I58&lt;Bewertung_Stammdaten!B$17,Bewertung_Stammdaten!A$17,IF(I58&lt;Bewertung_Stammdaten!B$18,Bewertung_Stammdaten!A$18,IF(I58&lt;Bewertung_Stammdaten!B$19,Bewertung_Stammdaten!A$19,IF(I58&lt;Bewertung_Stammdaten!B$20,Bewertung_Stammdaten!A$20,Bewertung_Stammdaten!A$21))))))))),IF(N58&lt;Bewertung_Stammdaten!C$12,Bewertung_Stammdaten!A$12,IF(N58&lt;Bewertung_Stammdaten!C$13,Bewertung_Stammdaten!A$13,IF(N58&lt;Bewertung_Stammdaten!C$14,Bewertung_Stammdaten!A$14,IF(N58&lt;Bewertung_Stammdaten!C$15,Bewertung_Stammdaten!A$15,IF(N58&lt;Bewertung_Stammdaten!C$16,Bewertung_Stammdaten!A$16,IF(N58&lt;Bewertung_Stammdaten!C$17,Bewertung_Stammdaten!A$17,IF(N58&lt;Bewertung_Stammdaten!C$18,Bewertung_Stammdaten!A$18,IF(N58&lt;Bewertung_Stammdaten!C$19,Bewertung_Stammdaten!A$19,IF(N58&lt;Bewertung_Stammdaten!C$20,Bewertung_Stammdaten!A$20,Bewertung_Stammdaten!A$21))))))))))</f>
        <v>6</v>
      </c>
      <c r="R58" s="32">
        <f ca="1">IF(F58=1,IF(K58&lt;Bewertung_Stammdaten!F$12,Bewertung_Stammdaten!E$12,IF(K58&lt;Bewertung_Stammdaten!F$13,Bewertung_Stammdaten!E$13,IF(K58&lt;Bewertung_Stammdaten!F$14,Bewertung_Stammdaten!E$14,IF(K58&lt;Bewertung_Stammdaten!F$15,Bewertung_Stammdaten!E$15,IF(K58&lt;Bewertung_Stammdaten!F$16,Bewertung_Stammdaten!E$16,IF(K58&lt;Bewertung_Stammdaten!F$17,Bewertung_Stammdaten!E$17,IF(K58&lt;Bewertung_Stammdaten!F$18,Bewertung_Stammdaten!E$18,IF(K58&lt;Bewertung_Stammdaten!F$19,Bewertung_Stammdaten!E$19,IF(K58&lt;Bewertung_Stammdaten!F$20,Bewertung_Stammdaten!E$20,Bewertung_Stammdaten!E$21))))))))),IF(P58&lt;Bewertung_Stammdaten!G$12,Bewertung_Stammdaten!E$12,IF(P58&lt;Bewertung_Stammdaten!G$13,Bewertung_Stammdaten!E$13,IF(P58&lt;Bewertung_Stammdaten!G$14,Bewertung_Stammdaten!E$14,IF(P58&lt;Bewertung_Stammdaten!G$15,Bewertung_Stammdaten!E$15,IF(P58&lt;Bewertung_Stammdaten!G$16,Bewertung_Stammdaten!E$16,IF(P58&lt;Bewertung_Stammdaten!G$17,Bewertung_Stammdaten!E$17,IF(P58&lt;Bewertung_Stammdaten!G$18,Bewertung_Stammdaten!E$18,IF(P58&lt;Bewertung_Stammdaten!G$19,Bewertung_Stammdaten!E$19,IF(P58&lt;Bewertung_Stammdaten!G$20,Bewertung_Stammdaten!E$20,Bewertung_Stammdaten!E$21))))))))))</f>
        <v>2.5</v>
      </c>
      <c r="S58" s="43"/>
      <c r="T58" s="11">
        <f ca="1">VLOOKUP(A58,Buchwert_je_Aktie!A$3:AK$103,23,FALSE)</f>
        <v>-0.29299999999999998</v>
      </c>
      <c r="U58" s="11">
        <f>VLOOKUP(A58,Buchwert_je_Aktie!A$3:AK$103,19,FALSE)</f>
        <v>1.5707692307692307</v>
      </c>
      <c r="V58" s="12">
        <f ca="1">VLOOKUP(A58,Buchwert_je_Aktie!A$3:AK$103,24,FALSE)</f>
        <v>-1.1865328109696376</v>
      </c>
      <c r="W58" s="12">
        <f>VLOOKUP(A58,Buchwert_je_Aktie!A$3:AK$103,37,FALSE)</f>
        <v>-4.7999999999999989</v>
      </c>
      <c r="X58" s="16">
        <f t="shared" ca="1" si="16"/>
        <v>-1.1133999999999997</v>
      </c>
      <c r="Y58" s="12">
        <f t="shared" ca="1" si="17"/>
        <v>-1.7088246816846229</v>
      </c>
      <c r="Z58" s="51">
        <f ca="1">IF(V58&lt;Bewertung_Stammdaten!B$25,Bewertung_Stammdaten!A$25,IF(V58&lt;Bewertung_Stammdaten!B$26,Bewertung_Stammdaten!A$26,IF(V58&lt;Bewertung_Stammdaten!B$27,Bewertung_Stammdaten!A$27,IF(V58&lt;Bewertung_Stammdaten!B$28,Bewertung_Stammdaten!A$28,IF(V58&lt;Bewertung_Stammdaten!B$29,Bewertung_Stammdaten!A$29,IF(V58&lt;Bewertung_Stammdaten!B$30,Bewertung_Stammdaten!A$30,IF(V58&lt;Bewertung_Stammdaten!B$31,Bewertung_Stammdaten!A$31,IF(V58&lt;Bewertung_Stammdaten!B$32,Bewertung_Stammdaten!A$32,IF(V58&lt;Bewertung_Stammdaten!B$33,Bewertung_Stammdaten!A$33,Bewertung_Stammdaten!A$34)))))))))</f>
        <v>1.5</v>
      </c>
      <c r="AA58" s="51">
        <f>IF(W58&lt;Bewertung_Stammdaten!F$25,Bewertung_Stammdaten!E$25,IF(W58&lt;Bewertung_Stammdaten!F$26,Bewertung_Stammdaten!E$26,IF(W58&lt;Bewertung_Stammdaten!F$27,Bewertung_Stammdaten!E$27,IF(W58&lt;Bewertung_Stammdaten!F$28,Bewertung_Stammdaten!E$28,IF(W58&lt;Bewertung_Stammdaten!F$29,Bewertung_Stammdaten!E$29,IF(W58&lt;Bewertung_Stammdaten!F$30,Bewertung_Stammdaten!E$30,IF(W58&lt;Bewertung_Stammdaten!F$31,Bewertung_Stammdaten!E$31,IF(W58&lt;Bewertung_Stammdaten!F$32,Bewertung_Stammdaten!E$32,IF(W58&lt;Bewertung_Stammdaten!F$33,Bewertung_Stammdaten!E$33,Bewertung_Stammdaten!E$34)))))))))</f>
        <v>1.5</v>
      </c>
      <c r="AB58" s="51">
        <f ca="1">IF(Y58&lt;Bewertung_Stammdaten!J$25,Bewertung_Stammdaten!I$25,IF(Y58&lt;Bewertung_Stammdaten!J$26,Bewertung_Stammdaten!I$26,IF(Y58&lt;Bewertung_Stammdaten!J$27,Bewertung_Stammdaten!I$27,IF(Y58&lt;Bewertung_Stammdaten!J$28,Bewertung_Stammdaten!I$28,IF(Y58&lt;Bewertung_Stammdaten!J$29,Bewertung_Stammdaten!I$29,IF(Y58&lt;Bewertung_Stammdaten!J$30,Bewertung_Stammdaten!I$30,IF(Y58&lt;Bewertung_Stammdaten!J$31,Bewertung_Stammdaten!I$31,IF(Y58&lt;Bewertung_Stammdaten!J$32,Bewertung_Stammdaten!I$32,IF(Y58&lt;Bewertung_Stammdaten!J$33,Bewertung_Stammdaten!I$33,Bewertung_Stammdaten!I$34)))))))))</f>
        <v>1</v>
      </c>
      <c r="AC58" s="43"/>
      <c r="AD58" s="14">
        <f ca="1">VLOOKUP(A58,Ergebnis_je_Aktie_verwässert!A$3:AK$103,23,FALSE)</f>
        <v>2.8220000000000001</v>
      </c>
      <c r="AE58" s="14">
        <f>VLOOKUP(A58,Ergebnis_je_Aktie_verwässert!A$3:AK$103,19,FALSE)</f>
        <v>2.5265384615384616</v>
      </c>
      <c r="AF58" s="12">
        <f ca="1">VLOOKUP(A58,Ergebnis_je_Aktie_verwässert!A$3:AK$103,24,FALSE)</f>
        <v>0.11694321814583652</v>
      </c>
      <c r="AG58" s="40">
        <f>VLOOKUP(A58,Ergebnis_je_Aktie_verwässert!A$3:AK$103,37,FALSE)</f>
        <v>-3.7671232876712257E-2</v>
      </c>
      <c r="AH58" s="16">
        <f t="shared" ca="1" si="18"/>
        <v>2.7156917808219179</v>
      </c>
      <c r="AI58" s="12">
        <f t="shared" ca="1" si="19"/>
        <v>7.4866590065000294E-2</v>
      </c>
      <c r="AJ58" s="32">
        <f ca="1">IF(AF58&lt;Bewertung_Stammdaten!B$38,Bewertung_Stammdaten!A$38,IF(AF58&lt;Bewertung_Stammdaten!B$39,Bewertung_Stammdaten!A$39,IF(AF58&lt;Bewertung_Stammdaten!B$40,Bewertung_Stammdaten!A$40,IF(AF58&lt;Bewertung_Stammdaten!B$41,Bewertung_Stammdaten!A$41,IF(AF58&lt;Bewertung_Stammdaten!B$42,Bewertung_Stammdaten!A$42,IF(AF58&lt;Bewertung_Stammdaten!B$43,Bewertung_Stammdaten!A$43,IF(AF58&lt;Bewertung_Stammdaten!B$44,Bewertung_Stammdaten!A$44,IF(AF58&lt;Bewertung_Stammdaten!B$45,Bewertung_Stammdaten!A$45,IF(AF58&lt;Bewertung_Stammdaten!B$46,Bewertung_Stammdaten!A$46,Bewertung_Stammdaten!A$47)))))))))</f>
        <v>10</v>
      </c>
      <c r="AK58" s="32">
        <f>IF(AG58&lt;Bewertung_Stammdaten!F$38,Bewertung_Stammdaten!E$38,IF(AG58&lt;Bewertung_Stammdaten!F$39,Bewertung_Stammdaten!E$39,IF(AG58&lt;Bewertung_Stammdaten!F$40,Bewertung_Stammdaten!E$40,IF(AG58&lt;Bewertung_Stammdaten!F$41,Bewertung_Stammdaten!E$41,IF(AG58&lt;Bewertung_Stammdaten!F$42,Bewertung_Stammdaten!E$42,IF(AG58&lt;Bewertung_Stammdaten!F$43,Bewertung_Stammdaten!E$43,IF(AG58&lt;Bewertung_Stammdaten!F$44,Bewertung_Stammdaten!E$44,IF(AG58&lt;Bewertung_Stammdaten!F$45,Bewertung_Stammdaten!E$45,IF(AG58&lt;Bewertung_Stammdaten!F$46,Bewertung_Stammdaten!E$46,Bewertung_Stammdaten!E$47)))))))))</f>
        <v>10.5</v>
      </c>
      <c r="AL58" s="32">
        <f ca="1">IF(AI58&lt;Bewertung_Stammdaten!J$38,Bewertung_Stammdaten!I$38,IF(AI58&lt;Bewertung_Stammdaten!J$39,Bewertung_Stammdaten!I$39,IF(AI58&lt;Bewertung_Stammdaten!J$40,Bewertung_Stammdaten!I$40,IF(AI58&lt;Bewertung_Stammdaten!J$41,Bewertung_Stammdaten!I$41,IF(AI58&lt;Bewertung_Stammdaten!J$42,Bewertung_Stammdaten!I$42,IF(AI58&lt;Bewertung_Stammdaten!J$43,Bewertung_Stammdaten!I$43,IF(AI58&lt;Bewertung_Stammdaten!J$44,Bewertung_Stammdaten!I$44,IF(AI58&lt;Bewertung_Stammdaten!J$45,Bewertung_Stammdaten!I$45,IF(AI58&lt;Bewertung_Stammdaten!J$46,Bewertung_Stammdaten!I$46,Bewertung_Stammdaten!I$47)))))))))</f>
        <v>5</v>
      </c>
      <c r="AM58" s="43"/>
      <c r="AN58" s="14">
        <f ca="1">VLOOKUP(A58,Dividende_je_Aktie!A$3:AM$103,24,FALSE)</f>
        <v>1.6060000000000003</v>
      </c>
      <c r="AO58" s="14">
        <f>VLOOKUP(A58,Dividende_je_Aktie!A$3:AM$103,20,FALSE)</f>
        <v>1.1607142857142858</v>
      </c>
      <c r="AP58" s="12">
        <f ca="1">VLOOKUP(A58,Dividende_je_Aktie!A$3:AM$103,25,FALSE)</f>
        <v>0.38363076923076944</v>
      </c>
      <c r="AQ58" s="40">
        <f>VLOOKUP(A58,Dividende_je_Aktie!A$3:AM$103,39,FALSE)</f>
        <v>4.6666666666666634E-2</v>
      </c>
      <c r="AR58" s="16">
        <f t="shared" ca="1" si="20"/>
        <v>1.6060000000000003</v>
      </c>
      <c r="AS58" s="12">
        <f t="shared" ca="1" si="21"/>
        <v>0.38363076923076944</v>
      </c>
      <c r="AT58" s="32">
        <f ca="1">IF(AP58&lt;Bewertung_Stammdaten!B$51,Bewertung_Stammdaten!A$51,IF(AP58&lt;Bewertung_Stammdaten!B$52,Bewertung_Stammdaten!A$52,IF(AP58&lt;Bewertung_Stammdaten!B$53,Bewertung_Stammdaten!A$53,IF(AP58&lt;Bewertung_Stammdaten!B$54,Bewertung_Stammdaten!A$54,IF(AP58&lt;Bewertung_Stammdaten!B$55,Bewertung_Stammdaten!A$55,IF(AP58&lt;Bewertung_Stammdaten!B$56,Bewertung_Stammdaten!A$56,IF(AP58&lt;Bewertung_Stammdaten!B$57,Bewertung_Stammdaten!A$57,IF(AP58&lt;Bewertung_Stammdaten!B$58,Bewertung_Stammdaten!A$58,IF(AP58&lt;Bewertung_Stammdaten!B$59,Bewertung_Stammdaten!A$59,Bewertung_Stammdaten!A$60)))))))))</f>
        <v>12</v>
      </c>
      <c r="AU58" s="32">
        <f>IF(AQ58&lt;Bewertung_Stammdaten!F$51,Bewertung_Stammdaten!E$51,IF(AQ58&lt;Bewertung_Stammdaten!F$52,Bewertung_Stammdaten!E$52,IF(AQ58&lt;Bewertung_Stammdaten!F$53,Bewertung_Stammdaten!E$53,IF(AQ58&lt;Bewertung_Stammdaten!F$54,Bewertung_Stammdaten!E$54,IF(AQ58&lt;Bewertung_Stammdaten!F$55,Bewertung_Stammdaten!E$55,IF(AQ58&lt;Bewertung_Stammdaten!F$56,Bewertung_Stammdaten!E$56,IF(AQ58&lt;Bewertung_Stammdaten!F$57,Bewertung_Stammdaten!E$57,IF(AQ58&lt;Bewertung_Stammdaten!F$58,Bewertung_Stammdaten!E$58,IF(AQ58&lt;Bewertung_Stammdaten!F$59,Bewertung_Stammdaten!E$59,Bewertung_Stammdaten!E$60)))))))))</f>
        <v>12</v>
      </c>
      <c r="AV58" s="32">
        <f ca="1">IF(AS58&lt;Bewertung_Stammdaten!J$51,Bewertung_Stammdaten!I$51,IF(AS58&lt;Bewertung_Stammdaten!J$52,Bewertung_Stammdaten!I$52,IF(AS58&lt;Bewertung_Stammdaten!J$53,Bewertung_Stammdaten!I$53,IF(AS58&lt;Bewertung_Stammdaten!J$54,Bewertung_Stammdaten!I$54,IF(AS58&lt;Bewertung_Stammdaten!J$55,Bewertung_Stammdaten!I$55,IF(AS58&lt;Bewertung_Stammdaten!J$56,Bewertung_Stammdaten!I$56,IF(AS58&lt;Bewertung_Stammdaten!J$57,Bewertung_Stammdaten!I$57,IF(AS58&lt;Bewertung_Stammdaten!J$58,Bewertung_Stammdaten!I$58,IF(AS58&lt;Bewertung_Stammdaten!J$59,Bewertung_Stammdaten!I$59,Bewertung_Stammdaten!I$60)))))))))</f>
        <v>8</v>
      </c>
      <c r="AW58" s="43"/>
      <c r="AX58" s="12">
        <f ca="1">VLOOKUP(A58,Dividendenrendite!A$3:R$103,17,FALSE)</f>
        <v>2.2597439144505425E-2</v>
      </c>
      <c r="AY58" s="12">
        <f>VLOOKUP(A58,Dividendenrendite!A$3:R$103,16,FALSE)</f>
        <v>2.1820214110295284E-2</v>
      </c>
      <c r="AZ58" s="12">
        <f ca="1">VLOOKUP(A58,Dividendenrendite!A$3:R$103,18,FALSE)</f>
        <v>3.5619496228656455E-2</v>
      </c>
      <c r="BA58" s="32">
        <f ca="1">IF(AX58&lt;Bewertung_Stammdaten!B$64,Bewertung_Stammdaten!A$64,IF(AX58&lt;Bewertung_Stammdaten!B$65,Bewertung_Stammdaten!A$65,IF(AX58&lt;Bewertung_Stammdaten!B$66,Bewertung_Stammdaten!A$66,IF(AX58&lt;Bewertung_Stammdaten!B$67,Bewertung_Stammdaten!A$67,IF(AX58&lt;Bewertung_Stammdaten!B$68,Bewertung_Stammdaten!A$68,IF(AX58&lt;Bewertung_Stammdaten!B$69,Bewertung_Stammdaten!A$69,IF(AX58&lt;Bewertung_Stammdaten!B$70,Bewertung_Stammdaten!A$70,IF(AX58&lt;Bewertung_Stammdaten!B$71,Bewertung_Stammdaten!A$71,IF(AX58&lt;Bewertung_Stammdaten!B$72,Bewertung_Stammdaten!A$72,Bewertung_Stammdaten!A$73)))))))))</f>
        <v>7.5</v>
      </c>
      <c r="BB58" s="32">
        <f>IF(AY58&lt;Bewertung_Stammdaten!F$64,Bewertung_Stammdaten!E$64,IF(AY58&lt;Bewertung_Stammdaten!F$65,Bewertung_Stammdaten!E$65,IF(AY58&lt;Bewertung_Stammdaten!F$66,Bewertung_Stammdaten!E$66,IF(AY58&lt;Bewertung_Stammdaten!F$67,Bewertung_Stammdaten!E$67,IF(AY58&lt;Bewertung_Stammdaten!F$68,Bewertung_Stammdaten!E$68,IF(AY58&lt;Bewertung_Stammdaten!F$69,Bewertung_Stammdaten!E$69,IF(AY58&lt;Bewertung_Stammdaten!F$70,Bewertung_Stammdaten!E$70,IF(AY58&lt;Bewertung_Stammdaten!F$71,Bewertung_Stammdaten!E$71,IF(AY58&lt;Bewertung_Stammdaten!F$72,Bewertung_Stammdaten!E$72,Bewertung_Stammdaten!E$73)))))))))</f>
        <v>5</v>
      </c>
      <c r="BC58" s="32">
        <f ca="1">IF(AZ58&lt;Bewertung_Stammdaten!J$64,Bewertung_Stammdaten!I$64,IF(AZ58&lt;Bewertung_Stammdaten!J$65,Bewertung_Stammdaten!I$65,IF(AZ58&lt;Bewertung_Stammdaten!J$66,Bewertung_Stammdaten!I$66,IF(AZ58&lt;Bewertung_Stammdaten!J$67,Bewertung_Stammdaten!I$67,IF(AZ58&lt;Bewertung_Stammdaten!J$68,Bewertung_Stammdaten!I$68,IF(AZ58&lt;Bewertung_Stammdaten!J$69,Bewertung_Stammdaten!I$69,IF(AZ58&lt;Bewertung_Stammdaten!J$70,Bewertung_Stammdaten!I$70,IF(AZ58&lt;Bewertung_Stammdaten!J$71,Bewertung_Stammdaten!I$71,IF(AZ58&lt;Bewertung_Stammdaten!J$72,Bewertung_Stammdaten!I$72,Bewertung_Stammdaten!I$73)))))))))</f>
        <v>3</v>
      </c>
      <c r="BD58" s="43"/>
      <c r="BE58" s="12">
        <f>VLOOKUP(A58,Aktien_im_Umlauf_splitbereinigt!A$3:AB$103,28,FALSE)</f>
        <v>-1.5808969440402221E-2</v>
      </c>
      <c r="BF58" s="12">
        <f>VLOOKUP(A58,Aktien_im_Umlauf_splitbereinigt!A$3:AA$103,26,FALSE)</f>
        <v>-1.4357261352782169E-2</v>
      </c>
      <c r="BG58" s="12">
        <f>VLOOKUP(A58,Aktien_im_Umlauf_splitbereinigt!A$3:AA$103,27,FALSE)</f>
        <v>0.10111316162248007</v>
      </c>
      <c r="BH58" s="41">
        <f>IF(BE58&lt;Bewertung_Stammdaten!B$77,Bewertung_Stammdaten!A$77,IF(BE58&lt;Bewertung_Stammdaten!B$78,Bewertung_Stammdaten!A$78,IF(BE58&lt;Bewertung_Stammdaten!B$79,Bewertung_Stammdaten!A$79,IF(BE58&lt;Bewertung_Stammdaten!B$80,Bewertung_Stammdaten!A$80,IF(BE58&lt;Bewertung_Stammdaten!B$81,Bewertung_Stammdaten!A$81,IF(BE58&lt;Bewertung_Stammdaten!B$82,Bewertung_Stammdaten!A$82,IF(BE58&lt;Bewertung_Stammdaten!B$83,Bewertung_Stammdaten!A$83,IF(BE58&lt;Bewertung_Stammdaten!B$84,Bewertung_Stammdaten!A$84,IF(BE58&lt;Bewertung_Stammdaten!B$85,Bewertung_Stammdaten!A$85,Bewertung_Stammdaten!A$86)))))))))</f>
        <v>6</v>
      </c>
      <c r="BI58" s="41">
        <f>IF(BF58&lt;Bewertung_Stammdaten!F$77,Bewertung_Stammdaten!E$77,IF(BF58&lt;Bewertung_Stammdaten!F$78,Bewertung_Stammdaten!E$78,IF(BF58&lt;Bewertung_Stammdaten!F$79,Bewertung_Stammdaten!E$79,IF(BF58&lt;Bewertung_Stammdaten!F$80,Bewertung_Stammdaten!E$80,IF(BF58&lt;Bewertung_Stammdaten!F$81,Bewertung_Stammdaten!E$81,IF(BF58&lt;Bewertung_Stammdaten!F$82,Bewertung_Stammdaten!E$82,IF(BF58&lt;Bewertung_Stammdaten!F$83,Bewertung_Stammdaten!E$83,IF(BF58&lt;Bewertung_Stammdaten!F$84,Bewertung_Stammdaten!E$84,IF(BF58&lt;Bewertung_Stammdaten!F$85,Bewertung_Stammdaten!E$85,Bewertung_Stammdaten!E$86)))))))))</f>
        <v>5</v>
      </c>
      <c r="BJ58" s="41">
        <f>IF(BG58&lt;Bewertung_Stammdaten!J$77,Bewertung_Stammdaten!I$77,IF(BG58&lt;Bewertung_Stammdaten!J$78,Bewertung_Stammdaten!I$78,IF(BG58&lt;Bewertung_Stammdaten!J$79,Bewertung_Stammdaten!I$79,IF(BG58&lt;Bewertung_Stammdaten!J$80,Bewertung_Stammdaten!I$80,IF(BG58&lt;Bewertung_Stammdaten!J$81,Bewertung_Stammdaten!I$81,IF(BG58&lt;Bewertung_Stammdaten!J$82,Bewertung_Stammdaten!I$82,IF(BG58&lt;Bewertung_Stammdaten!J$83,Bewertung_Stammdaten!I$83,IF(BG58&lt;Bewertung_Stammdaten!J$84,Bewertung_Stammdaten!I$84,IF(BG58&lt;Bewertung_Stammdaten!J$85,Bewertung_Stammdaten!I$85,Bewertung_Stammdaten!I$86)))))))))</f>
        <v>3</v>
      </c>
      <c r="BK58" s="43"/>
      <c r="BL58" s="12">
        <f ca="1">VLOOKUP(A58,Ausschüttungsquote!A$3:AL$103,37,FALSE)</f>
        <v>0.56920158102766805</v>
      </c>
      <c r="BM58" s="12">
        <f>VLOOKUP(A58,Ausschüttungsquote!A$3:AL$103,19,FALSE)</f>
        <v>0.69687397554122754</v>
      </c>
      <c r="BN58" s="12">
        <f ca="1">VLOOKUP(A58,Ausschüttungsquote!A$3:AL$103,38,FALSE)</f>
        <v>0.2179443789425477</v>
      </c>
      <c r="BO58" s="32">
        <f ca="1">IF(BL58&lt;Bewertung_Stammdaten!B$90,Bewertung_Stammdaten!A$90,IF(BL58&lt;Bewertung_Stammdaten!B$91,Bewertung_Stammdaten!A$91,IF(BL58&lt;Bewertung_Stammdaten!B$92,Bewertung_Stammdaten!A$92,IF(BL58&lt;Bewertung_Stammdaten!B$93,Bewertung_Stammdaten!A$93,IF(BL58&lt;Bewertung_Stammdaten!B$94,Bewertung_Stammdaten!A$94,IF(BL58&lt;Bewertung_Stammdaten!B$95,Bewertung_Stammdaten!A$95,IF(BL58&lt;Bewertung_Stammdaten!B$96,Bewertung_Stammdaten!A$96,IF(BL58&lt;Bewertung_Stammdaten!B$97,Bewertung_Stammdaten!A$97,IF(BL58&lt;Bewertung_Stammdaten!B$98,Bewertung_Stammdaten!A$98,Bewertung_Stammdaten!A$99)))))))))</f>
        <v>6</v>
      </c>
      <c r="BP58" s="41">
        <f>IF(BM58&lt;Bewertung_Stammdaten!F$90,Bewertung_Stammdaten!E$90,IF(BM58&lt;Bewertung_Stammdaten!F$91,Bewertung_Stammdaten!E$91,IF(BM58&lt;Bewertung_Stammdaten!F$92,Bewertung_Stammdaten!E$92,IF(BM58&lt;Bewertung_Stammdaten!F$93,Bewertung_Stammdaten!E$93,IF(BM58&lt;Bewertung_Stammdaten!F$94,Bewertung_Stammdaten!E$94,IF(BM58&lt;Bewertung_Stammdaten!F$95,Bewertung_Stammdaten!E$95,IF(BM58&lt;Bewertung_Stammdaten!F$96,Bewertung_Stammdaten!E$96,IF(BM58&lt;Bewertung_Stammdaten!F$97,Bewertung_Stammdaten!E$97,IF(BM58&lt;Bewertung_Stammdaten!F$98,Bewertung_Stammdaten!E$98,Bewertung_Stammdaten!E$99)))))))))</f>
        <v>4</v>
      </c>
      <c r="BQ58" s="32">
        <f ca="1">IF(BN58&lt;Bewertung_Stammdaten!J$90,Bewertung_Stammdaten!I$90,IF(BN58&lt;Bewertung_Stammdaten!J$91,Bewertung_Stammdaten!I$91,IF(BN58&lt;Bewertung_Stammdaten!J$92,Bewertung_Stammdaten!I$92,IF(BN58&lt;Bewertung_Stammdaten!J$93,Bewertung_Stammdaten!I$93,IF(BN58&lt;Bewertung_Stammdaten!J$94,Bewertung_Stammdaten!I$94,IF(BN58&lt;Bewertung_Stammdaten!J$95,Bewertung_Stammdaten!I$95,IF(BN58&lt;Bewertung_Stammdaten!J$96,Bewertung_Stammdaten!I$96,IF(BN58&lt;Bewertung_Stammdaten!J$97,Bewertung_Stammdaten!I$97,IF(BN58&lt;Bewertung_Stammdaten!J$98,Bewertung_Stammdaten!I$98,Bewertung_Stammdaten!I$99)))))))))</f>
        <v>1</v>
      </c>
    </row>
    <row r="59" spans="1:69">
      <c r="A59" s="38" t="s">
        <v>74</v>
      </c>
      <c r="B59" s="38" t="s">
        <v>75</v>
      </c>
      <c r="C59" s="38" t="s">
        <v>282</v>
      </c>
      <c r="D59" s="32">
        <f t="shared" ca="1" si="11"/>
        <v>106.5</v>
      </c>
      <c r="E59" s="43"/>
      <c r="F59" s="60">
        <v>1</v>
      </c>
      <c r="G59" s="11">
        <f ca="1">VLOOKUP(A59,KGV!A$3:R$103,17,FALSE)</f>
        <v>26.541828720854213</v>
      </c>
      <c r="H59" s="11">
        <f>VLOOKUP(A59,KGV!A$3:R$103,16,FALSE)</f>
        <v>17.653399185336045</v>
      </c>
      <c r="I59" s="12">
        <f ca="1">VLOOKUP(A59,KGV!A$3:R$103,18,FALSE)</f>
        <v>0.50349677374890045</v>
      </c>
      <c r="J59" s="16">
        <f t="shared" ca="1" si="12"/>
        <v>29.919879648962926</v>
      </c>
      <c r="K59" s="12">
        <f t="shared" ca="1" si="13"/>
        <v>0.69485090858966947</v>
      </c>
      <c r="L59" s="11">
        <f ca="1">VLOOKUP(A59,KBV!A$3:R$103,17,FALSE)</f>
        <v>4.1769702331961582</v>
      </c>
      <c r="M59" s="11">
        <f>VLOOKUP(A59,KBV!A$3:R$103,16,FALSE)</f>
        <v>3.0963729618781342</v>
      </c>
      <c r="N59" s="12">
        <f ca="1">VLOOKUP(A59,KBV!A$3:R$103,18,FALSE)</f>
        <v>0.34898808529272829</v>
      </c>
      <c r="O59" s="16">
        <f t="shared" ca="1" si="14"/>
        <v>4.9549707957151377</v>
      </c>
      <c r="P59" s="12">
        <f t="shared" ca="1" si="15"/>
        <v>0.60024998820221365</v>
      </c>
      <c r="Q59" s="32">
        <f ca="1">IF(F59=1,IF(I59&lt;Bewertung_Stammdaten!B$12,Bewertung_Stammdaten!A$12,IF(I59&lt;Bewertung_Stammdaten!B$13,Bewertung_Stammdaten!A$13,IF(I59&lt;Bewertung_Stammdaten!B$14,Bewertung_Stammdaten!A$14,IF(I59&lt;Bewertung_Stammdaten!B$15,Bewertung_Stammdaten!A$15,IF(I59&lt;Bewertung_Stammdaten!B$16,Bewertung_Stammdaten!A$16,IF(I59&lt;Bewertung_Stammdaten!B$17,Bewertung_Stammdaten!A$17,IF(I59&lt;Bewertung_Stammdaten!B$18,Bewertung_Stammdaten!A$18,IF(I59&lt;Bewertung_Stammdaten!B$19,Bewertung_Stammdaten!A$19,IF(I59&lt;Bewertung_Stammdaten!B$20,Bewertung_Stammdaten!A$20,Bewertung_Stammdaten!A$21))))))))),IF(N59&lt;Bewertung_Stammdaten!C$12,Bewertung_Stammdaten!A$12,IF(N59&lt;Bewertung_Stammdaten!C$13,Bewertung_Stammdaten!A$13,IF(N59&lt;Bewertung_Stammdaten!C$14,Bewertung_Stammdaten!A$14,IF(N59&lt;Bewertung_Stammdaten!C$15,Bewertung_Stammdaten!A$15,IF(N59&lt;Bewertung_Stammdaten!C$16,Bewertung_Stammdaten!A$16,IF(N59&lt;Bewertung_Stammdaten!C$17,Bewertung_Stammdaten!A$17,IF(N59&lt;Bewertung_Stammdaten!C$18,Bewertung_Stammdaten!A$18,IF(N59&lt;Bewertung_Stammdaten!C$19,Bewertung_Stammdaten!A$19,IF(N59&lt;Bewertung_Stammdaten!C$20,Bewertung_Stammdaten!A$20,Bewertung_Stammdaten!A$21))))))))))</f>
        <v>6</v>
      </c>
      <c r="R59" s="32">
        <f ca="1">IF(F59=1,IF(K59&lt;Bewertung_Stammdaten!F$12,Bewertung_Stammdaten!E$12,IF(K59&lt;Bewertung_Stammdaten!F$13,Bewertung_Stammdaten!E$13,IF(K59&lt;Bewertung_Stammdaten!F$14,Bewertung_Stammdaten!E$14,IF(K59&lt;Bewertung_Stammdaten!F$15,Bewertung_Stammdaten!E$15,IF(K59&lt;Bewertung_Stammdaten!F$16,Bewertung_Stammdaten!E$16,IF(K59&lt;Bewertung_Stammdaten!F$17,Bewertung_Stammdaten!E$17,IF(K59&lt;Bewertung_Stammdaten!F$18,Bewertung_Stammdaten!E$18,IF(K59&lt;Bewertung_Stammdaten!F$19,Bewertung_Stammdaten!E$19,IF(K59&lt;Bewertung_Stammdaten!F$20,Bewertung_Stammdaten!E$20,Bewertung_Stammdaten!E$21))))))))),IF(P59&lt;Bewertung_Stammdaten!G$12,Bewertung_Stammdaten!E$12,IF(P59&lt;Bewertung_Stammdaten!G$13,Bewertung_Stammdaten!E$13,IF(P59&lt;Bewertung_Stammdaten!G$14,Bewertung_Stammdaten!E$14,IF(P59&lt;Bewertung_Stammdaten!G$15,Bewertung_Stammdaten!E$15,IF(P59&lt;Bewertung_Stammdaten!G$16,Bewertung_Stammdaten!E$16,IF(P59&lt;Bewertung_Stammdaten!G$17,Bewertung_Stammdaten!E$17,IF(P59&lt;Bewertung_Stammdaten!G$18,Bewertung_Stammdaten!E$18,IF(P59&lt;Bewertung_Stammdaten!G$19,Bewertung_Stammdaten!E$19,IF(P59&lt;Bewertung_Stammdaten!G$20,Bewertung_Stammdaten!E$20,Bewertung_Stammdaten!E$21))))))))))</f>
        <v>2.5</v>
      </c>
      <c r="S59" s="43"/>
      <c r="T59" s="11">
        <f ca="1">VLOOKUP(A59,Buchwert_je_Aktie!A$3:AK$103,23,FALSE)</f>
        <v>29.160000000000004</v>
      </c>
      <c r="U59" s="11">
        <f>VLOOKUP(A59,Buchwert_je_Aktie!A$3:AK$103,19,FALSE)</f>
        <v>26.511000000000003</v>
      </c>
      <c r="V59" s="12">
        <f ca="1">VLOOKUP(A59,Buchwert_je_Aktie!A$3:AK$103,24,FALSE)</f>
        <v>9.9920787597600924E-2</v>
      </c>
      <c r="W59" s="12">
        <f>VLOOKUP(A59,Buchwert_je_Aktie!A$3:AK$103,37,FALSE)</f>
        <v>-0.157014157014157</v>
      </c>
      <c r="X59" s="16">
        <f t="shared" ca="1" si="16"/>
        <v>24.581467181467186</v>
      </c>
      <c r="Y59" s="12">
        <f t="shared" ca="1" si="17"/>
        <v>-7.2782347649383849E-2</v>
      </c>
      <c r="Z59" s="51">
        <f ca="1">IF(V59&lt;Bewertung_Stammdaten!B$25,Bewertung_Stammdaten!A$25,IF(V59&lt;Bewertung_Stammdaten!B$26,Bewertung_Stammdaten!A$26,IF(V59&lt;Bewertung_Stammdaten!B$27,Bewertung_Stammdaten!A$27,IF(V59&lt;Bewertung_Stammdaten!B$28,Bewertung_Stammdaten!A$28,IF(V59&lt;Bewertung_Stammdaten!B$29,Bewertung_Stammdaten!A$29,IF(V59&lt;Bewertung_Stammdaten!B$30,Bewertung_Stammdaten!A$30,IF(V59&lt;Bewertung_Stammdaten!B$31,Bewertung_Stammdaten!A$31,IF(V59&lt;Bewertung_Stammdaten!B$32,Bewertung_Stammdaten!A$32,IF(V59&lt;Bewertung_Stammdaten!B$33,Bewertung_Stammdaten!A$33,Bewertung_Stammdaten!A$34)))))))))</f>
        <v>4.5</v>
      </c>
      <c r="AA59" s="51">
        <f>IF(W59&lt;Bewertung_Stammdaten!F$25,Bewertung_Stammdaten!E$25,IF(W59&lt;Bewertung_Stammdaten!F$26,Bewertung_Stammdaten!E$26,IF(W59&lt;Bewertung_Stammdaten!F$27,Bewertung_Stammdaten!E$27,IF(W59&lt;Bewertung_Stammdaten!F$28,Bewertung_Stammdaten!E$28,IF(W59&lt;Bewertung_Stammdaten!F$29,Bewertung_Stammdaten!E$29,IF(W59&lt;Bewertung_Stammdaten!F$30,Bewertung_Stammdaten!E$30,IF(W59&lt;Bewertung_Stammdaten!F$31,Bewertung_Stammdaten!E$31,IF(W59&lt;Bewertung_Stammdaten!F$32,Bewertung_Stammdaten!E$32,IF(W59&lt;Bewertung_Stammdaten!F$33,Bewertung_Stammdaten!E$33,Bewertung_Stammdaten!E$34)))))))))</f>
        <v>6</v>
      </c>
      <c r="AB59" s="51">
        <f ca="1">IF(Y59&lt;Bewertung_Stammdaten!J$25,Bewertung_Stammdaten!I$25,IF(Y59&lt;Bewertung_Stammdaten!J$26,Bewertung_Stammdaten!I$26,IF(Y59&lt;Bewertung_Stammdaten!J$27,Bewertung_Stammdaten!I$27,IF(Y59&lt;Bewertung_Stammdaten!J$28,Bewertung_Stammdaten!I$28,IF(Y59&lt;Bewertung_Stammdaten!J$29,Bewertung_Stammdaten!I$29,IF(Y59&lt;Bewertung_Stammdaten!J$30,Bewertung_Stammdaten!I$30,IF(Y59&lt;Bewertung_Stammdaten!J$31,Bewertung_Stammdaten!I$31,IF(Y59&lt;Bewertung_Stammdaten!J$32,Bewertung_Stammdaten!I$32,IF(Y59&lt;Bewertung_Stammdaten!J$33,Bewertung_Stammdaten!I$33,Bewertung_Stammdaten!I$34)))))))))</f>
        <v>2</v>
      </c>
      <c r="AC59" s="43"/>
      <c r="AD59" s="14">
        <f ca="1">VLOOKUP(A59,Ergebnis_je_Aktie_verwässert!A$3:AK$103,23,FALSE)</f>
        <v>4.5890000000000004</v>
      </c>
      <c r="AE59" s="14">
        <f>VLOOKUP(A59,Ergebnis_je_Aktie_verwässert!A$3:AK$103,19,FALSE)</f>
        <v>3.9207692307692308</v>
      </c>
      <c r="AF59" s="12">
        <f ca="1">VLOOKUP(A59,Ergebnis_je_Aktie_verwässert!A$3:AK$103,24,FALSE)</f>
        <v>0.17043358838532474</v>
      </c>
      <c r="AG59" s="40">
        <f>VLOOKUP(A59,Ergebnis_je_Aktie_verwässert!A$3:AK$103,37,FALSE)</f>
        <v>-0.11290322580645151</v>
      </c>
      <c r="AH59" s="16">
        <f t="shared" ca="1" si="18"/>
        <v>4.0708870967741948</v>
      </c>
      <c r="AI59" s="12">
        <f t="shared" ca="1" si="19"/>
        <v>3.8287860664401263E-2</v>
      </c>
      <c r="AJ59" s="32">
        <f ca="1">IF(AF59&lt;Bewertung_Stammdaten!B$38,Bewertung_Stammdaten!A$38,IF(AF59&lt;Bewertung_Stammdaten!B$39,Bewertung_Stammdaten!A$39,IF(AF59&lt;Bewertung_Stammdaten!B$40,Bewertung_Stammdaten!A$40,IF(AF59&lt;Bewertung_Stammdaten!B$41,Bewertung_Stammdaten!A$41,IF(AF59&lt;Bewertung_Stammdaten!B$42,Bewertung_Stammdaten!A$42,IF(AF59&lt;Bewertung_Stammdaten!B$43,Bewertung_Stammdaten!A$43,IF(AF59&lt;Bewertung_Stammdaten!B$44,Bewertung_Stammdaten!A$44,IF(AF59&lt;Bewertung_Stammdaten!B$45,Bewertung_Stammdaten!A$45,IF(AF59&lt;Bewertung_Stammdaten!B$46,Bewertung_Stammdaten!A$46,Bewertung_Stammdaten!A$47)))))))))</f>
        <v>10</v>
      </c>
      <c r="AK59" s="32">
        <f>IF(AG59&lt;Bewertung_Stammdaten!F$38,Bewertung_Stammdaten!E$38,IF(AG59&lt;Bewertung_Stammdaten!F$39,Bewertung_Stammdaten!E$39,IF(AG59&lt;Bewertung_Stammdaten!F$40,Bewertung_Stammdaten!E$40,IF(AG59&lt;Bewertung_Stammdaten!F$41,Bewertung_Stammdaten!E$41,IF(AG59&lt;Bewertung_Stammdaten!F$42,Bewertung_Stammdaten!E$42,IF(AG59&lt;Bewertung_Stammdaten!F$43,Bewertung_Stammdaten!E$43,IF(AG59&lt;Bewertung_Stammdaten!F$44,Bewertung_Stammdaten!E$44,IF(AG59&lt;Bewertung_Stammdaten!F$45,Bewertung_Stammdaten!E$45,IF(AG59&lt;Bewertung_Stammdaten!F$46,Bewertung_Stammdaten!E$46,Bewertung_Stammdaten!E$47)))))))))</f>
        <v>9</v>
      </c>
      <c r="AL59" s="32">
        <f ca="1">IF(AI59&lt;Bewertung_Stammdaten!J$38,Bewertung_Stammdaten!I$38,IF(AI59&lt;Bewertung_Stammdaten!J$39,Bewertung_Stammdaten!I$39,IF(AI59&lt;Bewertung_Stammdaten!J$40,Bewertung_Stammdaten!I$40,IF(AI59&lt;Bewertung_Stammdaten!J$41,Bewertung_Stammdaten!I$41,IF(AI59&lt;Bewertung_Stammdaten!J$42,Bewertung_Stammdaten!I$42,IF(AI59&lt;Bewertung_Stammdaten!J$43,Bewertung_Stammdaten!I$43,IF(AI59&lt;Bewertung_Stammdaten!J$44,Bewertung_Stammdaten!I$44,IF(AI59&lt;Bewertung_Stammdaten!J$45,Bewertung_Stammdaten!I$45,IF(AI59&lt;Bewertung_Stammdaten!J$46,Bewertung_Stammdaten!I$46,Bewertung_Stammdaten!I$47)))))))))</f>
        <v>4</v>
      </c>
      <c r="AM59" s="43"/>
      <c r="AN59" s="14">
        <f ca="1">VLOOKUP(A59,Dividende_je_Aktie!A$3:AM$103,24,FALSE)</f>
        <v>3.8619999999999992</v>
      </c>
      <c r="AO59" s="14">
        <f>VLOOKUP(A59,Dividende_je_Aktie!A$3:AM$103,20,FALSE)</f>
        <v>2.0714285714285716</v>
      </c>
      <c r="AP59" s="12">
        <f ca="1">VLOOKUP(A59,Dividende_je_Aktie!A$3:AM$103,25,FALSE)</f>
        <v>0.86441379310344768</v>
      </c>
      <c r="AQ59" s="40">
        <f>VLOOKUP(A59,Dividende_je_Aktie!A$3:AM$103,39,FALSE)</f>
        <v>-0.46153846153846156</v>
      </c>
      <c r="AR59" s="16">
        <f t="shared" ca="1" si="20"/>
        <v>2.0795384615384611</v>
      </c>
      <c r="AS59" s="12">
        <f t="shared" ca="1" si="21"/>
        <v>3.9151193633948367E-3</v>
      </c>
      <c r="AT59" s="32">
        <f ca="1">IF(AP59&lt;Bewertung_Stammdaten!B$51,Bewertung_Stammdaten!A$51,IF(AP59&lt;Bewertung_Stammdaten!B$52,Bewertung_Stammdaten!A$52,IF(AP59&lt;Bewertung_Stammdaten!B$53,Bewertung_Stammdaten!A$53,IF(AP59&lt;Bewertung_Stammdaten!B$54,Bewertung_Stammdaten!A$54,IF(AP59&lt;Bewertung_Stammdaten!B$55,Bewertung_Stammdaten!A$55,IF(AP59&lt;Bewertung_Stammdaten!B$56,Bewertung_Stammdaten!A$56,IF(AP59&lt;Bewertung_Stammdaten!B$57,Bewertung_Stammdaten!A$57,IF(AP59&lt;Bewertung_Stammdaten!B$58,Bewertung_Stammdaten!A$58,IF(AP59&lt;Bewertung_Stammdaten!B$59,Bewertung_Stammdaten!A$59,Bewertung_Stammdaten!A$60)))))))))</f>
        <v>20</v>
      </c>
      <c r="AU59" s="32">
        <f>IF(AQ59&lt;Bewertung_Stammdaten!F$51,Bewertung_Stammdaten!E$51,IF(AQ59&lt;Bewertung_Stammdaten!F$52,Bewertung_Stammdaten!E$52,IF(AQ59&lt;Bewertung_Stammdaten!F$53,Bewertung_Stammdaten!E$53,IF(AQ59&lt;Bewertung_Stammdaten!F$54,Bewertung_Stammdaten!E$54,IF(AQ59&lt;Bewertung_Stammdaten!F$55,Bewertung_Stammdaten!E$55,IF(AQ59&lt;Bewertung_Stammdaten!F$56,Bewertung_Stammdaten!E$56,IF(AQ59&lt;Bewertung_Stammdaten!F$57,Bewertung_Stammdaten!E$57,IF(AQ59&lt;Bewertung_Stammdaten!F$58,Bewertung_Stammdaten!E$58,IF(AQ59&lt;Bewertung_Stammdaten!F$59,Bewertung_Stammdaten!E$59,Bewertung_Stammdaten!E$60)))))))))</f>
        <v>4.5</v>
      </c>
      <c r="AV59" s="32">
        <f ca="1">IF(AS59&lt;Bewertung_Stammdaten!J$51,Bewertung_Stammdaten!I$51,IF(AS59&lt;Bewertung_Stammdaten!J$52,Bewertung_Stammdaten!I$52,IF(AS59&lt;Bewertung_Stammdaten!J$53,Bewertung_Stammdaten!I$53,IF(AS59&lt;Bewertung_Stammdaten!J$54,Bewertung_Stammdaten!I$54,IF(AS59&lt;Bewertung_Stammdaten!J$55,Bewertung_Stammdaten!I$55,IF(AS59&lt;Bewertung_Stammdaten!J$56,Bewertung_Stammdaten!I$56,IF(AS59&lt;Bewertung_Stammdaten!J$57,Bewertung_Stammdaten!I$57,IF(AS59&lt;Bewertung_Stammdaten!J$58,Bewertung_Stammdaten!I$58,IF(AS59&lt;Bewertung_Stammdaten!J$59,Bewertung_Stammdaten!I$59,Bewertung_Stammdaten!I$60)))))))))</f>
        <v>4</v>
      </c>
      <c r="AW59" s="43"/>
      <c r="AX59" s="12">
        <f ca="1">VLOOKUP(A59,Dividendenrendite!A$3:R$103,17,FALSE)</f>
        <v>3.1707599902831229E-2</v>
      </c>
      <c r="AY59" s="12">
        <f>VLOOKUP(A59,Dividendenrendite!A$3:R$103,16,FALSE)</f>
        <v>2.2380023706387857E-2</v>
      </c>
      <c r="AZ59" s="12">
        <f ca="1">VLOOKUP(A59,Dividendenrendite!A$3:R$103,18,FALSE)</f>
        <v>0.4167813367320532</v>
      </c>
      <c r="BA59" s="32">
        <f ca="1">IF(AX59&lt;Bewertung_Stammdaten!B$64,Bewertung_Stammdaten!A$64,IF(AX59&lt;Bewertung_Stammdaten!B$65,Bewertung_Stammdaten!A$65,IF(AX59&lt;Bewertung_Stammdaten!B$66,Bewertung_Stammdaten!A$66,IF(AX59&lt;Bewertung_Stammdaten!B$67,Bewertung_Stammdaten!A$67,IF(AX59&lt;Bewertung_Stammdaten!B$68,Bewertung_Stammdaten!A$68,IF(AX59&lt;Bewertung_Stammdaten!B$69,Bewertung_Stammdaten!A$69,IF(AX59&lt;Bewertung_Stammdaten!B$70,Bewertung_Stammdaten!A$70,IF(AX59&lt;Bewertung_Stammdaten!B$71,Bewertung_Stammdaten!A$71,IF(AX59&lt;Bewertung_Stammdaten!B$72,Bewertung_Stammdaten!A$72,Bewertung_Stammdaten!A$73)))))))))</f>
        <v>10.5</v>
      </c>
      <c r="BB59" s="32">
        <f>IF(AY59&lt;Bewertung_Stammdaten!F$64,Bewertung_Stammdaten!E$64,IF(AY59&lt;Bewertung_Stammdaten!F$65,Bewertung_Stammdaten!E$65,IF(AY59&lt;Bewertung_Stammdaten!F$66,Bewertung_Stammdaten!E$66,IF(AY59&lt;Bewertung_Stammdaten!F$67,Bewertung_Stammdaten!E$67,IF(AY59&lt;Bewertung_Stammdaten!F$68,Bewertung_Stammdaten!E$68,IF(AY59&lt;Bewertung_Stammdaten!F$69,Bewertung_Stammdaten!E$69,IF(AY59&lt;Bewertung_Stammdaten!F$70,Bewertung_Stammdaten!E$70,IF(AY59&lt;Bewertung_Stammdaten!F$71,Bewertung_Stammdaten!E$71,IF(AY59&lt;Bewertung_Stammdaten!F$72,Bewertung_Stammdaten!E$72,Bewertung_Stammdaten!E$73)))))))))</f>
        <v>5</v>
      </c>
      <c r="BC59" s="32">
        <f ca="1">IF(AZ59&lt;Bewertung_Stammdaten!J$64,Bewertung_Stammdaten!I$64,IF(AZ59&lt;Bewertung_Stammdaten!J$65,Bewertung_Stammdaten!I$65,IF(AZ59&lt;Bewertung_Stammdaten!J$66,Bewertung_Stammdaten!I$66,IF(AZ59&lt;Bewertung_Stammdaten!J$67,Bewertung_Stammdaten!I$67,IF(AZ59&lt;Bewertung_Stammdaten!J$68,Bewertung_Stammdaten!I$68,IF(AZ59&lt;Bewertung_Stammdaten!J$69,Bewertung_Stammdaten!I$69,IF(AZ59&lt;Bewertung_Stammdaten!J$70,Bewertung_Stammdaten!I$70,IF(AZ59&lt;Bewertung_Stammdaten!J$71,Bewertung_Stammdaten!I$71,IF(AZ59&lt;Bewertung_Stammdaten!J$72,Bewertung_Stammdaten!I$72,Bewertung_Stammdaten!I$73)))))))))</f>
        <v>5</v>
      </c>
      <c r="BD59" s="43"/>
      <c r="BE59" s="12">
        <f>VLOOKUP(A59,Aktien_im_Umlauf_splitbereinigt!A$3:AB$103,28,FALSE)</f>
        <v>0</v>
      </c>
      <c r="BF59" s="12">
        <f>VLOOKUP(A59,Aktien_im_Umlauf_splitbereinigt!A$3:AA$103,26,FALSE)</f>
        <v>4.6502689049485735E-3</v>
      </c>
      <c r="BG59" s="12">
        <f>VLOOKUP(A59,Aktien_im_Umlauf_splitbereinigt!A$3:AA$103,27,FALSE)</f>
        <v>-99.999989999999997</v>
      </c>
      <c r="BH59" s="41">
        <f>IF(BE59&lt;Bewertung_Stammdaten!B$77,Bewertung_Stammdaten!A$77,IF(BE59&lt;Bewertung_Stammdaten!B$78,Bewertung_Stammdaten!A$78,IF(BE59&lt;Bewertung_Stammdaten!B$79,Bewertung_Stammdaten!A$79,IF(BE59&lt;Bewertung_Stammdaten!B$80,Bewertung_Stammdaten!A$80,IF(BE59&lt;Bewertung_Stammdaten!B$81,Bewertung_Stammdaten!A$81,IF(BE59&lt;Bewertung_Stammdaten!B$82,Bewertung_Stammdaten!A$82,IF(BE59&lt;Bewertung_Stammdaten!B$83,Bewertung_Stammdaten!A$83,IF(BE59&lt;Bewertung_Stammdaten!B$84,Bewertung_Stammdaten!A$84,IF(BE59&lt;Bewertung_Stammdaten!B$85,Bewertung_Stammdaten!A$85,Bewertung_Stammdaten!A$86)))))))))</f>
        <v>2</v>
      </c>
      <c r="BI59" s="41">
        <f>IF(BF59&lt;Bewertung_Stammdaten!F$77,Bewertung_Stammdaten!E$77,IF(BF59&lt;Bewertung_Stammdaten!F$78,Bewertung_Stammdaten!E$78,IF(BF59&lt;Bewertung_Stammdaten!F$79,Bewertung_Stammdaten!E$79,IF(BF59&lt;Bewertung_Stammdaten!F$80,Bewertung_Stammdaten!E$80,IF(BF59&lt;Bewertung_Stammdaten!F$81,Bewertung_Stammdaten!E$81,IF(BF59&lt;Bewertung_Stammdaten!F$82,Bewertung_Stammdaten!E$82,IF(BF59&lt;Bewertung_Stammdaten!F$83,Bewertung_Stammdaten!E$83,IF(BF59&lt;Bewertung_Stammdaten!F$84,Bewertung_Stammdaten!E$84,IF(BF59&lt;Bewertung_Stammdaten!F$85,Bewertung_Stammdaten!E$85,Bewertung_Stammdaten!E$86)))))))))</f>
        <v>2</v>
      </c>
      <c r="BJ59" s="41">
        <f>IF(BG59&lt;Bewertung_Stammdaten!J$77,Bewertung_Stammdaten!I$77,IF(BG59&lt;Bewertung_Stammdaten!J$78,Bewertung_Stammdaten!I$78,IF(BG59&lt;Bewertung_Stammdaten!J$79,Bewertung_Stammdaten!I$79,IF(BG59&lt;Bewertung_Stammdaten!J$80,Bewertung_Stammdaten!I$80,IF(BG59&lt;Bewertung_Stammdaten!J$81,Bewertung_Stammdaten!I$81,IF(BG59&lt;Bewertung_Stammdaten!J$82,Bewertung_Stammdaten!I$82,IF(BG59&lt;Bewertung_Stammdaten!J$83,Bewertung_Stammdaten!I$83,IF(BG59&lt;Bewertung_Stammdaten!J$84,Bewertung_Stammdaten!I$84,IF(BG59&lt;Bewertung_Stammdaten!J$85,Bewertung_Stammdaten!I$85,Bewertung_Stammdaten!I$86)))))))))</f>
        <v>0.5</v>
      </c>
      <c r="BK59" s="43"/>
      <c r="BL59" s="12">
        <f ca="1">VLOOKUP(A59,Ausschüttungsquote!A$3:AL$103,37,FALSE)</f>
        <v>0.84271462136273256</v>
      </c>
      <c r="BM59" s="12">
        <f>VLOOKUP(A59,Ausschüttungsquote!A$3:AL$103,19,FALSE)</f>
        <v>0.50570215750403669</v>
      </c>
      <c r="BN59" s="12">
        <f ca="1">VLOOKUP(A59,Ausschüttungsquote!A$3:AL$103,38,FALSE)</f>
        <v>0.66642480926335712</v>
      </c>
      <c r="BO59" s="32">
        <f ca="1">IF(BL59&lt;Bewertung_Stammdaten!B$90,Bewertung_Stammdaten!A$90,IF(BL59&lt;Bewertung_Stammdaten!B$91,Bewertung_Stammdaten!A$91,IF(BL59&lt;Bewertung_Stammdaten!B$92,Bewertung_Stammdaten!A$92,IF(BL59&lt;Bewertung_Stammdaten!B$93,Bewertung_Stammdaten!A$93,IF(BL59&lt;Bewertung_Stammdaten!B$94,Bewertung_Stammdaten!A$94,IF(BL59&lt;Bewertung_Stammdaten!B$95,Bewertung_Stammdaten!A$95,IF(BL59&lt;Bewertung_Stammdaten!B$96,Bewertung_Stammdaten!A$96,IF(BL59&lt;Bewertung_Stammdaten!B$97,Bewertung_Stammdaten!A$97,IF(BL59&lt;Bewertung_Stammdaten!B$98,Bewertung_Stammdaten!A$98,Bewertung_Stammdaten!A$99)))))))))</f>
        <v>1</v>
      </c>
      <c r="BP59" s="41">
        <f>IF(BM59&lt;Bewertung_Stammdaten!F$90,Bewertung_Stammdaten!E$90,IF(BM59&lt;Bewertung_Stammdaten!F$91,Bewertung_Stammdaten!E$91,IF(BM59&lt;Bewertung_Stammdaten!F$92,Bewertung_Stammdaten!E$92,IF(BM59&lt;Bewertung_Stammdaten!F$93,Bewertung_Stammdaten!E$93,IF(BM59&lt;Bewertung_Stammdaten!F$94,Bewertung_Stammdaten!E$94,IF(BM59&lt;Bewertung_Stammdaten!F$95,Bewertung_Stammdaten!E$95,IF(BM59&lt;Bewertung_Stammdaten!F$96,Bewertung_Stammdaten!E$96,IF(BM59&lt;Bewertung_Stammdaten!F$97,Bewertung_Stammdaten!E$97,IF(BM59&lt;Bewertung_Stammdaten!F$98,Bewertung_Stammdaten!E$98,Bewertung_Stammdaten!E$99)))))))))</f>
        <v>7</v>
      </c>
      <c r="BQ59" s="32">
        <f ca="1">IF(BN59&lt;Bewertung_Stammdaten!J$90,Bewertung_Stammdaten!I$90,IF(BN59&lt;Bewertung_Stammdaten!J$91,Bewertung_Stammdaten!I$91,IF(BN59&lt;Bewertung_Stammdaten!J$92,Bewertung_Stammdaten!I$92,IF(BN59&lt;Bewertung_Stammdaten!J$93,Bewertung_Stammdaten!I$93,IF(BN59&lt;Bewertung_Stammdaten!J$94,Bewertung_Stammdaten!I$94,IF(BN59&lt;Bewertung_Stammdaten!J$95,Bewertung_Stammdaten!I$95,IF(BN59&lt;Bewertung_Stammdaten!J$96,Bewertung_Stammdaten!I$96,IF(BN59&lt;Bewertung_Stammdaten!J$97,Bewertung_Stammdaten!I$97,IF(BN59&lt;Bewertung_Stammdaten!J$98,Bewertung_Stammdaten!I$98,Bewertung_Stammdaten!I$99)))))))))</f>
        <v>1</v>
      </c>
    </row>
    <row r="60" spans="1:69">
      <c r="A60" s="38" t="s">
        <v>78</v>
      </c>
      <c r="B60" s="38" t="s">
        <v>159</v>
      </c>
      <c r="C60" s="38" t="s">
        <v>283</v>
      </c>
      <c r="D60" s="32">
        <f t="shared" ca="1" si="11"/>
        <v>107.5</v>
      </c>
      <c r="E60" s="43"/>
      <c r="F60" s="60">
        <v>1</v>
      </c>
      <c r="G60" s="11">
        <f ca="1">VLOOKUP(A60,KGV!A$3:R$103,17,FALSE)</f>
        <v>25.267472158749246</v>
      </c>
      <c r="H60" s="11">
        <f>VLOOKUP(A60,KGV!A$3:R$103,16,FALSE)</f>
        <v>19.59425196850394</v>
      </c>
      <c r="I60" s="12">
        <f ca="1">VLOOKUP(A60,KGV!A$3:R$103,18,FALSE)</f>
        <v>0.2895349207188167</v>
      </c>
      <c r="J60" s="16">
        <f t="shared" ca="1" si="12"/>
        <v>30.627238980302117</v>
      </c>
      <c r="K60" s="12">
        <f t="shared" ca="1" si="13"/>
        <v>0.56307263117432327</v>
      </c>
      <c r="L60" s="11">
        <f ca="1">VLOOKUP(A60,KBV!A$3:R$103,17,FALSE)</f>
        <v>4.3629743744159475</v>
      </c>
      <c r="M60" s="11">
        <f>VLOOKUP(A60,KBV!A$3:R$103,16,FALSE)</f>
        <v>3.5646255479785678</v>
      </c>
      <c r="N60" s="12">
        <f ca="1">VLOOKUP(A60,KBV!A$3:R$103,18,FALSE)</f>
        <v>0.22396428900929255</v>
      </c>
      <c r="O60" s="16">
        <f t="shared" ca="1" si="14"/>
        <v>4.653599394613174</v>
      </c>
      <c r="P60" s="12">
        <f t="shared" ca="1" si="15"/>
        <v>0.30549459739246454</v>
      </c>
      <c r="Q60" s="32">
        <f ca="1">IF(F60=1,IF(I60&lt;Bewertung_Stammdaten!B$12,Bewertung_Stammdaten!A$12,IF(I60&lt;Bewertung_Stammdaten!B$13,Bewertung_Stammdaten!A$13,IF(I60&lt;Bewertung_Stammdaten!B$14,Bewertung_Stammdaten!A$14,IF(I60&lt;Bewertung_Stammdaten!B$15,Bewertung_Stammdaten!A$15,IF(I60&lt;Bewertung_Stammdaten!B$16,Bewertung_Stammdaten!A$16,IF(I60&lt;Bewertung_Stammdaten!B$17,Bewertung_Stammdaten!A$17,IF(I60&lt;Bewertung_Stammdaten!B$18,Bewertung_Stammdaten!A$18,IF(I60&lt;Bewertung_Stammdaten!B$19,Bewertung_Stammdaten!A$19,IF(I60&lt;Bewertung_Stammdaten!B$20,Bewertung_Stammdaten!A$20,Bewertung_Stammdaten!A$21))))))))),IF(N60&lt;Bewertung_Stammdaten!C$12,Bewertung_Stammdaten!A$12,IF(N60&lt;Bewertung_Stammdaten!C$13,Bewertung_Stammdaten!A$13,IF(N60&lt;Bewertung_Stammdaten!C$14,Bewertung_Stammdaten!A$14,IF(N60&lt;Bewertung_Stammdaten!C$15,Bewertung_Stammdaten!A$15,IF(N60&lt;Bewertung_Stammdaten!C$16,Bewertung_Stammdaten!A$16,IF(N60&lt;Bewertung_Stammdaten!C$17,Bewertung_Stammdaten!A$17,IF(N60&lt;Bewertung_Stammdaten!C$18,Bewertung_Stammdaten!A$18,IF(N60&lt;Bewertung_Stammdaten!C$19,Bewertung_Stammdaten!A$19,IF(N60&lt;Bewertung_Stammdaten!C$20,Bewertung_Stammdaten!A$20,Bewertung_Stammdaten!A$21))))))))))</f>
        <v>6</v>
      </c>
      <c r="R60" s="32">
        <f ca="1">IF(F60=1,IF(K60&lt;Bewertung_Stammdaten!F$12,Bewertung_Stammdaten!E$12,IF(K60&lt;Bewertung_Stammdaten!F$13,Bewertung_Stammdaten!E$13,IF(K60&lt;Bewertung_Stammdaten!F$14,Bewertung_Stammdaten!E$14,IF(K60&lt;Bewertung_Stammdaten!F$15,Bewertung_Stammdaten!E$15,IF(K60&lt;Bewertung_Stammdaten!F$16,Bewertung_Stammdaten!E$16,IF(K60&lt;Bewertung_Stammdaten!F$17,Bewertung_Stammdaten!E$17,IF(K60&lt;Bewertung_Stammdaten!F$18,Bewertung_Stammdaten!E$18,IF(K60&lt;Bewertung_Stammdaten!F$19,Bewertung_Stammdaten!E$19,IF(K60&lt;Bewertung_Stammdaten!F$20,Bewertung_Stammdaten!E$20,Bewertung_Stammdaten!E$21))))))))),IF(P60&lt;Bewertung_Stammdaten!G$12,Bewertung_Stammdaten!E$12,IF(P60&lt;Bewertung_Stammdaten!G$13,Bewertung_Stammdaten!E$13,IF(P60&lt;Bewertung_Stammdaten!G$14,Bewertung_Stammdaten!E$14,IF(P60&lt;Bewertung_Stammdaten!G$15,Bewertung_Stammdaten!E$15,IF(P60&lt;Bewertung_Stammdaten!G$16,Bewertung_Stammdaten!E$16,IF(P60&lt;Bewertung_Stammdaten!G$17,Bewertung_Stammdaten!E$17,IF(P60&lt;Bewertung_Stammdaten!G$18,Bewertung_Stammdaten!E$18,IF(P60&lt;Bewertung_Stammdaten!G$19,Bewertung_Stammdaten!E$19,IF(P60&lt;Bewertung_Stammdaten!G$20,Bewertung_Stammdaten!E$20,Bewertung_Stammdaten!E$21))))))))))</f>
        <v>2.5</v>
      </c>
      <c r="S60" s="43"/>
      <c r="T60" s="11">
        <f ca="1">VLOOKUP(A60,Buchwert_je_Aktie!A$3:AK$103,23,FALSE)</f>
        <v>96.31</v>
      </c>
      <c r="U60" s="11">
        <f>VLOOKUP(A60,Buchwert_je_Aktie!A$3:AK$103,19,FALSE)</f>
        <v>84.92307692307692</v>
      </c>
      <c r="V60" s="12">
        <f ca="1">VLOOKUP(A60,Buchwert_je_Aktie!A$3:AK$103,24,FALSE)</f>
        <v>0.1340851449275362</v>
      </c>
      <c r="W60" s="12">
        <f>VLOOKUP(A60,Buchwert_je_Aktie!A$3:AK$103,37,FALSE)</f>
        <v>-6.245166279969061E-2</v>
      </c>
      <c r="X60" s="16">
        <f t="shared" ca="1" si="16"/>
        <v>90.295280355761804</v>
      </c>
      <c r="Y60" s="12">
        <f t="shared" ca="1" si="17"/>
        <v>6.3259641870383687E-2</v>
      </c>
      <c r="Z60" s="51">
        <f ca="1">IF(V60&lt;Bewertung_Stammdaten!B$25,Bewertung_Stammdaten!A$25,IF(V60&lt;Bewertung_Stammdaten!B$26,Bewertung_Stammdaten!A$26,IF(V60&lt;Bewertung_Stammdaten!B$27,Bewertung_Stammdaten!A$27,IF(V60&lt;Bewertung_Stammdaten!B$28,Bewertung_Stammdaten!A$28,IF(V60&lt;Bewertung_Stammdaten!B$29,Bewertung_Stammdaten!A$29,IF(V60&lt;Bewertung_Stammdaten!B$30,Bewertung_Stammdaten!A$30,IF(V60&lt;Bewertung_Stammdaten!B$31,Bewertung_Stammdaten!A$31,IF(V60&lt;Bewertung_Stammdaten!B$32,Bewertung_Stammdaten!A$32,IF(V60&lt;Bewertung_Stammdaten!B$33,Bewertung_Stammdaten!A$33,Bewertung_Stammdaten!A$34)))))))))</f>
        <v>6</v>
      </c>
      <c r="AA60" s="51">
        <f>IF(W60&lt;Bewertung_Stammdaten!F$25,Bewertung_Stammdaten!E$25,IF(W60&lt;Bewertung_Stammdaten!F$26,Bewertung_Stammdaten!E$26,IF(W60&lt;Bewertung_Stammdaten!F$27,Bewertung_Stammdaten!E$27,IF(W60&lt;Bewertung_Stammdaten!F$28,Bewertung_Stammdaten!E$28,IF(W60&lt;Bewertung_Stammdaten!F$29,Bewertung_Stammdaten!E$29,IF(W60&lt;Bewertung_Stammdaten!F$30,Bewertung_Stammdaten!E$30,IF(W60&lt;Bewertung_Stammdaten!F$31,Bewertung_Stammdaten!E$31,IF(W60&lt;Bewertung_Stammdaten!F$32,Bewertung_Stammdaten!E$32,IF(W60&lt;Bewertung_Stammdaten!F$33,Bewertung_Stammdaten!E$33,Bewertung_Stammdaten!E$34)))))))))</f>
        <v>9</v>
      </c>
      <c r="AB60" s="51">
        <f ca="1">IF(Y60&lt;Bewertung_Stammdaten!J$25,Bewertung_Stammdaten!I$25,IF(Y60&lt;Bewertung_Stammdaten!J$26,Bewertung_Stammdaten!I$26,IF(Y60&lt;Bewertung_Stammdaten!J$27,Bewertung_Stammdaten!I$27,IF(Y60&lt;Bewertung_Stammdaten!J$28,Bewertung_Stammdaten!I$28,IF(Y60&lt;Bewertung_Stammdaten!J$29,Bewertung_Stammdaten!I$29,IF(Y60&lt;Bewertung_Stammdaten!J$30,Bewertung_Stammdaten!I$30,IF(Y60&lt;Bewertung_Stammdaten!J$31,Bewertung_Stammdaten!I$31,IF(Y60&lt;Bewertung_Stammdaten!J$32,Bewertung_Stammdaten!I$32,IF(Y60&lt;Bewertung_Stammdaten!J$33,Bewertung_Stammdaten!I$33,Bewertung_Stammdaten!I$34)))))))))</f>
        <v>3</v>
      </c>
      <c r="AC60" s="43"/>
      <c r="AD60" s="14">
        <f ca="1">VLOOKUP(A60,Ergebnis_je_Aktie_verwässert!A$3:AK$103,23,FALSE)</f>
        <v>16.63</v>
      </c>
      <c r="AE60" s="14">
        <f>VLOOKUP(A60,Ergebnis_je_Aktie_verwässert!A$3:AK$103,19,FALSE)</f>
        <v>15.795384615384613</v>
      </c>
      <c r="AF60" s="12">
        <f ca="1">VLOOKUP(A60,Ergebnis_je_Aktie_verwässert!A$3:AK$103,24,FALSE)</f>
        <v>5.283919353267752E-2</v>
      </c>
      <c r="AG60" s="40">
        <f>VLOOKUP(A60,Ergebnis_je_Aktie_verwässert!A$3:AK$103,37,FALSE)</f>
        <v>-0.17500000000000004</v>
      </c>
      <c r="AH60" s="16">
        <f t="shared" ca="1" si="18"/>
        <v>13.719749999999998</v>
      </c>
      <c r="AI60" s="12">
        <f t="shared" ca="1" si="19"/>
        <v>-0.13140766533554105</v>
      </c>
      <c r="AJ60" s="32">
        <f ca="1">IF(AF60&lt;Bewertung_Stammdaten!B$38,Bewertung_Stammdaten!A$38,IF(AF60&lt;Bewertung_Stammdaten!B$39,Bewertung_Stammdaten!A$39,IF(AF60&lt;Bewertung_Stammdaten!B$40,Bewertung_Stammdaten!A$40,IF(AF60&lt;Bewertung_Stammdaten!B$41,Bewertung_Stammdaten!A$41,IF(AF60&lt;Bewertung_Stammdaten!B$42,Bewertung_Stammdaten!A$42,IF(AF60&lt;Bewertung_Stammdaten!B$43,Bewertung_Stammdaten!A$43,IF(AF60&lt;Bewertung_Stammdaten!B$44,Bewertung_Stammdaten!A$44,IF(AF60&lt;Bewertung_Stammdaten!B$45,Bewertung_Stammdaten!A$45,IF(AF60&lt;Bewertung_Stammdaten!B$46,Bewertung_Stammdaten!A$46,Bewertung_Stammdaten!A$47)))))))))</f>
        <v>8</v>
      </c>
      <c r="AK60" s="32">
        <f>IF(AG60&lt;Bewertung_Stammdaten!F$38,Bewertung_Stammdaten!E$38,IF(AG60&lt;Bewertung_Stammdaten!F$39,Bewertung_Stammdaten!E$39,IF(AG60&lt;Bewertung_Stammdaten!F$40,Bewertung_Stammdaten!E$40,IF(AG60&lt;Bewertung_Stammdaten!F$41,Bewertung_Stammdaten!E$41,IF(AG60&lt;Bewertung_Stammdaten!F$42,Bewertung_Stammdaten!E$42,IF(AG60&lt;Bewertung_Stammdaten!F$43,Bewertung_Stammdaten!E$43,IF(AG60&lt;Bewertung_Stammdaten!F$44,Bewertung_Stammdaten!E$44,IF(AG60&lt;Bewertung_Stammdaten!F$45,Bewertung_Stammdaten!E$45,IF(AG60&lt;Bewertung_Stammdaten!F$46,Bewertung_Stammdaten!E$46,Bewertung_Stammdaten!E$47)))))))))</f>
        <v>9</v>
      </c>
      <c r="AL60" s="32">
        <f ca="1">IF(AI60&lt;Bewertung_Stammdaten!J$38,Bewertung_Stammdaten!I$38,IF(AI60&lt;Bewertung_Stammdaten!J$39,Bewertung_Stammdaten!I$39,IF(AI60&lt;Bewertung_Stammdaten!J$40,Bewertung_Stammdaten!I$40,IF(AI60&lt;Bewertung_Stammdaten!J$41,Bewertung_Stammdaten!I$41,IF(AI60&lt;Bewertung_Stammdaten!J$42,Bewertung_Stammdaten!I$42,IF(AI60&lt;Bewertung_Stammdaten!J$43,Bewertung_Stammdaten!I$43,IF(AI60&lt;Bewertung_Stammdaten!J$44,Bewertung_Stammdaten!I$44,IF(AI60&lt;Bewertung_Stammdaten!J$45,Bewertung_Stammdaten!I$45,IF(AI60&lt;Bewertung_Stammdaten!J$46,Bewertung_Stammdaten!I$46,Bewertung_Stammdaten!I$47)))))))))</f>
        <v>3</v>
      </c>
      <c r="AM60" s="43"/>
      <c r="AN60" s="14">
        <f ca="1">VLOOKUP(A60,Dividende_je_Aktie!A$3:AM$103,24,FALSE)</f>
        <v>12.34</v>
      </c>
      <c r="AO60" s="14">
        <f>VLOOKUP(A60,Dividende_je_Aktie!A$3:AM$103,20,FALSE)</f>
        <v>8.6064285714285695</v>
      </c>
      <c r="AP60" s="12">
        <f ca="1">VLOOKUP(A60,Dividende_je_Aktie!A$3:AM$103,25,FALSE)</f>
        <v>0.43381193460038214</v>
      </c>
      <c r="AQ60" s="40">
        <f>VLOOKUP(A60,Dividende_je_Aktie!A$3:AM$103,39,FALSE)</f>
        <v>-0.19999999999999996</v>
      </c>
      <c r="AR60" s="16">
        <f t="shared" ca="1" si="20"/>
        <v>9.8719999999999999</v>
      </c>
      <c r="AS60" s="12">
        <f t="shared" ca="1" si="21"/>
        <v>0.14704954768030576</v>
      </c>
      <c r="AT60" s="32">
        <f ca="1">IF(AP60&lt;Bewertung_Stammdaten!B$51,Bewertung_Stammdaten!A$51,IF(AP60&lt;Bewertung_Stammdaten!B$52,Bewertung_Stammdaten!A$52,IF(AP60&lt;Bewertung_Stammdaten!B$53,Bewertung_Stammdaten!A$53,IF(AP60&lt;Bewertung_Stammdaten!B$54,Bewertung_Stammdaten!A$54,IF(AP60&lt;Bewertung_Stammdaten!B$55,Bewertung_Stammdaten!A$55,IF(AP60&lt;Bewertung_Stammdaten!B$56,Bewertung_Stammdaten!A$56,IF(AP60&lt;Bewertung_Stammdaten!B$57,Bewertung_Stammdaten!A$57,IF(AP60&lt;Bewertung_Stammdaten!B$58,Bewertung_Stammdaten!A$58,IF(AP60&lt;Bewertung_Stammdaten!B$59,Bewertung_Stammdaten!A$59,Bewertung_Stammdaten!A$60)))))))))</f>
        <v>14</v>
      </c>
      <c r="AU60" s="32">
        <f>IF(AQ60&lt;Bewertung_Stammdaten!F$51,Bewertung_Stammdaten!E$51,IF(AQ60&lt;Bewertung_Stammdaten!F$52,Bewertung_Stammdaten!E$52,IF(AQ60&lt;Bewertung_Stammdaten!F$53,Bewertung_Stammdaten!E$53,IF(AQ60&lt;Bewertung_Stammdaten!F$54,Bewertung_Stammdaten!E$54,IF(AQ60&lt;Bewertung_Stammdaten!F$55,Bewertung_Stammdaten!E$55,IF(AQ60&lt;Bewertung_Stammdaten!F$56,Bewertung_Stammdaten!E$56,IF(AQ60&lt;Bewertung_Stammdaten!F$57,Bewertung_Stammdaten!E$57,IF(AQ60&lt;Bewertung_Stammdaten!F$58,Bewertung_Stammdaten!E$58,IF(AQ60&lt;Bewertung_Stammdaten!F$59,Bewertung_Stammdaten!E$59,Bewertung_Stammdaten!E$60)))))))))</f>
        <v>9</v>
      </c>
      <c r="AV60" s="32">
        <f ca="1">IF(AS60&lt;Bewertung_Stammdaten!J$51,Bewertung_Stammdaten!I$51,IF(AS60&lt;Bewertung_Stammdaten!J$52,Bewertung_Stammdaten!I$52,IF(AS60&lt;Bewertung_Stammdaten!J$53,Bewertung_Stammdaten!I$53,IF(AS60&lt;Bewertung_Stammdaten!J$54,Bewertung_Stammdaten!I$54,IF(AS60&lt;Bewertung_Stammdaten!J$55,Bewertung_Stammdaten!I$55,IF(AS60&lt;Bewertung_Stammdaten!J$56,Bewertung_Stammdaten!I$56,IF(AS60&lt;Bewertung_Stammdaten!J$57,Bewertung_Stammdaten!I$57,IF(AS60&lt;Bewertung_Stammdaten!J$58,Bewertung_Stammdaten!I$58,IF(AS60&lt;Bewertung_Stammdaten!J$59,Bewertung_Stammdaten!I$59,Bewertung_Stammdaten!I$60)))))))))</f>
        <v>5</v>
      </c>
      <c r="AW60" s="43"/>
      <c r="AX60" s="12">
        <f ca="1">VLOOKUP(A60,Dividendenrendite!A$3:R$103,17,FALSE)</f>
        <v>2.9367103554133009E-2</v>
      </c>
      <c r="AY60" s="12">
        <f>VLOOKUP(A60,Dividendenrendite!A$3:R$103,16,FALSE)</f>
        <v>2.6152542826755245E-2</v>
      </c>
      <c r="AZ60" s="12">
        <f ca="1">VLOOKUP(A60,Dividendenrendite!A$3:R$103,18,FALSE)</f>
        <v>0.12291580014502923</v>
      </c>
      <c r="BA60" s="32">
        <f ca="1">IF(AX60&lt;Bewertung_Stammdaten!B$64,Bewertung_Stammdaten!A$64,IF(AX60&lt;Bewertung_Stammdaten!B$65,Bewertung_Stammdaten!A$65,IF(AX60&lt;Bewertung_Stammdaten!B$66,Bewertung_Stammdaten!A$66,IF(AX60&lt;Bewertung_Stammdaten!B$67,Bewertung_Stammdaten!A$67,IF(AX60&lt;Bewertung_Stammdaten!B$68,Bewertung_Stammdaten!A$68,IF(AX60&lt;Bewertung_Stammdaten!B$69,Bewertung_Stammdaten!A$69,IF(AX60&lt;Bewertung_Stammdaten!B$70,Bewertung_Stammdaten!A$70,IF(AX60&lt;Bewertung_Stammdaten!B$71,Bewertung_Stammdaten!A$71,IF(AX60&lt;Bewertung_Stammdaten!B$72,Bewertung_Stammdaten!A$72,Bewertung_Stammdaten!A$73)))))))))</f>
        <v>9</v>
      </c>
      <c r="BB60" s="32">
        <f>IF(AY60&lt;Bewertung_Stammdaten!F$64,Bewertung_Stammdaten!E$64,IF(AY60&lt;Bewertung_Stammdaten!F$65,Bewertung_Stammdaten!E$65,IF(AY60&lt;Bewertung_Stammdaten!F$66,Bewertung_Stammdaten!E$66,IF(AY60&lt;Bewertung_Stammdaten!F$67,Bewertung_Stammdaten!E$67,IF(AY60&lt;Bewertung_Stammdaten!F$68,Bewertung_Stammdaten!E$68,IF(AY60&lt;Bewertung_Stammdaten!F$69,Bewertung_Stammdaten!E$69,IF(AY60&lt;Bewertung_Stammdaten!F$70,Bewertung_Stammdaten!E$70,IF(AY60&lt;Bewertung_Stammdaten!F$71,Bewertung_Stammdaten!E$71,IF(AY60&lt;Bewertung_Stammdaten!F$72,Bewertung_Stammdaten!E$72,Bewertung_Stammdaten!E$73)))))))))</f>
        <v>6</v>
      </c>
      <c r="BC60" s="32">
        <f ca="1">IF(AZ60&lt;Bewertung_Stammdaten!J$64,Bewertung_Stammdaten!I$64,IF(AZ60&lt;Bewertung_Stammdaten!J$65,Bewertung_Stammdaten!I$65,IF(AZ60&lt;Bewertung_Stammdaten!J$66,Bewertung_Stammdaten!I$66,IF(AZ60&lt;Bewertung_Stammdaten!J$67,Bewertung_Stammdaten!I$67,IF(AZ60&lt;Bewertung_Stammdaten!J$68,Bewertung_Stammdaten!I$68,IF(AZ60&lt;Bewertung_Stammdaten!J$69,Bewertung_Stammdaten!I$69,IF(AZ60&lt;Bewertung_Stammdaten!J$70,Bewertung_Stammdaten!I$70,IF(AZ60&lt;Bewertung_Stammdaten!J$71,Bewertung_Stammdaten!I$71,IF(AZ60&lt;Bewertung_Stammdaten!J$72,Bewertung_Stammdaten!I$72,Bewertung_Stammdaten!I$73)))))))))</f>
        <v>4</v>
      </c>
      <c r="BD60" s="43"/>
      <c r="BE60" s="12">
        <f>VLOOKUP(A60,Aktien_im_Umlauf_splitbereinigt!A$3:AB$103,28,FALSE)</f>
        <v>1.3091861226270929E-3</v>
      </c>
      <c r="BF60" s="12">
        <f>VLOOKUP(A60,Aktien_im_Umlauf_splitbereinigt!A$3:AA$103,26,FALSE)</f>
        <v>-1.4561844813266145E-2</v>
      </c>
      <c r="BG60" s="12">
        <f>VLOOKUP(A60,Aktien_im_Umlauf_splitbereinigt!A$3:AA$103,27,FALSE)</f>
        <v>-1.0899052379293588</v>
      </c>
      <c r="BH60" s="41">
        <f>IF(BE60&lt;Bewertung_Stammdaten!B$77,Bewertung_Stammdaten!A$77,IF(BE60&lt;Bewertung_Stammdaten!B$78,Bewertung_Stammdaten!A$78,IF(BE60&lt;Bewertung_Stammdaten!B$79,Bewertung_Stammdaten!A$79,IF(BE60&lt;Bewertung_Stammdaten!B$80,Bewertung_Stammdaten!A$80,IF(BE60&lt;Bewertung_Stammdaten!B$81,Bewertung_Stammdaten!A$81,IF(BE60&lt;Bewertung_Stammdaten!B$82,Bewertung_Stammdaten!A$82,IF(BE60&lt;Bewertung_Stammdaten!B$83,Bewertung_Stammdaten!A$83,IF(BE60&lt;Bewertung_Stammdaten!B$84,Bewertung_Stammdaten!A$84,IF(BE60&lt;Bewertung_Stammdaten!B$85,Bewertung_Stammdaten!A$85,Bewertung_Stammdaten!A$86)))))))))</f>
        <v>2</v>
      </c>
      <c r="BI60" s="41">
        <f>IF(BF60&lt;Bewertung_Stammdaten!F$77,Bewertung_Stammdaten!E$77,IF(BF60&lt;Bewertung_Stammdaten!F$78,Bewertung_Stammdaten!E$78,IF(BF60&lt;Bewertung_Stammdaten!F$79,Bewertung_Stammdaten!E$79,IF(BF60&lt;Bewertung_Stammdaten!F$80,Bewertung_Stammdaten!E$80,IF(BF60&lt;Bewertung_Stammdaten!F$81,Bewertung_Stammdaten!E$81,IF(BF60&lt;Bewertung_Stammdaten!F$82,Bewertung_Stammdaten!E$82,IF(BF60&lt;Bewertung_Stammdaten!F$83,Bewertung_Stammdaten!E$83,IF(BF60&lt;Bewertung_Stammdaten!F$84,Bewertung_Stammdaten!E$84,IF(BF60&lt;Bewertung_Stammdaten!F$85,Bewertung_Stammdaten!E$85,Bewertung_Stammdaten!E$86)))))))))</f>
        <v>5</v>
      </c>
      <c r="BJ60" s="41">
        <f>IF(BG60&lt;Bewertung_Stammdaten!J$77,Bewertung_Stammdaten!I$77,IF(BG60&lt;Bewertung_Stammdaten!J$78,Bewertung_Stammdaten!I$78,IF(BG60&lt;Bewertung_Stammdaten!J$79,Bewertung_Stammdaten!I$79,IF(BG60&lt;Bewertung_Stammdaten!J$80,Bewertung_Stammdaten!I$80,IF(BG60&lt;Bewertung_Stammdaten!J$81,Bewertung_Stammdaten!I$81,IF(BG60&lt;Bewertung_Stammdaten!J$82,Bewertung_Stammdaten!I$82,IF(BG60&lt;Bewertung_Stammdaten!J$83,Bewertung_Stammdaten!I$83,IF(BG60&lt;Bewertung_Stammdaten!J$84,Bewertung_Stammdaten!I$84,IF(BG60&lt;Bewertung_Stammdaten!J$85,Bewertung_Stammdaten!I$85,Bewertung_Stammdaten!I$86)))))))))</f>
        <v>1</v>
      </c>
      <c r="BK60" s="43"/>
      <c r="BL60" s="12">
        <f ca="1">VLOOKUP(A60,Ausschüttungsquote!A$3:AL$103,37,FALSE)</f>
        <v>0.74534150968965995</v>
      </c>
      <c r="BM60" s="12">
        <f>VLOOKUP(A60,Ausschüttungsquote!A$3:AL$103,19,FALSE)</f>
        <v>0.79200883803090771</v>
      </c>
      <c r="BN60" s="12">
        <f ca="1">VLOOKUP(A60,Ausschüttungsquote!A$3:AL$103,38,FALSE)</f>
        <v>0.34040821776290775</v>
      </c>
      <c r="BO60" s="32">
        <f ca="1">IF(BL60&lt;Bewertung_Stammdaten!B$90,Bewertung_Stammdaten!A$90,IF(BL60&lt;Bewertung_Stammdaten!B$91,Bewertung_Stammdaten!A$91,IF(BL60&lt;Bewertung_Stammdaten!B$92,Bewertung_Stammdaten!A$92,IF(BL60&lt;Bewertung_Stammdaten!B$93,Bewertung_Stammdaten!A$93,IF(BL60&lt;Bewertung_Stammdaten!B$94,Bewertung_Stammdaten!A$94,IF(BL60&lt;Bewertung_Stammdaten!B$95,Bewertung_Stammdaten!A$95,IF(BL60&lt;Bewertung_Stammdaten!B$96,Bewertung_Stammdaten!A$96,IF(BL60&lt;Bewertung_Stammdaten!B$97,Bewertung_Stammdaten!A$97,IF(BL60&lt;Bewertung_Stammdaten!B$98,Bewertung_Stammdaten!A$98,Bewertung_Stammdaten!A$99)))))))))</f>
        <v>3</v>
      </c>
      <c r="BP60" s="41">
        <f>IF(BM60&lt;Bewertung_Stammdaten!F$90,Bewertung_Stammdaten!E$90,IF(BM60&lt;Bewertung_Stammdaten!F$91,Bewertung_Stammdaten!E$91,IF(BM60&lt;Bewertung_Stammdaten!F$92,Bewertung_Stammdaten!E$92,IF(BM60&lt;Bewertung_Stammdaten!F$93,Bewertung_Stammdaten!E$93,IF(BM60&lt;Bewertung_Stammdaten!F$94,Bewertung_Stammdaten!E$94,IF(BM60&lt;Bewertung_Stammdaten!F$95,Bewertung_Stammdaten!E$95,IF(BM60&lt;Bewertung_Stammdaten!F$96,Bewertung_Stammdaten!E$96,IF(BM60&lt;Bewertung_Stammdaten!F$97,Bewertung_Stammdaten!E$97,IF(BM60&lt;Bewertung_Stammdaten!F$98,Bewertung_Stammdaten!E$98,Bewertung_Stammdaten!E$99)))))))))</f>
        <v>2</v>
      </c>
      <c r="BQ60" s="32">
        <f ca="1">IF(BN60&lt;Bewertung_Stammdaten!J$90,Bewertung_Stammdaten!I$90,IF(BN60&lt;Bewertung_Stammdaten!J$91,Bewertung_Stammdaten!I$91,IF(BN60&lt;Bewertung_Stammdaten!J$92,Bewertung_Stammdaten!I$92,IF(BN60&lt;Bewertung_Stammdaten!J$93,Bewertung_Stammdaten!I$93,IF(BN60&lt;Bewertung_Stammdaten!J$94,Bewertung_Stammdaten!I$94,IF(BN60&lt;Bewertung_Stammdaten!J$95,Bewertung_Stammdaten!I$95,IF(BN60&lt;Bewertung_Stammdaten!J$96,Bewertung_Stammdaten!I$96,IF(BN60&lt;Bewertung_Stammdaten!J$97,Bewertung_Stammdaten!I$97,IF(BN60&lt;Bewertung_Stammdaten!J$98,Bewertung_Stammdaten!I$98,Bewertung_Stammdaten!I$99)))))))))</f>
        <v>1</v>
      </c>
    </row>
    <row r="61" spans="1:69">
      <c r="A61" s="38" t="s">
        <v>76</v>
      </c>
      <c r="B61" s="38" t="s">
        <v>77</v>
      </c>
      <c r="C61" s="38" t="s">
        <v>282</v>
      </c>
      <c r="D61" s="32">
        <f t="shared" ca="1" si="11"/>
        <v>107.5</v>
      </c>
      <c r="E61" s="43"/>
      <c r="F61" s="60">
        <v>1</v>
      </c>
      <c r="G61" s="11">
        <f ca="1">VLOOKUP(A61,KGV!A$3:R$103,17,FALSE)</f>
        <v>40.099255583126549</v>
      </c>
      <c r="H61" s="11">
        <f>VLOOKUP(A61,KGV!A$3:R$103,16,FALSE)</f>
        <v>28.139321723189735</v>
      </c>
      <c r="I61" s="12">
        <f ca="1">VLOOKUP(A61,KGV!A$3:R$103,18,FALSE)</f>
        <v>0.42502566257951346</v>
      </c>
      <c r="J61" s="16">
        <f t="shared" ca="1" si="12"/>
        <v>53.723294587806166</v>
      </c>
      <c r="K61" s="12">
        <f t="shared" ca="1" si="13"/>
        <v>0.90918939398360021</v>
      </c>
      <c r="L61" s="11">
        <f ca="1">VLOOKUP(A61,KBV!A$3:R$103,17,FALSE)</f>
        <v>4.7024132847055169</v>
      </c>
      <c r="M61" s="11">
        <f>VLOOKUP(A61,KBV!A$3:R$103,16,FALSE)</f>
        <v>2.2275915822291505</v>
      </c>
      <c r="N61" s="12">
        <f ca="1">VLOOKUP(A61,KBV!A$3:R$103,18,FALSE)</f>
        <v>1.1109853898800481</v>
      </c>
      <c r="O61" s="16">
        <f t="shared" ca="1" si="14"/>
        <v>7.9551638242051395</v>
      </c>
      <c r="P61" s="12">
        <f t="shared" ca="1" si="15"/>
        <v>2.571194956772286</v>
      </c>
      <c r="Q61" s="32">
        <f ca="1">IF(F61=1,IF(I61&lt;Bewertung_Stammdaten!B$12,Bewertung_Stammdaten!A$12,IF(I61&lt;Bewertung_Stammdaten!B$13,Bewertung_Stammdaten!A$13,IF(I61&lt;Bewertung_Stammdaten!B$14,Bewertung_Stammdaten!A$14,IF(I61&lt;Bewertung_Stammdaten!B$15,Bewertung_Stammdaten!A$15,IF(I61&lt;Bewertung_Stammdaten!B$16,Bewertung_Stammdaten!A$16,IF(I61&lt;Bewertung_Stammdaten!B$17,Bewertung_Stammdaten!A$17,IF(I61&lt;Bewertung_Stammdaten!B$18,Bewertung_Stammdaten!A$18,IF(I61&lt;Bewertung_Stammdaten!B$19,Bewertung_Stammdaten!A$19,IF(I61&lt;Bewertung_Stammdaten!B$20,Bewertung_Stammdaten!A$20,Bewertung_Stammdaten!A$21))))))))),IF(N61&lt;Bewertung_Stammdaten!C$12,Bewertung_Stammdaten!A$12,IF(N61&lt;Bewertung_Stammdaten!C$13,Bewertung_Stammdaten!A$13,IF(N61&lt;Bewertung_Stammdaten!C$14,Bewertung_Stammdaten!A$14,IF(N61&lt;Bewertung_Stammdaten!C$15,Bewertung_Stammdaten!A$15,IF(N61&lt;Bewertung_Stammdaten!C$16,Bewertung_Stammdaten!A$16,IF(N61&lt;Bewertung_Stammdaten!C$17,Bewertung_Stammdaten!A$17,IF(N61&lt;Bewertung_Stammdaten!C$18,Bewertung_Stammdaten!A$18,IF(N61&lt;Bewertung_Stammdaten!C$19,Bewertung_Stammdaten!A$19,IF(N61&lt;Bewertung_Stammdaten!C$20,Bewertung_Stammdaten!A$20,Bewertung_Stammdaten!A$21))))))))))</f>
        <v>6</v>
      </c>
      <c r="R61" s="32">
        <f ca="1">IF(F61=1,IF(K61&lt;Bewertung_Stammdaten!F$12,Bewertung_Stammdaten!E$12,IF(K61&lt;Bewertung_Stammdaten!F$13,Bewertung_Stammdaten!E$13,IF(K61&lt;Bewertung_Stammdaten!F$14,Bewertung_Stammdaten!E$14,IF(K61&lt;Bewertung_Stammdaten!F$15,Bewertung_Stammdaten!E$15,IF(K61&lt;Bewertung_Stammdaten!F$16,Bewertung_Stammdaten!E$16,IF(K61&lt;Bewertung_Stammdaten!F$17,Bewertung_Stammdaten!E$17,IF(K61&lt;Bewertung_Stammdaten!F$18,Bewertung_Stammdaten!E$18,IF(K61&lt;Bewertung_Stammdaten!F$19,Bewertung_Stammdaten!E$19,IF(K61&lt;Bewertung_Stammdaten!F$20,Bewertung_Stammdaten!E$20,Bewertung_Stammdaten!E$21))))))))),IF(P61&lt;Bewertung_Stammdaten!G$12,Bewertung_Stammdaten!E$12,IF(P61&lt;Bewertung_Stammdaten!G$13,Bewertung_Stammdaten!E$13,IF(P61&lt;Bewertung_Stammdaten!G$14,Bewertung_Stammdaten!E$14,IF(P61&lt;Bewertung_Stammdaten!G$15,Bewertung_Stammdaten!E$15,IF(P61&lt;Bewertung_Stammdaten!G$16,Bewertung_Stammdaten!E$16,IF(P61&lt;Bewertung_Stammdaten!G$17,Bewertung_Stammdaten!E$17,IF(P61&lt;Bewertung_Stammdaten!G$18,Bewertung_Stammdaten!E$18,IF(P61&lt;Bewertung_Stammdaten!G$19,Bewertung_Stammdaten!E$19,IF(P61&lt;Bewertung_Stammdaten!G$20,Bewertung_Stammdaten!E$20,Bewertung_Stammdaten!E$21))))))))))</f>
        <v>2.5</v>
      </c>
      <c r="S61" s="43"/>
      <c r="T61" s="11">
        <f ca="1">VLOOKUP(A61,Buchwert_je_Aktie!A$3:AK$103,23,FALSE)</f>
        <v>15464.400000000001</v>
      </c>
      <c r="U61" s="11">
        <f>VLOOKUP(A61,Buchwert_je_Aktie!A$3:AK$103,19,FALSE)</f>
        <v>15648.923076923076</v>
      </c>
      <c r="V61" s="12">
        <f ca="1">VLOOKUP(A61,Buchwert_je_Aktie!A$3:AK$103,24,FALSE)</f>
        <v>-1.1791423346900087E-2</v>
      </c>
      <c r="W61" s="12">
        <f>VLOOKUP(A61,Buchwert_je_Aktie!A$3:AK$103,37,FALSE)</f>
        <v>-0.40888542478565859</v>
      </c>
      <c r="X61" s="16">
        <f t="shared" ca="1" si="16"/>
        <v>9141.2322369446629</v>
      </c>
      <c r="Y61" s="12">
        <f t="shared" ca="1" si="17"/>
        <v>-0.41585550698853391</v>
      </c>
      <c r="Z61" s="51">
        <f ca="1">IF(V61&lt;Bewertung_Stammdaten!B$25,Bewertung_Stammdaten!A$25,IF(V61&lt;Bewertung_Stammdaten!B$26,Bewertung_Stammdaten!A$26,IF(V61&lt;Bewertung_Stammdaten!B$27,Bewertung_Stammdaten!A$27,IF(V61&lt;Bewertung_Stammdaten!B$28,Bewertung_Stammdaten!A$28,IF(V61&lt;Bewertung_Stammdaten!B$29,Bewertung_Stammdaten!A$29,IF(V61&lt;Bewertung_Stammdaten!B$30,Bewertung_Stammdaten!A$30,IF(V61&lt;Bewertung_Stammdaten!B$31,Bewertung_Stammdaten!A$31,IF(V61&lt;Bewertung_Stammdaten!B$32,Bewertung_Stammdaten!A$32,IF(V61&lt;Bewertung_Stammdaten!B$33,Bewertung_Stammdaten!A$33,Bewertung_Stammdaten!A$34)))))))))</f>
        <v>3</v>
      </c>
      <c r="AA61" s="51">
        <f>IF(W61&lt;Bewertung_Stammdaten!F$25,Bewertung_Stammdaten!E$25,IF(W61&lt;Bewertung_Stammdaten!F$26,Bewertung_Stammdaten!E$26,IF(W61&lt;Bewertung_Stammdaten!F$27,Bewertung_Stammdaten!E$27,IF(W61&lt;Bewertung_Stammdaten!F$28,Bewertung_Stammdaten!E$28,IF(W61&lt;Bewertung_Stammdaten!F$29,Bewertung_Stammdaten!E$29,IF(W61&lt;Bewertung_Stammdaten!F$30,Bewertung_Stammdaten!E$30,IF(W61&lt;Bewertung_Stammdaten!F$31,Bewertung_Stammdaten!E$31,IF(W61&lt;Bewertung_Stammdaten!F$32,Bewertung_Stammdaten!E$32,IF(W61&lt;Bewertung_Stammdaten!F$33,Bewertung_Stammdaten!E$33,Bewertung_Stammdaten!E$34)))))))))</f>
        <v>1.5</v>
      </c>
      <c r="AB61" s="51">
        <f ca="1">IF(Y61&lt;Bewertung_Stammdaten!J$25,Bewertung_Stammdaten!I$25,IF(Y61&lt;Bewertung_Stammdaten!J$26,Bewertung_Stammdaten!I$26,IF(Y61&lt;Bewertung_Stammdaten!J$27,Bewertung_Stammdaten!I$27,IF(Y61&lt;Bewertung_Stammdaten!J$28,Bewertung_Stammdaten!I$28,IF(Y61&lt;Bewertung_Stammdaten!J$29,Bewertung_Stammdaten!I$29,IF(Y61&lt;Bewertung_Stammdaten!J$30,Bewertung_Stammdaten!I$30,IF(Y61&lt;Bewertung_Stammdaten!J$31,Bewertung_Stammdaten!I$31,IF(Y61&lt;Bewertung_Stammdaten!J$32,Bewertung_Stammdaten!I$32,IF(Y61&lt;Bewertung_Stammdaten!J$33,Bewertung_Stammdaten!I$33,Bewertung_Stammdaten!I$34)))))))))</f>
        <v>1</v>
      </c>
      <c r="AC61" s="43"/>
      <c r="AD61" s="14">
        <f ca="1">VLOOKUP(A61,Ergebnis_je_Aktie_verwässert!A$3:AK$103,23,FALSE)</f>
        <v>1813.5</v>
      </c>
      <c r="AE61" s="14">
        <f>VLOOKUP(A61,Ergebnis_je_Aktie_verwässert!A$3:AK$103,19,FALSE)</f>
        <v>1345.8538461538462</v>
      </c>
      <c r="AF61" s="12">
        <f ca="1">VLOOKUP(A61,Ergebnis_je_Aktie_verwässert!A$3:AK$103,24,FALSE)</f>
        <v>0.34747172226953427</v>
      </c>
      <c r="AG61" s="40">
        <f>VLOOKUP(A61,Ergebnis_je_Aktie_verwässert!A$3:AK$103,37,FALSE)</f>
        <v>-0.25359649122807015</v>
      </c>
      <c r="AH61" s="16">
        <f t="shared" ca="1" si="18"/>
        <v>1353.6027631578947</v>
      </c>
      <c r="AI61" s="12">
        <f t="shared" ca="1" si="19"/>
        <v>5.7576214729357922E-3</v>
      </c>
      <c r="AJ61" s="32">
        <f ca="1">IF(AF61&lt;Bewertung_Stammdaten!B$38,Bewertung_Stammdaten!A$38,IF(AF61&lt;Bewertung_Stammdaten!B$39,Bewertung_Stammdaten!A$39,IF(AF61&lt;Bewertung_Stammdaten!B$40,Bewertung_Stammdaten!A$40,IF(AF61&lt;Bewertung_Stammdaten!B$41,Bewertung_Stammdaten!A$41,IF(AF61&lt;Bewertung_Stammdaten!B$42,Bewertung_Stammdaten!A$42,IF(AF61&lt;Bewertung_Stammdaten!B$43,Bewertung_Stammdaten!A$43,IF(AF61&lt;Bewertung_Stammdaten!B$44,Bewertung_Stammdaten!A$44,IF(AF61&lt;Bewertung_Stammdaten!B$45,Bewertung_Stammdaten!A$45,IF(AF61&lt;Bewertung_Stammdaten!B$46,Bewertung_Stammdaten!A$46,Bewertung_Stammdaten!A$47)))))))))</f>
        <v>14</v>
      </c>
      <c r="AK61" s="32">
        <f>IF(AG61&lt;Bewertung_Stammdaten!F$38,Bewertung_Stammdaten!E$38,IF(AG61&lt;Bewertung_Stammdaten!F$39,Bewertung_Stammdaten!E$39,IF(AG61&lt;Bewertung_Stammdaten!F$40,Bewertung_Stammdaten!E$40,IF(AG61&lt;Bewertung_Stammdaten!F$41,Bewertung_Stammdaten!E$41,IF(AG61&lt;Bewertung_Stammdaten!F$42,Bewertung_Stammdaten!E$42,IF(AG61&lt;Bewertung_Stammdaten!F$43,Bewertung_Stammdaten!E$43,IF(AG61&lt;Bewertung_Stammdaten!F$44,Bewertung_Stammdaten!E$44,IF(AG61&lt;Bewertung_Stammdaten!F$45,Bewertung_Stammdaten!E$45,IF(AG61&lt;Bewertung_Stammdaten!F$46,Bewertung_Stammdaten!E$46,Bewertung_Stammdaten!E$47)))))))))</f>
        <v>7.5</v>
      </c>
      <c r="AL61" s="32">
        <f ca="1">IF(AI61&lt;Bewertung_Stammdaten!J$38,Bewertung_Stammdaten!I$38,IF(AI61&lt;Bewertung_Stammdaten!J$39,Bewertung_Stammdaten!I$39,IF(AI61&lt;Bewertung_Stammdaten!J$40,Bewertung_Stammdaten!I$40,IF(AI61&lt;Bewertung_Stammdaten!J$41,Bewertung_Stammdaten!I$41,IF(AI61&lt;Bewertung_Stammdaten!J$42,Bewertung_Stammdaten!I$42,IF(AI61&lt;Bewertung_Stammdaten!J$43,Bewertung_Stammdaten!I$43,IF(AI61&lt;Bewertung_Stammdaten!J$44,Bewertung_Stammdaten!I$44,IF(AI61&lt;Bewertung_Stammdaten!J$45,Bewertung_Stammdaten!I$45,IF(AI61&lt;Bewertung_Stammdaten!J$46,Bewertung_Stammdaten!I$46,Bewertung_Stammdaten!I$47)))))))))</f>
        <v>4</v>
      </c>
      <c r="AM61" s="43"/>
      <c r="AN61" s="14">
        <f ca="1">VLOOKUP(A61,Dividende_je_Aktie!A$3:AM$103,24,FALSE)</f>
        <v>800.69999999999993</v>
      </c>
      <c r="AO61" s="14">
        <f>VLOOKUP(A61,Dividende_je_Aktie!A$3:AM$103,20,FALSE)</f>
        <v>556.57142857142856</v>
      </c>
      <c r="AP61" s="12">
        <f ca="1">VLOOKUP(A61,Dividende_je_Aktie!A$3:AM$103,25,FALSE)</f>
        <v>0.43862936344969183</v>
      </c>
      <c r="AQ61" s="40">
        <f>VLOOKUP(A61,Dividende_je_Aktie!A$3:AM$103,39,FALSE)</f>
        <v>-1.749999999999996E-2</v>
      </c>
      <c r="AR61" s="16">
        <f t="shared" ca="1" si="20"/>
        <v>786.68774999999994</v>
      </c>
      <c r="AS61" s="12">
        <f t="shared" ca="1" si="21"/>
        <v>0.41345334958932223</v>
      </c>
      <c r="AT61" s="32">
        <f ca="1">IF(AP61&lt;Bewertung_Stammdaten!B$51,Bewertung_Stammdaten!A$51,IF(AP61&lt;Bewertung_Stammdaten!B$52,Bewertung_Stammdaten!A$52,IF(AP61&lt;Bewertung_Stammdaten!B$53,Bewertung_Stammdaten!A$53,IF(AP61&lt;Bewertung_Stammdaten!B$54,Bewertung_Stammdaten!A$54,IF(AP61&lt;Bewertung_Stammdaten!B$55,Bewertung_Stammdaten!A$55,IF(AP61&lt;Bewertung_Stammdaten!B$56,Bewertung_Stammdaten!A$56,IF(AP61&lt;Bewertung_Stammdaten!B$57,Bewertung_Stammdaten!A$57,IF(AP61&lt;Bewertung_Stammdaten!B$58,Bewertung_Stammdaten!A$58,IF(AP61&lt;Bewertung_Stammdaten!B$59,Bewertung_Stammdaten!A$59,Bewertung_Stammdaten!A$60)))))))))</f>
        <v>14</v>
      </c>
      <c r="AU61" s="32">
        <f>IF(AQ61&lt;Bewertung_Stammdaten!F$51,Bewertung_Stammdaten!E$51,IF(AQ61&lt;Bewertung_Stammdaten!F$52,Bewertung_Stammdaten!E$52,IF(AQ61&lt;Bewertung_Stammdaten!F$53,Bewertung_Stammdaten!E$53,IF(AQ61&lt;Bewertung_Stammdaten!F$54,Bewertung_Stammdaten!E$54,IF(AQ61&lt;Bewertung_Stammdaten!F$55,Bewertung_Stammdaten!E$55,IF(AQ61&lt;Bewertung_Stammdaten!F$56,Bewertung_Stammdaten!E$56,IF(AQ61&lt;Bewertung_Stammdaten!F$57,Bewertung_Stammdaten!E$57,IF(AQ61&lt;Bewertung_Stammdaten!F$58,Bewertung_Stammdaten!E$58,IF(AQ61&lt;Bewertung_Stammdaten!F$59,Bewertung_Stammdaten!E$59,Bewertung_Stammdaten!E$60)))))))))</f>
        <v>10.5</v>
      </c>
      <c r="AV61" s="32">
        <f ca="1">IF(AS61&lt;Bewertung_Stammdaten!J$51,Bewertung_Stammdaten!I$51,IF(AS61&lt;Bewertung_Stammdaten!J$52,Bewertung_Stammdaten!I$52,IF(AS61&lt;Bewertung_Stammdaten!J$53,Bewertung_Stammdaten!I$53,IF(AS61&lt;Bewertung_Stammdaten!J$54,Bewertung_Stammdaten!I$54,IF(AS61&lt;Bewertung_Stammdaten!J$55,Bewertung_Stammdaten!I$55,IF(AS61&lt;Bewertung_Stammdaten!J$56,Bewertung_Stammdaten!I$56,IF(AS61&lt;Bewertung_Stammdaten!J$57,Bewertung_Stammdaten!I$57,IF(AS61&lt;Bewertung_Stammdaten!J$58,Bewertung_Stammdaten!I$58,IF(AS61&lt;Bewertung_Stammdaten!J$59,Bewertung_Stammdaten!I$59,Bewertung_Stammdaten!I$60)))))))))</f>
        <v>8</v>
      </c>
      <c r="AW61" s="43"/>
      <c r="AX61" s="12">
        <f ca="1">VLOOKUP(A61,Dividendenrendite!A$3:R$103,17,FALSE)</f>
        <v>1.1010726072607259E-2</v>
      </c>
      <c r="AY61" s="12">
        <f>VLOOKUP(A61,Dividendenrendite!A$3:R$103,16,FALSE)</f>
        <v>1.2763651904770757E-2</v>
      </c>
      <c r="AZ61" s="12">
        <f ca="1">VLOOKUP(A61,Dividendenrendite!A$3:R$103,18,FALSE)</f>
        <v>-0.13733732674958765</v>
      </c>
      <c r="BA61" s="32">
        <f ca="1">IF(AX61&lt;Bewertung_Stammdaten!B$64,Bewertung_Stammdaten!A$64,IF(AX61&lt;Bewertung_Stammdaten!B$65,Bewertung_Stammdaten!A$65,IF(AX61&lt;Bewertung_Stammdaten!B$66,Bewertung_Stammdaten!A$66,IF(AX61&lt;Bewertung_Stammdaten!B$67,Bewertung_Stammdaten!A$67,IF(AX61&lt;Bewertung_Stammdaten!B$68,Bewertung_Stammdaten!A$68,IF(AX61&lt;Bewertung_Stammdaten!B$69,Bewertung_Stammdaten!A$69,IF(AX61&lt;Bewertung_Stammdaten!B$70,Bewertung_Stammdaten!A$70,IF(AX61&lt;Bewertung_Stammdaten!B$71,Bewertung_Stammdaten!A$71,IF(AX61&lt;Bewertung_Stammdaten!B$72,Bewertung_Stammdaten!A$72,Bewertung_Stammdaten!A$73)))))))))</f>
        <v>4.5</v>
      </c>
      <c r="BB61" s="32">
        <f>IF(AY61&lt;Bewertung_Stammdaten!F$64,Bewertung_Stammdaten!E$64,IF(AY61&lt;Bewertung_Stammdaten!F$65,Bewertung_Stammdaten!E$65,IF(AY61&lt;Bewertung_Stammdaten!F$66,Bewertung_Stammdaten!E$66,IF(AY61&lt;Bewertung_Stammdaten!F$67,Bewertung_Stammdaten!E$67,IF(AY61&lt;Bewertung_Stammdaten!F$68,Bewertung_Stammdaten!E$68,IF(AY61&lt;Bewertung_Stammdaten!F$69,Bewertung_Stammdaten!E$69,IF(AY61&lt;Bewertung_Stammdaten!F$70,Bewertung_Stammdaten!E$70,IF(AY61&lt;Bewertung_Stammdaten!F$71,Bewertung_Stammdaten!E$71,IF(AY61&lt;Bewertung_Stammdaten!F$72,Bewertung_Stammdaten!E$72,Bewertung_Stammdaten!E$73)))))))))</f>
        <v>3</v>
      </c>
      <c r="BC61" s="32">
        <f ca="1">IF(AZ61&lt;Bewertung_Stammdaten!J$64,Bewertung_Stammdaten!I$64,IF(AZ61&lt;Bewertung_Stammdaten!J$65,Bewertung_Stammdaten!I$65,IF(AZ61&lt;Bewertung_Stammdaten!J$66,Bewertung_Stammdaten!I$66,IF(AZ61&lt;Bewertung_Stammdaten!J$67,Bewertung_Stammdaten!I$67,IF(AZ61&lt;Bewertung_Stammdaten!J$68,Bewertung_Stammdaten!I$68,IF(AZ61&lt;Bewertung_Stammdaten!J$69,Bewertung_Stammdaten!I$69,IF(AZ61&lt;Bewertung_Stammdaten!J$70,Bewertung_Stammdaten!I$70,IF(AZ61&lt;Bewertung_Stammdaten!J$71,Bewertung_Stammdaten!I$71,IF(AZ61&lt;Bewertung_Stammdaten!J$72,Bewertung_Stammdaten!I$72,Bewertung_Stammdaten!I$73)))))))))</f>
        <v>1.5</v>
      </c>
      <c r="BD61" s="43"/>
      <c r="BE61" s="12">
        <f>VLOOKUP(A61,Aktien_im_Umlauf_splitbereinigt!A$3:AB$103,28,FALSE)</f>
        <v>0</v>
      </c>
      <c r="BF61" s="12">
        <f>VLOOKUP(A61,Aktien_im_Umlauf_splitbereinigt!A$3:AA$103,26,FALSE)</f>
        <v>4.0000000000000015E-2</v>
      </c>
      <c r="BG61" s="12">
        <f>VLOOKUP(A61,Aktien_im_Umlauf_splitbereinigt!A$3:AA$103,27,FALSE)</f>
        <v>-99.999989999999997</v>
      </c>
      <c r="BH61" s="41">
        <f>IF(BE61&lt;Bewertung_Stammdaten!B$77,Bewertung_Stammdaten!A$77,IF(BE61&lt;Bewertung_Stammdaten!B$78,Bewertung_Stammdaten!A$78,IF(BE61&lt;Bewertung_Stammdaten!B$79,Bewertung_Stammdaten!A$79,IF(BE61&lt;Bewertung_Stammdaten!B$80,Bewertung_Stammdaten!A$80,IF(BE61&lt;Bewertung_Stammdaten!B$81,Bewertung_Stammdaten!A$81,IF(BE61&lt;Bewertung_Stammdaten!B$82,Bewertung_Stammdaten!A$82,IF(BE61&lt;Bewertung_Stammdaten!B$83,Bewertung_Stammdaten!A$83,IF(BE61&lt;Bewertung_Stammdaten!B$84,Bewertung_Stammdaten!A$84,IF(BE61&lt;Bewertung_Stammdaten!B$85,Bewertung_Stammdaten!A$85,Bewertung_Stammdaten!A$86)))))))))</f>
        <v>2</v>
      </c>
      <c r="BI61" s="41">
        <f>IF(BF61&lt;Bewertung_Stammdaten!F$77,Bewertung_Stammdaten!E$77,IF(BF61&lt;Bewertung_Stammdaten!F$78,Bewertung_Stammdaten!E$78,IF(BF61&lt;Bewertung_Stammdaten!F$79,Bewertung_Stammdaten!E$79,IF(BF61&lt;Bewertung_Stammdaten!F$80,Bewertung_Stammdaten!E$80,IF(BF61&lt;Bewertung_Stammdaten!F$81,Bewertung_Stammdaten!E$81,IF(BF61&lt;Bewertung_Stammdaten!F$82,Bewertung_Stammdaten!E$82,IF(BF61&lt;Bewertung_Stammdaten!F$83,Bewertung_Stammdaten!E$83,IF(BF61&lt;Bewertung_Stammdaten!F$84,Bewertung_Stammdaten!E$84,IF(BF61&lt;Bewertung_Stammdaten!F$85,Bewertung_Stammdaten!E$85,Bewertung_Stammdaten!E$86)))))))))</f>
        <v>1</v>
      </c>
      <c r="BJ61" s="41">
        <f>IF(BG61&lt;Bewertung_Stammdaten!J$77,Bewertung_Stammdaten!I$77,IF(BG61&lt;Bewertung_Stammdaten!J$78,Bewertung_Stammdaten!I$78,IF(BG61&lt;Bewertung_Stammdaten!J$79,Bewertung_Stammdaten!I$79,IF(BG61&lt;Bewertung_Stammdaten!J$80,Bewertung_Stammdaten!I$80,IF(BG61&lt;Bewertung_Stammdaten!J$81,Bewertung_Stammdaten!I$81,IF(BG61&lt;Bewertung_Stammdaten!J$82,Bewertung_Stammdaten!I$82,IF(BG61&lt;Bewertung_Stammdaten!J$83,Bewertung_Stammdaten!I$83,IF(BG61&lt;Bewertung_Stammdaten!J$84,Bewertung_Stammdaten!I$84,IF(BG61&lt;Bewertung_Stammdaten!J$85,Bewertung_Stammdaten!I$85,Bewertung_Stammdaten!I$86)))))))))</f>
        <v>0.5</v>
      </c>
      <c r="BK61" s="43"/>
      <c r="BL61" s="12">
        <f ca="1">VLOOKUP(A61,Ausschüttungsquote!A$3:AL$103,37,FALSE)</f>
        <v>0.44182661171103954</v>
      </c>
      <c r="BM61" s="12">
        <f>VLOOKUP(A61,Ausschüttungsquote!A$3:AL$103,19,FALSE)</f>
        <v>0.42679624357578977</v>
      </c>
      <c r="BN61" s="12">
        <f ca="1">VLOOKUP(A61,Ausschüttungsquote!A$3:AL$103,38,FALSE)</f>
        <v>3.521673014111415E-2</v>
      </c>
      <c r="BO61" s="32">
        <f ca="1">IF(BL61&lt;Bewertung_Stammdaten!B$90,Bewertung_Stammdaten!A$90,IF(BL61&lt;Bewertung_Stammdaten!B$91,Bewertung_Stammdaten!A$91,IF(BL61&lt;Bewertung_Stammdaten!B$92,Bewertung_Stammdaten!A$92,IF(BL61&lt;Bewertung_Stammdaten!B$93,Bewertung_Stammdaten!A$93,IF(BL61&lt;Bewertung_Stammdaten!B$94,Bewertung_Stammdaten!A$94,IF(BL61&lt;Bewertung_Stammdaten!B$95,Bewertung_Stammdaten!A$95,IF(BL61&lt;Bewertung_Stammdaten!B$96,Bewertung_Stammdaten!A$96,IF(BL61&lt;Bewertung_Stammdaten!B$97,Bewertung_Stammdaten!A$97,IF(BL61&lt;Bewertung_Stammdaten!B$98,Bewertung_Stammdaten!A$98,Bewertung_Stammdaten!A$99)))))))))</f>
        <v>9</v>
      </c>
      <c r="BP61" s="41">
        <f>IF(BM61&lt;Bewertung_Stammdaten!F$90,Bewertung_Stammdaten!E$90,IF(BM61&lt;Bewertung_Stammdaten!F$91,Bewertung_Stammdaten!E$91,IF(BM61&lt;Bewertung_Stammdaten!F$92,Bewertung_Stammdaten!E$92,IF(BM61&lt;Bewertung_Stammdaten!F$93,Bewertung_Stammdaten!E$93,IF(BM61&lt;Bewertung_Stammdaten!F$94,Bewertung_Stammdaten!E$94,IF(BM61&lt;Bewertung_Stammdaten!F$95,Bewertung_Stammdaten!E$95,IF(BM61&lt;Bewertung_Stammdaten!F$96,Bewertung_Stammdaten!E$96,IF(BM61&lt;Bewertung_Stammdaten!F$97,Bewertung_Stammdaten!E$97,IF(BM61&lt;Bewertung_Stammdaten!F$98,Bewertung_Stammdaten!E$98,Bewertung_Stammdaten!E$99)))))))))</f>
        <v>9</v>
      </c>
      <c r="BQ61" s="32">
        <f ca="1">IF(BN61&lt;Bewertung_Stammdaten!J$90,Bewertung_Stammdaten!I$90,IF(BN61&lt;Bewertung_Stammdaten!J$91,Bewertung_Stammdaten!I$91,IF(BN61&lt;Bewertung_Stammdaten!J$92,Bewertung_Stammdaten!I$92,IF(BN61&lt;Bewertung_Stammdaten!J$93,Bewertung_Stammdaten!I$93,IF(BN61&lt;Bewertung_Stammdaten!J$94,Bewertung_Stammdaten!I$94,IF(BN61&lt;Bewertung_Stammdaten!J$95,Bewertung_Stammdaten!I$95,IF(BN61&lt;Bewertung_Stammdaten!J$96,Bewertung_Stammdaten!I$96,IF(BN61&lt;Bewertung_Stammdaten!J$97,Bewertung_Stammdaten!I$97,IF(BN61&lt;Bewertung_Stammdaten!J$98,Bewertung_Stammdaten!I$98,Bewertung_Stammdaten!I$99)))))))))</f>
        <v>5</v>
      </c>
    </row>
    <row r="62" spans="1:69">
      <c r="A62" s="38" t="s">
        <v>12</v>
      </c>
      <c r="B62" s="38" t="s">
        <v>13</v>
      </c>
      <c r="C62" s="38" t="s">
        <v>283</v>
      </c>
      <c r="D62" s="32">
        <f t="shared" ca="1" si="11"/>
        <v>107</v>
      </c>
      <c r="E62" s="43"/>
      <c r="F62" s="60">
        <v>1</v>
      </c>
      <c r="G62" s="11">
        <f ca="1">VLOOKUP(A62,KGV!A$3:R$103,17,FALSE)</f>
        <v>17.604895104895103</v>
      </c>
      <c r="H62" s="11">
        <f>VLOOKUP(A62,KGV!A$3:R$103,16,FALSE)</f>
        <v>15.57216494845361</v>
      </c>
      <c r="I62" s="12">
        <f ca="1">VLOOKUP(A62,KGV!A$3:R$103,18,FALSE)</f>
        <v>0.13053613053613033</v>
      </c>
      <c r="J62" s="16">
        <f t="shared" ca="1" si="12"/>
        <v>22.962906658558833</v>
      </c>
      <c r="K62" s="12">
        <f t="shared" ca="1" si="13"/>
        <v>0.47461234417756137</v>
      </c>
      <c r="L62" s="11">
        <f ca="1">VLOOKUP(A62,KBV!A$3:R$103,17,FALSE)</f>
        <v>2.2714285714285714</v>
      </c>
      <c r="M62" s="11">
        <f>VLOOKUP(A62,KBV!A$3:R$103,16,FALSE)</f>
        <v>1.3346190935390549</v>
      </c>
      <c r="N62" s="12">
        <f ca="1">VLOOKUP(A62,KBV!A$3:R$103,18,FALSE)</f>
        <v>0.70193022295623453</v>
      </c>
      <c r="O62" s="16">
        <f t="shared" ca="1" si="14"/>
        <v>2.9685997171145684</v>
      </c>
      <c r="P62" s="12">
        <f t="shared" ca="1" si="15"/>
        <v>1.2243048458437915</v>
      </c>
      <c r="Q62" s="32">
        <f ca="1">IF(F62=1,IF(I62&lt;Bewertung_Stammdaten!B$12,Bewertung_Stammdaten!A$12,IF(I62&lt;Bewertung_Stammdaten!B$13,Bewertung_Stammdaten!A$13,IF(I62&lt;Bewertung_Stammdaten!B$14,Bewertung_Stammdaten!A$14,IF(I62&lt;Bewertung_Stammdaten!B$15,Bewertung_Stammdaten!A$15,IF(I62&lt;Bewertung_Stammdaten!B$16,Bewertung_Stammdaten!A$16,IF(I62&lt;Bewertung_Stammdaten!B$17,Bewertung_Stammdaten!A$17,IF(I62&lt;Bewertung_Stammdaten!B$18,Bewertung_Stammdaten!A$18,IF(I62&lt;Bewertung_Stammdaten!B$19,Bewertung_Stammdaten!A$19,IF(I62&lt;Bewertung_Stammdaten!B$20,Bewertung_Stammdaten!A$20,Bewertung_Stammdaten!A$21))))))))),IF(N62&lt;Bewertung_Stammdaten!C$12,Bewertung_Stammdaten!A$12,IF(N62&lt;Bewertung_Stammdaten!C$13,Bewertung_Stammdaten!A$13,IF(N62&lt;Bewertung_Stammdaten!C$14,Bewertung_Stammdaten!A$14,IF(N62&lt;Bewertung_Stammdaten!C$15,Bewertung_Stammdaten!A$15,IF(N62&lt;Bewertung_Stammdaten!C$16,Bewertung_Stammdaten!A$16,IF(N62&lt;Bewertung_Stammdaten!C$17,Bewertung_Stammdaten!A$17,IF(N62&lt;Bewertung_Stammdaten!C$18,Bewertung_Stammdaten!A$18,IF(N62&lt;Bewertung_Stammdaten!C$19,Bewertung_Stammdaten!A$19,IF(N62&lt;Bewertung_Stammdaten!C$20,Bewertung_Stammdaten!A$20,Bewertung_Stammdaten!A$21))))))))))</f>
        <v>24</v>
      </c>
      <c r="R62" s="32">
        <f ca="1">IF(F62=1,IF(K62&lt;Bewertung_Stammdaten!F$12,Bewertung_Stammdaten!E$12,IF(K62&lt;Bewertung_Stammdaten!F$13,Bewertung_Stammdaten!E$13,IF(K62&lt;Bewertung_Stammdaten!F$14,Bewertung_Stammdaten!E$14,IF(K62&lt;Bewertung_Stammdaten!F$15,Bewertung_Stammdaten!E$15,IF(K62&lt;Bewertung_Stammdaten!F$16,Bewertung_Stammdaten!E$16,IF(K62&lt;Bewertung_Stammdaten!F$17,Bewertung_Stammdaten!E$17,IF(K62&lt;Bewertung_Stammdaten!F$18,Bewertung_Stammdaten!E$18,IF(K62&lt;Bewertung_Stammdaten!F$19,Bewertung_Stammdaten!E$19,IF(K62&lt;Bewertung_Stammdaten!F$20,Bewertung_Stammdaten!E$20,Bewertung_Stammdaten!E$21))))))))),IF(P62&lt;Bewertung_Stammdaten!G$12,Bewertung_Stammdaten!E$12,IF(P62&lt;Bewertung_Stammdaten!G$13,Bewertung_Stammdaten!E$13,IF(P62&lt;Bewertung_Stammdaten!G$14,Bewertung_Stammdaten!E$14,IF(P62&lt;Bewertung_Stammdaten!G$15,Bewertung_Stammdaten!E$15,IF(P62&lt;Bewertung_Stammdaten!G$16,Bewertung_Stammdaten!E$16,IF(P62&lt;Bewertung_Stammdaten!G$17,Bewertung_Stammdaten!E$17,IF(P62&lt;Bewertung_Stammdaten!G$18,Bewertung_Stammdaten!E$18,IF(P62&lt;Bewertung_Stammdaten!G$19,Bewertung_Stammdaten!E$19,IF(P62&lt;Bewertung_Stammdaten!G$20,Bewertung_Stammdaten!E$20,Bewertung_Stammdaten!E$21))))))))))</f>
        <v>2.5</v>
      </c>
      <c r="S62" s="43"/>
      <c r="T62" s="11">
        <f ca="1">VLOOKUP(A62,Buchwert_je_Aktie!A$3:AK$103,23,FALSE)</f>
        <v>6.65</v>
      </c>
      <c r="U62" s="11">
        <f>VLOOKUP(A62,Buchwert_je_Aktie!A$3:AK$103,19,FALSE)</f>
        <v>8.6046153846153857</v>
      </c>
      <c r="V62" s="12">
        <f ca="1">VLOOKUP(A62,Buchwert_je_Aktie!A$3:AK$103,24,FALSE)</f>
        <v>-0.2271589486858574</v>
      </c>
      <c r="W62" s="12">
        <f>VLOOKUP(A62,Buchwert_je_Aktie!A$3:AK$103,37,FALSE)</f>
        <v>-0.23484848484848486</v>
      </c>
      <c r="X62" s="16">
        <f t="shared" ca="1" si="16"/>
        <v>5.0882575757575763</v>
      </c>
      <c r="Y62" s="12">
        <f t="shared" ca="1" si="17"/>
        <v>-0.40865949861569384</v>
      </c>
      <c r="Z62" s="51">
        <f ca="1">IF(V62&lt;Bewertung_Stammdaten!B$25,Bewertung_Stammdaten!A$25,IF(V62&lt;Bewertung_Stammdaten!B$26,Bewertung_Stammdaten!A$26,IF(V62&lt;Bewertung_Stammdaten!B$27,Bewertung_Stammdaten!A$27,IF(V62&lt;Bewertung_Stammdaten!B$28,Bewertung_Stammdaten!A$28,IF(V62&lt;Bewertung_Stammdaten!B$29,Bewertung_Stammdaten!A$29,IF(V62&lt;Bewertung_Stammdaten!B$30,Bewertung_Stammdaten!A$30,IF(V62&lt;Bewertung_Stammdaten!B$31,Bewertung_Stammdaten!A$31,IF(V62&lt;Bewertung_Stammdaten!B$32,Bewertung_Stammdaten!A$32,IF(V62&lt;Bewertung_Stammdaten!B$33,Bewertung_Stammdaten!A$33,Bewertung_Stammdaten!A$34)))))))))</f>
        <v>1.5</v>
      </c>
      <c r="AA62" s="51">
        <f>IF(W62&lt;Bewertung_Stammdaten!F$25,Bewertung_Stammdaten!E$25,IF(W62&lt;Bewertung_Stammdaten!F$26,Bewertung_Stammdaten!E$26,IF(W62&lt;Bewertung_Stammdaten!F$27,Bewertung_Stammdaten!E$27,IF(W62&lt;Bewertung_Stammdaten!F$28,Bewertung_Stammdaten!E$28,IF(W62&lt;Bewertung_Stammdaten!F$29,Bewertung_Stammdaten!E$29,IF(W62&lt;Bewertung_Stammdaten!F$30,Bewertung_Stammdaten!E$30,IF(W62&lt;Bewertung_Stammdaten!F$31,Bewertung_Stammdaten!E$31,IF(W62&lt;Bewertung_Stammdaten!F$32,Bewertung_Stammdaten!E$32,IF(W62&lt;Bewertung_Stammdaten!F$33,Bewertung_Stammdaten!E$33,Bewertung_Stammdaten!E$34)))))))))</f>
        <v>4.5</v>
      </c>
      <c r="AB62" s="51">
        <f ca="1">IF(Y62&lt;Bewertung_Stammdaten!J$25,Bewertung_Stammdaten!I$25,IF(Y62&lt;Bewertung_Stammdaten!J$26,Bewertung_Stammdaten!I$26,IF(Y62&lt;Bewertung_Stammdaten!J$27,Bewertung_Stammdaten!I$27,IF(Y62&lt;Bewertung_Stammdaten!J$28,Bewertung_Stammdaten!I$28,IF(Y62&lt;Bewertung_Stammdaten!J$29,Bewertung_Stammdaten!I$29,IF(Y62&lt;Bewertung_Stammdaten!J$30,Bewertung_Stammdaten!I$30,IF(Y62&lt;Bewertung_Stammdaten!J$31,Bewertung_Stammdaten!I$31,IF(Y62&lt;Bewertung_Stammdaten!J$32,Bewertung_Stammdaten!I$32,IF(Y62&lt;Bewertung_Stammdaten!J$33,Bewertung_Stammdaten!I$33,Bewertung_Stammdaten!I$34)))))))))</f>
        <v>1</v>
      </c>
      <c r="AC62" s="43"/>
      <c r="AD62" s="14">
        <f ca="1">VLOOKUP(A62,Ergebnis_je_Aktie_verwässert!A$3:AK$103,23,FALSE)</f>
        <v>0.8580000000000001</v>
      </c>
      <c r="AE62" s="14">
        <f>VLOOKUP(A62,Ergebnis_je_Aktie_verwässert!A$3:AK$103,19,FALSE)</f>
        <v>0.76538461538461533</v>
      </c>
      <c r="AF62" s="12">
        <f ca="1">VLOOKUP(A62,Ergebnis_je_Aktie_verwässert!A$3:AK$103,24,FALSE)</f>
        <v>0.12100502512562827</v>
      </c>
      <c r="AG62" s="40">
        <f>VLOOKUP(A62,Ergebnis_je_Aktie_verwässert!A$3:AK$103,37,FALSE)</f>
        <v>-0.23333333333333339</v>
      </c>
      <c r="AH62" s="16">
        <f t="shared" ca="1" si="18"/>
        <v>0.65780000000000005</v>
      </c>
      <c r="AI62" s="12">
        <f t="shared" ca="1" si="19"/>
        <v>-0.14056281407035165</v>
      </c>
      <c r="AJ62" s="32">
        <f ca="1">IF(AF62&lt;Bewertung_Stammdaten!B$38,Bewertung_Stammdaten!A$38,IF(AF62&lt;Bewertung_Stammdaten!B$39,Bewertung_Stammdaten!A$39,IF(AF62&lt;Bewertung_Stammdaten!B$40,Bewertung_Stammdaten!A$40,IF(AF62&lt;Bewertung_Stammdaten!B$41,Bewertung_Stammdaten!A$41,IF(AF62&lt;Bewertung_Stammdaten!B$42,Bewertung_Stammdaten!A$42,IF(AF62&lt;Bewertung_Stammdaten!B$43,Bewertung_Stammdaten!A$43,IF(AF62&lt;Bewertung_Stammdaten!B$44,Bewertung_Stammdaten!A$44,IF(AF62&lt;Bewertung_Stammdaten!B$45,Bewertung_Stammdaten!A$45,IF(AF62&lt;Bewertung_Stammdaten!B$46,Bewertung_Stammdaten!A$46,Bewertung_Stammdaten!A$47)))))))))</f>
        <v>10</v>
      </c>
      <c r="AK62" s="32">
        <f>IF(AG62&lt;Bewertung_Stammdaten!F$38,Bewertung_Stammdaten!E$38,IF(AG62&lt;Bewertung_Stammdaten!F$39,Bewertung_Stammdaten!E$39,IF(AG62&lt;Bewertung_Stammdaten!F$40,Bewertung_Stammdaten!E$40,IF(AG62&lt;Bewertung_Stammdaten!F$41,Bewertung_Stammdaten!E$41,IF(AG62&lt;Bewertung_Stammdaten!F$42,Bewertung_Stammdaten!E$42,IF(AG62&lt;Bewertung_Stammdaten!F$43,Bewertung_Stammdaten!E$43,IF(AG62&lt;Bewertung_Stammdaten!F$44,Bewertung_Stammdaten!E$44,IF(AG62&lt;Bewertung_Stammdaten!F$45,Bewertung_Stammdaten!E$45,IF(AG62&lt;Bewertung_Stammdaten!F$46,Bewertung_Stammdaten!E$46,Bewertung_Stammdaten!E$47)))))))))</f>
        <v>7.5</v>
      </c>
      <c r="AL62" s="32">
        <f ca="1">IF(AI62&lt;Bewertung_Stammdaten!J$38,Bewertung_Stammdaten!I$38,IF(AI62&lt;Bewertung_Stammdaten!J$39,Bewertung_Stammdaten!I$39,IF(AI62&lt;Bewertung_Stammdaten!J$40,Bewertung_Stammdaten!I$40,IF(AI62&lt;Bewertung_Stammdaten!J$41,Bewertung_Stammdaten!I$41,IF(AI62&lt;Bewertung_Stammdaten!J$42,Bewertung_Stammdaten!I$42,IF(AI62&lt;Bewertung_Stammdaten!J$43,Bewertung_Stammdaten!I$43,IF(AI62&lt;Bewertung_Stammdaten!J$44,Bewertung_Stammdaten!I$44,IF(AI62&lt;Bewertung_Stammdaten!J$45,Bewertung_Stammdaten!I$45,IF(AI62&lt;Bewertung_Stammdaten!J$46,Bewertung_Stammdaten!I$46,Bewertung_Stammdaten!I$47)))))))))</f>
        <v>3</v>
      </c>
      <c r="AM62" s="43"/>
      <c r="AN62" s="14">
        <f ca="1">VLOOKUP(A62,Dividende_je_Aktie!A$3:AM$103,24,FALSE)</f>
        <v>0.60799999999999998</v>
      </c>
      <c r="AO62" s="14">
        <f>VLOOKUP(A62,Dividende_je_Aktie!A$3:AM$103,20,FALSE)</f>
        <v>0.66857142857142871</v>
      </c>
      <c r="AP62" s="12">
        <f ca="1">VLOOKUP(A62,Dividende_je_Aktie!A$3:AM$103,25,FALSE)</f>
        <v>-9.0598290598290832E-2</v>
      </c>
      <c r="AQ62" s="40">
        <f>VLOOKUP(A62,Dividende_je_Aktie!A$3:AM$103,39,FALSE)</f>
        <v>-0.2857142857142857</v>
      </c>
      <c r="AR62" s="16">
        <f t="shared" ca="1" si="20"/>
        <v>0.43428571428571427</v>
      </c>
      <c r="AS62" s="12">
        <f t="shared" ca="1" si="21"/>
        <v>-0.35042735042735063</v>
      </c>
      <c r="AT62" s="32">
        <f ca="1">IF(AP62&lt;Bewertung_Stammdaten!B$51,Bewertung_Stammdaten!A$51,IF(AP62&lt;Bewertung_Stammdaten!B$52,Bewertung_Stammdaten!A$52,IF(AP62&lt;Bewertung_Stammdaten!B$53,Bewertung_Stammdaten!A$53,IF(AP62&lt;Bewertung_Stammdaten!B$54,Bewertung_Stammdaten!A$54,IF(AP62&lt;Bewertung_Stammdaten!B$55,Bewertung_Stammdaten!A$55,IF(AP62&lt;Bewertung_Stammdaten!B$56,Bewertung_Stammdaten!A$56,IF(AP62&lt;Bewertung_Stammdaten!B$57,Bewertung_Stammdaten!A$57,IF(AP62&lt;Bewertung_Stammdaten!B$58,Bewertung_Stammdaten!A$58,IF(AP62&lt;Bewertung_Stammdaten!B$59,Bewertung_Stammdaten!A$59,Bewertung_Stammdaten!A$60)))))))))</f>
        <v>4</v>
      </c>
      <c r="AU62" s="32">
        <f>IF(AQ62&lt;Bewertung_Stammdaten!F$51,Bewertung_Stammdaten!E$51,IF(AQ62&lt;Bewertung_Stammdaten!F$52,Bewertung_Stammdaten!E$52,IF(AQ62&lt;Bewertung_Stammdaten!F$53,Bewertung_Stammdaten!E$53,IF(AQ62&lt;Bewertung_Stammdaten!F$54,Bewertung_Stammdaten!E$54,IF(AQ62&lt;Bewertung_Stammdaten!F$55,Bewertung_Stammdaten!E$55,IF(AQ62&lt;Bewertung_Stammdaten!F$56,Bewertung_Stammdaten!E$56,IF(AQ62&lt;Bewertung_Stammdaten!F$57,Bewertung_Stammdaten!E$57,IF(AQ62&lt;Bewertung_Stammdaten!F$58,Bewertung_Stammdaten!E$58,IF(AQ62&lt;Bewertung_Stammdaten!F$59,Bewertung_Stammdaten!E$59,Bewertung_Stammdaten!E$60)))))))))</f>
        <v>7.5</v>
      </c>
      <c r="AV62" s="32">
        <f ca="1">IF(AS62&lt;Bewertung_Stammdaten!J$51,Bewertung_Stammdaten!I$51,IF(AS62&lt;Bewertung_Stammdaten!J$52,Bewertung_Stammdaten!I$52,IF(AS62&lt;Bewertung_Stammdaten!J$53,Bewertung_Stammdaten!I$53,IF(AS62&lt;Bewertung_Stammdaten!J$54,Bewertung_Stammdaten!I$54,IF(AS62&lt;Bewertung_Stammdaten!J$55,Bewertung_Stammdaten!I$55,IF(AS62&lt;Bewertung_Stammdaten!J$56,Bewertung_Stammdaten!I$56,IF(AS62&lt;Bewertung_Stammdaten!J$57,Bewertung_Stammdaten!I$57,IF(AS62&lt;Bewertung_Stammdaten!J$58,Bewertung_Stammdaten!I$58,IF(AS62&lt;Bewertung_Stammdaten!J$59,Bewertung_Stammdaten!I$59,Bewertung_Stammdaten!I$60)))))))))</f>
        <v>1</v>
      </c>
      <c r="AW62" s="43"/>
      <c r="AX62" s="12">
        <f ca="1">VLOOKUP(A62,Dividendenrendite!A$3:R$103,17,FALSE)</f>
        <v>4.0251572327044023E-2</v>
      </c>
      <c r="AY62" s="12">
        <f>VLOOKUP(A62,Dividendenrendite!A$3:R$103,16,FALSE)</f>
        <v>5.6104871945291804E-2</v>
      </c>
      <c r="AZ62" s="12">
        <f ca="1">VLOOKUP(A62,Dividendenrendite!A$3:R$103,18,FALSE)</f>
        <v>-0.28256547192027148</v>
      </c>
      <c r="BA62" s="32">
        <f ca="1">IF(AX62&lt;Bewertung_Stammdaten!B$64,Bewertung_Stammdaten!A$64,IF(AX62&lt;Bewertung_Stammdaten!B$65,Bewertung_Stammdaten!A$65,IF(AX62&lt;Bewertung_Stammdaten!B$66,Bewertung_Stammdaten!A$66,IF(AX62&lt;Bewertung_Stammdaten!B$67,Bewertung_Stammdaten!A$67,IF(AX62&lt;Bewertung_Stammdaten!B$68,Bewertung_Stammdaten!A$68,IF(AX62&lt;Bewertung_Stammdaten!B$69,Bewertung_Stammdaten!A$69,IF(AX62&lt;Bewertung_Stammdaten!B$70,Bewertung_Stammdaten!A$70,IF(AX62&lt;Bewertung_Stammdaten!B$71,Bewertung_Stammdaten!A$71,IF(AX62&lt;Bewertung_Stammdaten!B$72,Bewertung_Stammdaten!A$72,Bewertung_Stammdaten!A$73)))))))))</f>
        <v>13.5</v>
      </c>
      <c r="BB62" s="32">
        <f>IF(AY62&lt;Bewertung_Stammdaten!F$64,Bewertung_Stammdaten!E$64,IF(AY62&lt;Bewertung_Stammdaten!F$65,Bewertung_Stammdaten!E$65,IF(AY62&lt;Bewertung_Stammdaten!F$66,Bewertung_Stammdaten!E$66,IF(AY62&lt;Bewertung_Stammdaten!F$67,Bewertung_Stammdaten!E$67,IF(AY62&lt;Bewertung_Stammdaten!F$68,Bewertung_Stammdaten!E$68,IF(AY62&lt;Bewertung_Stammdaten!F$69,Bewertung_Stammdaten!E$69,IF(AY62&lt;Bewertung_Stammdaten!F$70,Bewertung_Stammdaten!E$70,IF(AY62&lt;Bewertung_Stammdaten!F$71,Bewertung_Stammdaten!E$71,IF(AY62&lt;Bewertung_Stammdaten!F$72,Bewertung_Stammdaten!E$72,Bewertung_Stammdaten!E$73)))))))))</f>
        <v>10</v>
      </c>
      <c r="BC62" s="32">
        <f ca="1">IF(AZ62&lt;Bewertung_Stammdaten!J$64,Bewertung_Stammdaten!I$64,IF(AZ62&lt;Bewertung_Stammdaten!J$65,Bewertung_Stammdaten!I$65,IF(AZ62&lt;Bewertung_Stammdaten!J$66,Bewertung_Stammdaten!I$66,IF(AZ62&lt;Bewertung_Stammdaten!J$67,Bewertung_Stammdaten!I$67,IF(AZ62&lt;Bewertung_Stammdaten!J$68,Bewertung_Stammdaten!I$68,IF(AZ62&lt;Bewertung_Stammdaten!J$69,Bewertung_Stammdaten!I$69,IF(AZ62&lt;Bewertung_Stammdaten!J$70,Bewertung_Stammdaten!I$70,IF(AZ62&lt;Bewertung_Stammdaten!J$71,Bewertung_Stammdaten!I$71,IF(AZ62&lt;Bewertung_Stammdaten!J$72,Bewertung_Stammdaten!I$72,Bewertung_Stammdaten!I$73)))))))))</f>
        <v>0.5</v>
      </c>
      <c r="BD62" s="43"/>
      <c r="BE62" s="12">
        <f>VLOOKUP(A62,Aktien_im_Umlauf_splitbereinigt!A$3:AB$103,28,FALSE)</f>
        <v>1.5652557319223881E-2</v>
      </c>
      <c r="BF62" s="12">
        <f>VLOOKUP(A62,Aktien_im_Umlauf_splitbereinigt!A$3:AA$103,26,FALSE)</f>
        <v>9.449082294910505E-3</v>
      </c>
      <c r="BG62" s="12">
        <f>VLOOKUP(A62,Aktien_im_Umlauf_splitbereinigt!A$3:AA$103,27,FALSE)</f>
        <v>-99.999989999999997</v>
      </c>
      <c r="BH62" s="41">
        <f>IF(BE62&lt;Bewertung_Stammdaten!B$77,Bewertung_Stammdaten!A$77,IF(BE62&lt;Bewertung_Stammdaten!B$78,Bewertung_Stammdaten!A$78,IF(BE62&lt;Bewertung_Stammdaten!B$79,Bewertung_Stammdaten!A$79,IF(BE62&lt;Bewertung_Stammdaten!B$80,Bewertung_Stammdaten!A$80,IF(BE62&lt;Bewertung_Stammdaten!B$81,Bewertung_Stammdaten!A$81,IF(BE62&lt;Bewertung_Stammdaten!B$82,Bewertung_Stammdaten!A$82,IF(BE62&lt;Bewertung_Stammdaten!B$83,Bewertung_Stammdaten!A$83,IF(BE62&lt;Bewertung_Stammdaten!B$84,Bewertung_Stammdaten!A$84,IF(BE62&lt;Bewertung_Stammdaten!B$85,Bewertung_Stammdaten!A$85,Bewertung_Stammdaten!A$86)))))))))</f>
        <v>1</v>
      </c>
      <c r="BI62" s="41">
        <f>IF(BF62&lt;Bewertung_Stammdaten!F$77,Bewertung_Stammdaten!E$77,IF(BF62&lt;Bewertung_Stammdaten!F$78,Bewertung_Stammdaten!E$78,IF(BF62&lt;Bewertung_Stammdaten!F$79,Bewertung_Stammdaten!E$79,IF(BF62&lt;Bewertung_Stammdaten!F$80,Bewertung_Stammdaten!E$80,IF(BF62&lt;Bewertung_Stammdaten!F$81,Bewertung_Stammdaten!E$81,IF(BF62&lt;Bewertung_Stammdaten!F$82,Bewertung_Stammdaten!E$82,IF(BF62&lt;Bewertung_Stammdaten!F$83,Bewertung_Stammdaten!E$83,IF(BF62&lt;Bewertung_Stammdaten!F$84,Bewertung_Stammdaten!E$84,IF(BF62&lt;Bewertung_Stammdaten!F$85,Bewertung_Stammdaten!E$85,Bewertung_Stammdaten!E$86)))))))))</f>
        <v>1</v>
      </c>
      <c r="BJ62" s="41">
        <f>IF(BG62&lt;Bewertung_Stammdaten!J$77,Bewertung_Stammdaten!I$77,IF(BG62&lt;Bewertung_Stammdaten!J$78,Bewertung_Stammdaten!I$78,IF(BG62&lt;Bewertung_Stammdaten!J$79,Bewertung_Stammdaten!I$79,IF(BG62&lt;Bewertung_Stammdaten!J$80,Bewertung_Stammdaten!I$80,IF(BG62&lt;Bewertung_Stammdaten!J$81,Bewertung_Stammdaten!I$81,IF(BG62&lt;Bewertung_Stammdaten!J$82,Bewertung_Stammdaten!I$82,IF(BG62&lt;Bewertung_Stammdaten!J$83,Bewertung_Stammdaten!I$83,IF(BG62&lt;Bewertung_Stammdaten!J$84,Bewertung_Stammdaten!I$84,IF(BG62&lt;Bewertung_Stammdaten!J$85,Bewertung_Stammdaten!I$85,Bewertung_Stammdaten!I$86)))))))))</f>
        <v>0.5</v>
      </c>
      <c r="BK62" s="43"/>
      <c r="BL62" s="12">
        <f ca="1">VLOOKUP(A62,Ausschüttungsquote!A$3:AL$103,37,FALSE)</f>
        <v>0.71090747104492813</v>
      </c>
      <c r="BM62" s="12">
        <f>VLOOKUP(A62,Ausschüttungsquote!A$3:AL$103,19,FALSE)</f>
        <v>0.90101031619827576</v>
      </c>
      <c r="BN62" s="12">
        <f ca="1">VLOOKUP(A62,Ausschüttungsquote!A$3:AL$103,38,FALSE)</f>
        <v>-0.20329322000156069</v>
      </c>
      <c r="BO62" s="32">
        <f ca="1">IF(BL62&lt;Bewertung_Stammdaten!B$90,Bewertung_Stammdaten!A$90,IF(BL62&lt;Bewertung_Stammdaten!B$91,Bewertung_Stammdaten!A$91,IF(BL62&lt;Bewertung_Stammdaten!B$92,Bewertung_Stammdaten!A$92,IF(BL62&lt;Bewertung_Stammdaten!B$93,Bewertung_Stammdaten!A$93,IF(BL62&lt;Bewertung_Stammdaten!B$94,Bewertung_Stammdaten!A$94,IF(BL62&lt;Bewertung_Stammdaten!B$95,Bewertung_Stammdaten!A$95,IF(BL62&lt;Bewertung_Stammdaten!B$96,Bewertung_Stammdaten!A$96,IF(BL62&lt;Bewertung_Stammdaten!B$97,Bewertung_Stammdaten!A$97,IF(BL62&lt;Bewertung_Stammdaten!B$98,Bewertung_Stammdaten!A$98,Bewertung_Stammdaten!A$99)))))))))</f>
        <v>3</v>
      </c>
      <c r="BP62" s="41">
        <f>IF(BM62&lt;Bewertung_Stammdaten!F$90,Bewertung_Stammdaten!E$90,IF(BM62&lt;Bewertung_Stammdaten!F$91,Bewertung_Stammdaten!E$91,IF(BM62&lt;Bewertung_Stammdaten!F$92,Bewertung_Stammdaten!E$92,IF(BM62&lt;Bewertung_Stammdaten!F$93,Bewertung_Stammdaten!E$93,IF(BM62&lt;Bewertung_Stammdaten!F$94,Bewertung_Stammdaten!E$94,IF(BM62&lt;Bewertung_Stammdaten!F$95,Bewertung_Stammdaten!E$95,IF(BM62&lt;Bewertung_Stammdaten!F$96,Bewertung_Stammdaten!E$96,IF(BM62&lt;Bewertung_Stammdaten!F$97,Bewertung_Stammdaten!E$97,IF(BM62&lt;Bewertung_Stammdaten!F$98,Bewertung_Stammdaten!E$98,Bewertung_Stammdaten!E$99)))))))))</f>
        <v>1</v>
      </c>
      <c r="BQ62" s="32">
        <f ca="1">IF(BN62&lt;Bewertung_Stammdaten!J$90,Bewertung_Stammdaten!I$90,IF(BN62&lt;Bewertung_Stammdaten!J$91,Bewertung_Stammdaten!I$91,IF(BN62&lt;Bewertung_Stammdaten!J$92,Bewertung_Stammdaten!I$92,IF(BN62&lt;Bewertung_Stammdaten!J$93,Bewertung_Stammdaten!I$93,IF(BN62&lt;Bewertung_Stammdaten!J$94,Bewertung_Stammdaten!I$94,IF(BN62&lt;Bewertung_Stammdaten!J$95,Bewertung_Stammdaten!I$95,IF(BN62&lt;Bewertung_Stammdaten!J$96,Bewertung_Stammdaten!I$96,IF(BN62&lt;Bewertung_Stammdaten!J$97,Bewertung_Stammdaten!I$97,IF(BN62&lt;Bewertung_Stammdaten!J$98,Bewertung_Stammdaten!I$98,Bewertung_Stammdaten!I$99)))))))))</f>
        <v>10</v>
      </c>
    </row>
    <row r="63" spans="1:69">
      <c r="A63" s="38" t="s">
        <v>314</v>
      </c>
      <c r="B63" s="38" t="s">
        <v>315</v>
      </c>
      <c r="C63" s="38" t="s">
        <v>283</v>
      </c>
      <c r="D63" s="32">
        <f t="shared" ca="1" si="11"/>
        <v>109</v>
      </c>
      <c r="E63" s="43"/>
      <c r="F63" s="60">
        <v>1</v>
      </c>
      <c r="G63" s="11">
        <f ca="1">VLOOKUP(A63,KGV!A$3:R$103,17,FALSE)</f>
        <v>25.304740406320541</v>
      </c>
      <c r="H63" s="11">
        <f>VLOOKUP(A63,KGV!A$3:R$103,16,FALSE)</f>
        <v>21.150943396226413</v>
      </c>
      <c r="I63" s="12">
        <f ca="1">VLOOKUP(A63,KGV!A$3:R$103,18,FALSE)</f>
        <v>0.19638826185101577</v>
      </c>
      <c r="J63" s="16">
        <f t="shared" ca="1" si="12"/>
        <v>99</v>
      </c>
      <c r="K63" s="12">
        <f t="shared" ca="1" si="13"/>
        <v>3.6806422836752901</v>
      </c>
      <c r="L63" s="11">
        <f ca="1">VLOOKUP(A63,KBV!A$3:R$103,17,FALSE)</f>
        <v>1.6561840439003801</v>
      </c>
      <c r="M63" s="11">
        <f>VLOOKUP(A63,KBV!A$3:R$103,16,FALSE)</f>
        <v>1.5884615384615386</v>
      </c>
      <c r="N63" s="12">
        <f ca="1">VLOOKUP(A63,KBV!A$3:R$103,18,FALSE)</f>
        <v>4.2634022794427962E-2</v>
      </c>
      <c r="O63" s="16">
        <f t="shared" ca="1" si="14"/>
        <v>1.6840813870705571</v>
      </c>
      <c r="P63" s="12">
        <f t="shared" ca="1" si="15"/>
        <v>6.0196514862820294E-2</v>
      </c>
      <c r="Q63" s="32">
        <f ca="1">IF(F63=1,IF(I63&lt;Bewertung_Stammdaten!B$12,Bewertung_Stammdaten!A$12,IF(I63&lt;Bewertung_Stammdaten!B$13,Bewertung_Stammdaten!A$13,IF(I63&lt;Bewertung_Stammdaten!B$14,Bewertung_Stammdaten!A$14,IF(I63&lt;Bewertung_Stammdaten!B$15,Bewertung_Stammdaten!A$15,IF(I63&lt;Bewertung_Stammdaten!B$16,Bewertung_Stammdaten!A$16,IF(I63&lt;Bewertung_Stammdaten!B$17,Bewertung_Stammdaten!A$17,IF(I63&lt;Bewertung_Stammdaten!B$18,Bewertung_Stammdaten!A$18,IF(I63&lt;Bewertung_Stammdaten!B$19,Bewertung_Stammdaten!A$19,IF(I63&lt;Bewertung_Stammdaten!B$20,Bewertung_Stammdaten!A$20,Bewertung_Stammdaten!A$21))))))))),IF(N63&lt;Bewertung_Stammdaten!C$12,Bewertung_Stammdaten!A$12,IF(N63&lt;Bewertung_Stammdaten!C$13,Bewertung_Stammdaten!A$13,IF(N63&lt;Bewertung_Stammdaten!C$14,Bewertung_Stammdaten!A$14,IF(N63&lt;Bewertung_Stammdaten!C$15,Bewertung_Stammdaten!A$15,IF(N63&lt;Bewertung_Stammdaten!C$16,Bewertung_Stammdaten!A$16,IF(N63&lt;Bewertung_Stammdaten!C$17,Bewertung_Stammdaten!A$17,IF(N63&lt;Bewertung_Stammdaten!C$18,Bewertung_Stammdaten!A$18,IF(N63&lt;Bewertung_Stammdaten!C$19,Bewertung_Stammdaten!A$19,IF(N63&lt;Bewertung_Stammdaten!C$20,Bewertung_Stammdaten!A$20,Bewertung_Stammdaten!A$21))))))))))</f>
        <v>18</v>
      </c>
      <c r="R63" s="32">
        <f ca="1">IF(F63=1,IF(K63&lt;Bewertung_Stammdaten!F$12,Bewertung_Stammdaten!E$12,IF(K63&lt;Bewertung_Stammdaten!F$13,Bewertung_Stammdaten!E$13,IF(K63&lt;Bewertung_Stammdaten!F$14,Bewertung_Stammdaten!E$14,IF(K63&lt;Bewertung_Stammdaten!F$15,Bewertung_Stammdaten!E$15,IF(K63&lt;Bewertung_Stammdaten!F$16,Bewertung_Stammdaten!E$16,IF(K63&lt;Bewertung_Stammdaten!F$17,Bewertung_Stammdaten!E$17,IF(K63&lt;Bewertung_Stammdaten!F$18,Bewertung_Stammdaten!E$18,IF(K63&lt;Bewertung_Stammdaten!F$19,Bewertung_Stammdaten!E$19,IF(K63&lt;Bewertung_Stammdaten!F$20,Bewertung_Stammdaten!E$20,Bewertung_Stammdaten!E$21))))))))),IF(P63&lt;Bewertung_Stammdaten!G$12,Bewertung_Stammdaten!E$12,IF(P63&lt;Bewertung_Stammdaten!G$13,Bewertung_Stammdaten!E$13,IF(P63&lt;Bewertung_Stammdaten!G$14,Bewertung_Stammdaten!E$14,IF(P63&lt;Bewertung_Stammdaten!G$15,Bewertung_Stammdaten!E$15,IF(P63&lt;Bewertung_Stammdaten!G$16,Bewertung_Stammdaten!E$16,IF(P63&lt;Bewertung_Stammdaten!G$17,Bewertung_Stammdaten!E$17,IF(P63&lt;Bewertung_Stammdaten!G$18,Bewertung_Stammdaten!E$18,IF(P63&lt;Bewertung_Stammdaten!G$19,Bewertung_Stammdaten!E$19,IF(P63&lt;Bewertung_Stammdaten!G$20,Bewertung_Stammdaten!E$20,Bewertung_Stammdaten!E$21))))))))))</f>
        <v>2.5</v>
      </c>
      <c r="S63" s="43"/>
      <c r="T63" s="11">
        <f ca="1">VLOOKUP(A63,Buchwert_je_Aktie!A$3:AK$103,23,FALSE)</f>
        <v>47.379999999999995</v>
      </c>
      <c r="U63" s="11">
        <f>VLOOKUP(A63,Buchwert_je_Aktie!A$3:AK$103,19,FALSE)</f>
        <v>48.122500000000002</v>
      </c>
      <c r="V63" s="12">
        <f ca="1">VLOOKUP(A63,Buchwert_je_Aktie!A$3:AK$103,24,FALSE)</f>
        <v>-1.5429372954439358E-2</v>
      </c>
      <c r="W63" s="12">
        <f>VLOOKUP(A63,Buchwert_je_Aktie!A$3:AK$103,37,FALSE)</f>
        <v>-1.6565317676661806E-2</v>
      </c>
      <c r="X63" s="16">
        <f t="shared" ca="1" si="16"/>
        <v>46.595135248479757</v>
      </c>
      <c r="Y63" s="12">
        <f t="shared" ca="1" si="17"/>
        <v>-3.1739098166559176E-2</v>
      </c>
      <c r="Z63" s="51">
        <f ca="1">IF(V63&lt;Bewertung_Stammdaten!B$25,Bewertung_Stammdaten!A$25,IF(V63&lt;Bewertung_Stammdaten!B$26,Bewertung_Stammdaten!A$26,IF(V63&lt;Bewertung_Stammdaten!B$27,Bewertung_Stammdaten!A$27,IF(V63&lt;Bewertung_Stammdaten!B$28,Bewertung_Stammdaten!A$28,IF(V63&lt;Bewertung_Stammdaten!B$29,Bewertung_Stammdaten!A$29,IF(V63&lt;Bewertung_Stammdaten!B$30,Bewertung_Stammdaten!A$30,IF(V63&lt;Bewertung_Stammdaten!B$31,Bewertung_Stammdaten!A$31,IF(V63&lt;Bewertung_Stammdaten!B$32,Bewertung_Stammdaten!A$32,IF(V63&lt;Bewertung_Stammdaten!B$33,Bewertung_Stammdaten!A$33,Bewertung_Stammdaten!A$34)))))))))</f>
        <v>3</v>
      </c>
      <c r="AA63" s="51">
        <f>IF(W63&lt;Bewertung_Stammdaten!F$25,Bewertung_Stammdaten!E$25,IF(W63&lt;Bewertung_Stammdaten!F$26,Bewertung_Stammdaten!E$26,IF(W63&lt;Bewertung_Stammdaten!F$27,Bewertung_Stammdaten!E$27,IF(W63&lt;Bewertung_Stammdaten!F$28,Bewertung_Stammdaten!E$28,IF(W63&lt;Bewertung_Stammdaten!F$29,Bewertung_Stammdaten!E$29,IF(W63&lt;Bewertung_Stammdaten!F$30,Bewertung_Stammdaten!E$30,IF(W63&lt;Bewertung_Stammdaten!F$31,Bewertung_Stammdaten!E$31,IF(W63&lt;Bewertung_Stammdaten!F$32,Bewertung_Stammdaten!E$32,IF(W63&lt;Bewertung_Stammdaten!F$33,Bewertung_Stammdaten!E$33,Bewertung_Stammdaten!E$34)))))))))</f>
        <v>10.5</v>
      </c>
      <c r="AB63" s="51">
        <f ca="1">IF(Y63&lt;Bewertung_Stammdaten!J$25,Bewertung_Stammdaten!I$25,IF(Y63&lt;Bewertung_Stammdaten!J$26,Bewertung_Stammdaten!I$26,IF(Y63&lt;Bewertung_Stammdaten!J$27,Bewertung_Stammdaten!I$27,IF(Y63&lt;Bewertung_Stammdaten!J$28,Bewertung_Stammdaten!I$28,IF(Y63&lt;Bewertung_Stammdaten!J$29,Bewertung_Stammdaten!I$29,IF(Y63&lt;Bewertung_Stammdaten!J$30,Bewertung_Stammdaten!I$30,IF(Y63&lt;Bewertung_Stammdaten!J$31,Bewertung_Stammdaten!I$31,IF(Y63&lt;Bewertung_Stammdaten!J$32,Bewertung_Stammdaten!I$32,IF(Y63&lt;Bewertung_Stammdaten!J$33,Bewertung_Stammdaten!I$33,Bewertung_Stammdaten!I$34)))))))))</f>
        <v>2</v>
      </c>
      <c r="AC63" s="43"/>
      <c r="AD63" s="14">
        <f ca="1">VLOOKUP(A63,Ergebnis_je_Aktie_verwässert!A$3:AK$103,23,FALSE)</f>
        <v>3.101</v>
      </c>
      <c r="AE63" s="14">
        <f>VLOOKUP(A63,Ergebnis_je_Aktie_verwässert!A$3:AK$103,19,FALSE)</f>
        <v>2.3588888888888886</v>
      </c>
      <c r="AF63" s="12">
        <f ca="1">VLOOKUP(A63,Ergebnis_je_Aktie_verwässert!A$3:AK$103,24,FALSE)</f>
        <v>0.31460197833254844</v>
      </c>
      <c r="AG63" s="40">
        <f>VLOOKUP(A63,Ergebnis_je_Aktie_verwässert!A$3:AK$103,37,FALSE)</f>
        <v>-1.8902077151335313</v>
      </c>
      <c r="AH63" s="16">
        <f t="shared" ca="1" si="18"/>
        <v>-2.7605341246290802</v>
      </c>
      <c r="AI63" s="12">
        <f t="shared" ca="1" si="19"/>
        <v>-2.1702688234414378</v>
      </c>
      <c r="AJ63" s="32">
        <f ca="1">IF(AF63&lt;Bewertung_Stammdaten!B$38,Bewertung_Stammdaten!A$38,IF(AF63&lt;Bewertung_Stammdaten!B$39,Bewertung_Stammdaten!A$39,IF(AF63&lt;Bewertung_Stammdaten!B$40,Bewertung_Stammdaten!A$40,IF(AF63&lt;Bewertung_Stammdaten!B$41,Bewertung_Stammdaten!A$41,IF(AF63&lt;Bewertung_Stammdaten!B$42,Bewertung_Stammdaten!A$42,IF(AF63&lt;Bewertung_Stammdaten!B$43,Bewertung_Stammdaten!A$43,IF(AF63&lt;Bewertung_Stammdaten!B$44,Bewertung_Stammdaten!A$44,IF(AF63&lt;Bewertung_Stammdaten!B$45,Bewertung_Stammdaten!A$45,IF(AF63&lt;Bewertung_Stammdaten!B$46,Bewertung_Stammdaten!A$46,Bewertung_Stammdaten!A$47)))))))))</f>
        <v>14</v>
      </c>
      <c r="AK63" s="32">
        <f>IF(AG63&lt;Bewertung_Stammdaten!F$38,Bewertung_Stammdaten!E$38,IF(AG63&lt;Bewertung_Stammdaten!F$39,Bewertung_Stammdaten!E$39,IF(AG63&lt;Bewertung_Stammdaten!F$40,Bewertung_Stammdaten!E$40,IF(AG63&lt;Bewertung_Stammdaten!F$41,Bewertung_Stammdaten!E$41,IF(AG63&lt;Bewertung_Stammdaten!F$42,Bewertung_Stammdaten!E$42,IF(AG63&lt;Bewertung_Stammdaten!F$43,Bewertung_Stammdaten!E$43,IF(AG63&lt;Bewertung_Stammdaten!F$44,Bewertung_Stammdaten!E$44,IF(AG63&lt;Bewertung_Stammdaten!F$45,Bewertung_Stammdaten!E$45,IF(AG63&lt;Bewertung_Stammdaten!F$46,Bewertung_Stammdaten!E$46,Bewertung_Stammdaten!E$47)))))))))</f>
        <v>1.5</v>
      </c>
      <c r="AL63" s="32">
        <f ca="1">IF(AI63&lt;Bewertung_Stammdaten!J$38,Bewertung_Stammdaten!I$38,IF(AI63&lt;Bewertung_Stammdaten!J$39,Bewertung_Stammdaten!I$39,IF(AI63&lt;Bewertung_Stammdaten!J$40,Bewertung_Stammdaten!I$40,IF(AI63&lt;Bewertung_Stammdaten!J$41,Bewertung_Stammdaten!I$41,IF(AI63&lt;Bewertung_Stammdaten!J$42,Bewertung_Stammdaten!I$42,IF(AI63&lt;Bewertung_Stammdaten!J$43,Bewertung_Stammdaten!I$43,IF(AI63&lt;Bewertung_Stammdaten!J$44,Bewertung_Stammdaten!I$44,IF(AI63&lt;Bewertung_Stammdaten!J$45,Bewertung_Stammdaten!I$45,IF(AI63&lt;Bewertung_Stammdaten!J$46,Bewertung_Stammdaten!I$46,Bewertung_Stammdaten!I$47)))))))))</f>
        <v>1</v>
      </c>
      <c r="AM63" s="43"/>
      <c r="AN63" s="14">
        <f ca="1">VLOOKUP(A63,Dividende_je_Aktie!A$3:AM$103,24,FALSE)</f>
        <v>2.3529999999999998</v>
      </c>
      <c r="AO63" s="14">
        <f>VLOOKUP(A63,Dividende_je_Aktie!A$3:AM$103,20,FALSE)</f>
        <v>2.2475000000000001</v>
      </c>
      <c r="AP63" s="12">
        <f ca="1">VLOOKUP(A63,Dividende_je_Aktie!A$3:AM$103,25,FALSE)</f>
        <v>4.6941045606228915E-2</v>
      </c>
      <c r="AQ63" s="40">
        <f>VLOOKUP(A63,Dividende_je_Aktie!A$3:AM$103,39,FALSE)</f>
        <v>4.5267489711934061E-2</v>
      </c>
      <c r="AR63" s="16">
        <f t="shared" ca="1" si="20"/>
        <v>2.3529999999999998</v>
      </c>
      <c r="AS63" s="12">
        <f t="shared" ca="1" si="21"/>
        <v>4.6941045606228915E-2</v>
      </c>
      <c r="AT63" s="32">
        <f ca="1">IF(AP63&lt;Bewertung_Stammdaten!B$51,Bewertung_Stammdaten!A$51,IF(AP63&lt;Bewertung_Stammdaten!B$52,Bewertung_Stammdaten!A$52,IF(AP63&lt;Bewertung_Stammdaten!B$53,Bewertung_Stammdaten!A$53,IF(AP63&lt;Bewertung_Stammdaten!B$54,Bewertung_Stammdaten!A$54,IF(AP63&lt;Bewertung_Stammdaten!B$55,Bewertung_Stammdaten!A$55,IF(AP63&lt;Bewertung_Stammdaten!B$56,Bewertung_Stammdaten!A$56,IF(AP63&lt;Bewertung_Stammdaten!B$57,Bewertung_Stammdaten!A$57,IF(AP63&lt;Bewertung_Stammdaten!B$58,Bewertung_Stammdaten!A$58,IF(AP63&lt;Bewertung_Stammdaten!B$59,Bewertung_Stammdaten!A$59,Bewertung_Stammdaten!A$60)))))))))</f>
        <v>6</v>
      </c>
      <c r="AU63" s="32">
        <f>IF(AQ63&lt;Bewertung_Stammdaten!F$51,Bewertung_Stammdaten!E$51,IF(AQ63&lt;Bewertung_Stammdaten!F$52,Bewertung_Stammdaten!E$52,IF(AQ63&lt;Bewertung_Stammdaten!F$53,Bewertung_Stammdaten!E$53,IF(AQ63&lt;Bewertung_Stammdaten!F$54,Bewertung_Stammdaten!E$54,IF(AQ63&lt;Bewertung_Stammdaten!F$55,Bewertung_Stammdaten!E$55,IF(AQ63&lt;Bewertung_Stammdaten!F$56,Bewertung_Stammdaten!E$56,IF(AQ63&lt;Bewertung_Stammdaten!F$57,Bewertung_Stammdaten!E$57,IF(AQ63&lt;Bewertung_Stammdaten!F$58,Bewertung_Stammdaten!E$58,IF(AQ63&lt;Bewertung_Stammdaten!F$59,Bewertung_Stammdaten!E$59,Bewertung_Stammdaten!E$60)))))))))</f>
        <v>12</v>
      </c>
      <c r="AV63" s="32">
        <f ca="1">IF(AS63&lt;Bewertung_Stammdaten!J$51,Bewertung_Stammdaten!I$51,IF(AS63&lt;Bewertung_Stammdaten!J$52,Bewertung_Stammdaten!I$52,IF(AS63&lt;Bewertung_Stammdaten!J$53,Bewertung_Stammdaten!I$53,IF(AS63&lt;Bewertung_Stammdaten!J$54,Bewertung_Stammdaten!I$54,IF(AS63&lt;Bewertung_Stammdaten!J$55,Bewertung_Stammdaten!I$55,IF(AS63&lt;Bewertung_Stammdaten!J$56,Bewertung_Stammdaten!I$56,IF(AS63&lt;Bewertung_Stammdaten!J$57,Bewertung_Stammdaten!I$57,IF(AS63&lt;Bewertung_Stammdaten!J$58,Bewertung_Stammdaten!I$58,IF(AS63&lt;Bewertung_Stammdaten!J$59,Bewertung_Stammdaten!I$59,Bewertung_Stammdaten!I$60)))))))))</f>
        <v>4</v>
      </c>
      <c r="AW63" s="43"/>
      <c r="AX63" s="12">
        <f ca="1">VLOOKUP(A63,Dividendenrendite!A$3:R$103,17,FALSE)</f>
        <v>2.9985981903912322E-2</v>
      </c>
      <c r="AY63" s="12">
        <f>VLOOKUP(A63,Dividendenrendite!A$3:R$103,16,FALSE)</f>
        <v>2.7965724544213377E-2</v>
      </c>
      <c r="AZ63" s="12">
        <f ca="1">VLOOKUP(A63,Dividendenrendite!A$3:R$103,18,FALSE)</f>
        <v>7.2240479823969972E-2</v>
      </c>
      <c r="BA63" s="32">
        <f ca="1">IF(AX63&lt;Bewertung_Stammdaten!B$64,Bewertung_Stammdaten!A$64,IF(AX63&lt;Bewertung_Stammdaten!B$65,Bewertung_Stammdaten!A$65,IF(AX63&lt;Bewertung_Stammdaten!B$66,Bewertung_Stammdaten!A$66,IF(AX63&lt;Bewertung_Stammdaten!B$67,Bewertung_Stammdaten!A$67,IF(AX63&lt;Bewertung_Stammdaten!B$68,Bewertung_Stammdaten!A$68,IF(AX63&lt;Bewertung_Stammdaten!B$69,Bewertung_Stammdaten!A$69,IF(AX63&lt;Bewertung_Stammdaten!B$70,Bewertung_Stammdaten!A$70,IF(AX63&lt;Bewertung_Stammdaten!B$71,Bewertung_Stammdaten!A$71,IF(AX63&lt;Bewertung_Stammdaten!B$72,Bewertung_Stammdaten!A$72,Bewertung_Stammdaten!A$73)))))))))</f>
        <v>9</v>
      </c>
      <c r="BB63" s="32">
        <f>IF(AY63&lt;Bewertung_Stammdaten!F$64,Bewertung_Stammdaten!E$64,IF(AY63&lt;Bewertung_Stammdaten!F$65,Bewertung_Stammdaten!E$65,IF(AY63&lt;Bewertung_Stammdaten!F$66,Bewertung_Stammdaten!E$66,IF(AY63&lt;Bewertung_Stammdaten!F$67,Bewertung_Stammdaten!E$67,IF(AY63&lt;Bewertung_Stammdaten!F$68,Bewertung_Stammdaten!E$68,IF(AY63&lt;Bewertung_Stammdaten!F$69,Bewertung_Stammdaten!E$69,IF(AY63&lt;Bewertung_Stammdaten!F$70,Bewertung_Stammdaten!E$70,IF(AY63&lt;Bewertung_Stammdaten!F$71,Bewertung_Stammdaten!E$71,IF(AY63&lt;Bewertung_Stammdaten!F$72,Bewertung_Stammdaten!E$72,Bewertung_Stammdaten!E$73)))))))))</f>
        <v>6</v>
      </c>
      <c r="BC63" s="32">
        <f ca="1">IF(AZ63&lt;Bewertung_Stammdaten!J$64,Bewertung_Stammdaten!I$64,IF(AZ63&lt;Bewertung_Stammdaten!J$65,Bewertung_Stammdaten!I$65,IF(AZ63&lt;Bewertung_Stammdaten!J$66,Bewertung_Stammdaten!I$66,IF(AZ63&lt;Bewertung_Stammdaten!J$67,Bewertung_Stammdaten!I$67,IF(AZ63&lt;Bewertung_Stammdaten!J$68,Bewertung_Stammdaten!I$68,IF(AZ63&lt;Bewertung_Stammdaten!J$69,Bewertung_Stammdaten!I$69,IF(AZ63&lt;Bewertung_Stammdaten!J$70,Bewertung_Stammdaten!I$70,IF(AZ63&lt;Bewertung_Stammdaten!J$71,Bewertung_Stammdaten!I$71,IF(AZ63&lt;Bewertung_Stammdaten!J$72,Bewertung_Stammdaten!I$72,Bewertung_Stammdaten!I$73)))))))))</f>
        <v>3.5</v>
      </c>
      <c r="BD63" s="43"/>
      <c r="BE63" s="12">
        <f>VLOOKUP(A63,Aktien_im_Umlauf_splitbereinigt!A$3:AB$103,28,FALSE)</f>
        <v>0</v>
      </c>
      <c r="BF63" s="12">
        <f>VLOOKUP(A63,Aktien_im_Umlauf_splitbereinigt!A$3:AA$103,26,FALSE)</f>
        <v>0</v>
      </c>
      <c r="BG63" s="12">
        <f>VLOOKUP(A63,Aktien_im_Umlauf_splitbereinigt!A$3:AA$103,27,FALSE)</f>
        <v>0</v>
      </c>
      <c r="BH63" s="41">
        <f>IF(BE63&lt;Bewertung_Stammdaten!B$77,Bewertung_Stammdaten!A$77,IF(BE63&lt;Bewertung_Stammdaten!B$78,Bewertung_Stammdaten!A$78,IF(BE63&lt;Bewertung_Stammdaten!B$79,Bewertung_Stammdaten!A$79,IF(BE63&lt;Bewertung_Stammdaten!B$80,Bewertung_Stammdaten!A$80,IF(BE63&lt;Bewertung_Stammdaten!B$81,Bewertung_Stammdaten!A$81,IF(BE63&lt;Bewertung_Stammdaten!B$82,Bewertung_Stammdaten!A$82,IF(BE63&lt;Bewertung_Stammdaten!B$83,Bewertung_Stammdaten!A$83,IF(BE63&lt;Bewertung_Stammdaten!B$84,Bewertung_Stammdaten!A$84,IF(BE63&lt;Bewertung_Stammdaten!B$85,Bewertung_Stammdaten!A$85,Bewertung_Stammdaten!A$86)))))))))</f>
        <v>2</v>
      </c>
      <c r="BI63" s="41">
        <f>IF(BF63&lt;Bewertung_Stammdaten!F$77,Bewertung_Stammdaten!E$77,IF(BF63&lt;Bewertung_Stammdaten!F$78,Bewertung_Stammdaten!E$78,IF(BF63&lt;Bewertung_Stammdaten!F$79,Bewertung_Stammdaten!E$79,IF(BF63&lt;Bewertung_Stammdaten!F$80,Bewertung_Stammdaten!E$80,IF(BF63&lt;Bewertung_Stammdaten!F$81,Bewertung_Stammdaten!E$81,IF(BF63&lt;Bewertung_Stammdaten!F$82,Bewertung_Stammdaten!E$82,IF(BF63&lt;Bewertung_Stammdaten!F$83,Bewertung_Stammdaten!E$83,IF(BF63&lt;Bewertung_Stammdaten!F$84,Bewertung_Stammdaten!E$84,IF(BF63&lt;Bewertung_Stammdaten!F$85,Bewertung_Stammdaten!E$85,Bewertung_Stammdaten!E$86)))))))))</f>
        <v>2</v>
      </c>
      <c r="BJ63" s="41">
        <f>IF(BG63&lt;Bewertung_Stammdaten!J$77,Bewertung_Stammdaten!I$77,IF(BG63&lt;Bewertung_Stammdaten!J$78,Bewertung_Stammdaten!I$78,IF(BG63&lt;Bewertung_Stammdaten!J$79,Bewertung_Stammdaten!I$79,IF(BG63&lt;Bewertung_Stammdaten!J$80,Bewertung_Stammdaten!I$80,IF(BG63&lt;Bewertung_Stammdaten!J$81,Bewertung_Stammdaten!I$81,IF(BG63&lt;Bewertung_Stammdaten!J$82,Bewertung_Stammdaten!I$82,IF(BG63&lt;Bewertung_Stammdaten!J$83,Bewertung_Stammdaten!I$83,IF(BG63&lt;Bewertung_Stammdaten!J$84,Bewertung_Stammdaten!I$84,IF(BG63&lt;Bewertung_Stammdaten!J$85,Bewertung_Stammdaten!I$85,Bewertung_Stammdaten!I$86)))))))))</f>
        <v>3</v>
      </c>
      <c r="BK63" s="43"/>
      <c r="BL63" s="12">
        <f ca="1">VLOOKUP(A63,Ausschüttungsquote!A$3:AL$103,37,FALSE)</f>
        <v>0.76832694278880842</v>
      </c>
      <c r="BM63" s="12">
        <f>VLOOKUP(A63,Ausschüttungsquote!A$3:AL$103,19,FALSE)</f>
        <v>0.73118336495426006</v>
      </c>
      <c r="BN63" s="12">
        <f ca="1">VLOOKUP(A63,Ausschüttungsquote!A$3:AL$103,38,FALSE)</f>
        <v>5.0799265430323315E-2</v>
      </c>
      <c r="BO63" s="32">
        <f ca="1">IF(BL63&lt;Bewertung_Stammdaten!B$90,Bewertung_Stammdaten!A$90,IF(BL63&lt;Bewertung_Stammdaten!B$91,Bewertung_Stammdaten!A$91,IF(BL63&lt;Bewertung_Stammdaten!B$92,Bewertung_Stammdaten!A$92,IF(BL63&lt;Bewertung_Stammdaten!B$93,Bewertung_Stammdaten!A$93,IF(BL63&lt;Bewertung_Stammdaten!B$94,Bewertung_Stammdaten!A$94,IF(BL63&lt;Bewertung_Stammdaten!B$95,Bewertung_Stammdaten!A$95,IF(BL63&lt;Bewertung_Stammdaten!B$96,Bewertung_Stammdaten!A$96,IF(BL63&lt;Bewertung_Stammdaten!B$97,Bewertung_Stammdaten!A$97,IF(BL63&lt;Bewertung_Stammdaten!B$98,Bewertung_Stammdaten!A$98,Bewertung_Stammdaten!A$99)))))))))</f>
        <v>2</v>
      </c>
      <c r="BP63" s="41">
        <f>IF(BM63&lt;Bewertung_Stammdaten!F$90,Bewertung_Stammdaten!E$90,IF(BM63&lt;Bewertung_Stammdaten!F$91,Bewertung_Stammdaten!E$91,IF(BM63&lt;Bewertung_Stammdaten!F$92,Bewertung_Stammdaten!E$92,IF(BM63&lt;Bewertung_Stammdaten!F$93,Bewertung_Stammdaten!E$93,IF(BM63&lt;Bewertung_Stammdaten!F$94,Bewertung_Stammdaten!E$94,IF(BM63&lt;Bewertung_Stammdaten!F$95,Bewertung_Stammdaten!E$95,IF(BM63&lt;Bewertung_Stammdaten!F$96,Bewertung_Stammdaten!E$96,IF(BM63&lt;Bewertung_Stammdaten!F$97,Bewertung_Stammdaten!E$97,IF(BM63&lt;Bewertung_Stammdaten!F$98,Bewertung_Stammdaten!E$98,Bewertung_Stammdaten!E$99)))))))))</f>
        <v>3</v>
      </c>
      <c r="BQ63" s="32">
        <f ca="1">IF(BN63&lt;Bewertung_Stammdaten!J$90,Bewertung_Stammdaten!I$90,IF(BN63&lt;Bewertung_Stammdaten!J$91,Bewertung_Stammdaten!I$91,IF(BN63&lt;Bewertung_Stammdaten!J$92,Bewertung_Stammdaten!I$92,IF(BN63&lt;Bewertung_Stammdaten!J$93,Bewertung_Stammdaten!I$93,IF(BN63&lt;Bewertung_Stammdaten!J$94,Bewertung_Stammdaten!I$94,IF(BN63&lt;Bewertung_Stammdaten!J$95,Bewertung_Stammdaten!I$95,IF(BN63&lt;Bewertung_Stammdaten!J$96,Bewertung_Stammdaten!I$96,IF(BN63&lt;Bewertung_Stammdaten!J$97,Bewertung_Stammdaten!I$97,IF(BN63&lt;Bewertung_Stammdaten!J$98,Bewertung_Stammdaten!I$98,Bewertung_Stammdaten!I$99)))))))))</f>
        <v>4</v>
      </c>
    </row>
    <row r="64" spans="1:69">
      <c r="A64" s="38" t="s">
        <v>66</v>
      </c>
      <c r="B64" s="38" t="s">
        <v>67</v>
      </c>
      <c r="C64" s="38" t="s">
        <v>283</v>
      </c>
      <c r="D64" s="32">
        <f t="shared" ca="1" si="11"/>
        <v>102.5</v>
      </c>
      <c r="E64" s="43"/>
      <c r="F64" s="60">
        <v>1</v>
      </c>
      <c r="G64" s="11">
        <f ca="1">VLOOKUP(A64,KGV!A$3:R$103,17,FALSE)</f>
        <v>22.487739634418187</v>
      </c>
      <c r="H64" s="11">
        <f>VLOOKUP(A64,KGV!A$3:R$103,16,FALSE)</f>
        <v>16.422731297034083</v>
      </c>
      <c r="I64" s="12">
        <f ca="1">VLOOKUP(A64,KGV!A$3:R$103,18,FALSE)</f>
        <v>0.36930570364257465</v>
      </c>
      <c r="J64" s="16">
        <f t="shared" ca="1" si="12"/>
        <v>25.540373973931963</v>
      </c>
      <c r="K64" s="12">
        <f t="shared" ca="1" si="13"/>
        <v>0.55518430594699608</v>
      </c>
      <c r="L64" s="11">
        <f ca="1">VLOOKUP(A64,KBV!A$3:R$103,17,FALSE)</f>
        <v>-29.164498409945072</v>
      </c>
      <c r="M64" s="11">
        <f>VLOOKUP(A64,KBV!A$3:R$103,16,FALSE)</f>
        <v>-13.89099527847949</v>
      </c>
      <c r="N64" s="12">
        <f ca="1">VLOOKUP(A64,KBV!A$3:R$103,18,FALSE)</f>
        <v>-1.0995254713769813</v>
      </c>
      <c r="O64" s="16">
        <f t="shared" ca="1" si="14"/>
        <v>1.7078309879697564</v>
      </c>
      <c r="P64" s="12">
        <f t="shared" ca="1" si="15"/>
        <v>-1.1229451852608143</v>
      </c>
      <c r="Q64" s="32">
        <f ca="1">IF(F64=1,IF(I64&lt;Bewertung_Stammdaten!B$12,Bewertung_Stammdaten!A$12,IF(I64&lt;Bewertung_Stammdaten!B$13,Bewertung_Stammdaten!A$13,IF(I64&lt;Bewertung_Stammdaten!B$14,Bewertung_Stammdaten!A$14,IF(I64&lt;Bewertung_Stammdaten!B$15,Bewertung_Stammdaten!A$15,IF(I64&lt;Bewertung_Stammdaten!B$16,Bewertung_Stammdaten!A$16,IF(I64&lt;Bewertung_Stammdaten!B$17,Bewertung_Stammdaten!A$17,IF(I64&lt;Bewertung_Stammdaten!B$18,Bewertung_Stammdaten!A$18,IF(I64&lt;Bewertung_Stammdaten!B$19,Bewertung_Stammdaten!A$19,IF(I64&lt;Bewertung_Stammdaten!B$20,Bewertung_Stammdaten!A$20,Bewertung_Stammdaten!A$21))))))))),IF(N64&lt;Bewertung_Stammdaten!C$12,Bewertung_Stammdaten!A$12,IF(N64&lt;Bewertung_Stammdaten!C$13,Bewertung_Stammdaten!A$13,IF(N64&lt;Bewertung_Stammdaten!C$14,Bewertung_Stammdaten!A$14,IF(N64&lt;Bewertung_Stammdaten!C$15,Bewertung_Stammdaten!A$15,IF(N64&lt;Bewertung_Stammdaten!C$16,Bewertung_Stammdaten!A$16,IF(N64&lt;Bewertung_Stammdaten!C$17,Bewertung_Stammdaten!A$17,IF(N64&lt;Bewertung_Stammdaten!C$18,Bewertung_Stammdaten!A$18,IF(N64&lt;Bewertung_Stammdaten!C$19,Bewertung_Stammdaten!A$19,IF(N64&lt;Bewertung_Stammdaten!C$20,Bewertung_Stammdaten!A$20,Bewertung_Stammdaten!A$21))))))))))</f>
        <v>6</v>
      </c>
      <c r="R64" s="32">
        <f ca="1">IF(F64=1,IF(K64&lt;Bewertung_Stammdaten!F$12,Bewertung_Stammdaten!E$12,IF(K64&lt;Bewertung_Stammdaten!F$13,Bewertung_Stammdaten!E$13,IF(K64&lt;Bewertung_Stammdaten!F$14,Bewertung_Stammdaten!E$14,IF(K64&lt;Bewertung_Stammdaten!F$15,Bewertung_Stammdaten!E$15,IF(K64&lt;Bewertung_Stammdaten!F$16,Bewertung_Stammdaten!E$16,IF(K64&lt;Bewertung_Stammdaten!F$17,Bewertung_Stammdaten!E$17,IF(K64&lt;Bewertung_Stammdaten!F$18,Bewertung_Stammdaten!E$18,IF(K64&lt;Bewertung_Stammdaten!F$19,Bewertung_Stammdaten!E$19,IF(K64&lt;Bewertung_Stammdaten!F$20,Bewertung_Stammdaten!E$20,Bewertung_Stammdaten!E$21))))))))),IF(P64&lt;Bewertung_Stammdaten!G$12,Bewertung_Stammdaten!E$12,IF(P64&lt;Bewertung_Stammdaten!G$13,Bewertung_Stammdaten!E$13,IF(P64&lt;Bewertung_Stammdaten!G$14,Bewertung_Stammdaten!E$14,IF(P64&lt;Bewertung_Stammdaten!G$15,Bewertung_Stammdaten!E$15,IF(P64&lt;Bewertung_Stammdaten!G$16,Bewertung_Stammdaten!E$16,IF(P64&lt;Bewertung_Stammdaten!G$17,Bewertung_Stammdaten!E$17,IF(P64&lt;Bewertung_Stammdaten!G$18,Bewertung_Stammdaten!E$18,IF(P64&lt;Bewertung_Stammdaten!G$19,Bewertung_Stammdaten!E$19,IF(P64&lt;Bewertung_Stammdaten!G$20,Bewertung_Stammdaten!E$20,Bewertung_Stammdaten!E$21))))))))))</f>
        <v>2.5</v>
      </c>
      <c r="S64" s="43"/>
      <c r="T64" s="11">
        <f ca="1">VLOOKUP(A64,Buchwert_je_Aktie!A$3:AK$103,23,FALSE)</f>
        <v>-3.4589999999999996</v>
      </c>
      <c r="U64" s="11">
        <f>VLOOKUP(A64,Buchwert_je_Aktie!A$3:AK$103,19,FALSE)</f>
        <v>-2.7809999999999997</v>
      </c>
      <c r="V64" s="12">
        <f ca="1">VLOOKUP(A64,Buchwert_je_Aktie!A$3:AK$103,24,FALSE)</f>
        <v>-0.24379719525350585</v>
      </c>
      <c r="W64" s="12">
        <f>VLOOKUP(A64,Buchwert_je_Aktie!A$3:AK$103,37,FALSE)</f>
        <v>-18.076923076923077</v>
      </c>
      <c r="X64" s="16">
        <f t="shared" ca="1" si="16"/>
        <v>-59.069076923076913</v>
      </c>
      <c r="Y64" s="12">
        <f t="shared" si="17"/>
        <v>-99.999989999999997</v>
      </c>
      <c r="Z64" s="51">
        <f ca="1">IF(V64&lt;Bewertung_Stammdaten!B$25,Bewertung_Stammdaten!A$25,IF(V64&lt;Bewertung_Stammdaten!B$26,Bewertung_Stammdaten!A$26,IF(V64&lt;Bewertung_Stammdaten!B$27,Bewertung_Stammdaten!A$27,IF(V64&lt;Bewertung_Stammdaten!B$28,Bewertung_Stammdaten!A$28,IF(V64&lt;Bewertung_Stammdaten!B$29,Bewertung_Stammdaten!A$29,IF(V64&lt;Bewertung_Stammdaten!B$30,Bewertung_Stammdaten!A$30,IF(V64&lt;Bewertung_Stammdaten!B$31,Bewertung_Stammdaten!A$31,IF(V64&lt;Bewertung_Stammdaten!B$32,Bewertung_Stammdaten!A$32,IF(V64&lt;Bewertung_Stammdaten!B$33,Bewertung_Stammdaten!A$33,Bewertung_Stammdaten!A$34)))))))))</f>
        <v>1.5</v>
      </c>
      <c r="AA64" s="51">
        <f>IF(W64&lt;Bewertung_Stammdaten!F$25,Bewertung_Stammdaten!E$25,IF(W64&lt;Bewertung_Stammdaten!F$26,Bewertung_Stammdaten!E$26,IF(W64&lt;Bewertung_Stammdaten!F$27,Bewertung_Stammdaten!E$27,IF(W64&lt;Bewertung_Stammdaten!F$28,Bewertung_Stammdaten!E$28,IF(W64&lt;Bewertung_Stammdaten!F$29,Bewertung_Stammdaten!E$29,IF(W64&lt;Bewertung_Stammdaten!F$30,Bewertung_Stammdaten!E$30,IF(W64&lt;Bewertung_Stammdaten!F$31,Bewertung_Stammdaten!E$31,IF(W64&lt;Bewertung_Stammdaten!F$32,Bewertung_Stammdaten!E$32,IF(W64&lt;Bewertung_Stammdaten!F$33,Bewertung_Stammdaten!E$33,Bewertung_Stammdaten!E$34)))))))))</f>
        <v>1.5</v>
      </c>
      <c r="AB64" s="51">
        <f>IF(Y64&lt;Bewertung_Stammdaten!J$25,Bewertung_Stammdaten!I$25,IF(Y64&lt;Bewertung_Stammdaten!J$26,Bewertung_Stammdaten!I$26,IF(Y64&lt;Bewertung_Stammdaten!J$27,Bewertung_Stammdaten!I$27,IF(Y64&lt;Bewertung_Stammdaten!J$28,Bewertung_Stammdaten!I$28,IF(Y64&lt;Bewertung_Stammdaten!J$29,Bewertung_Stammdaten!I$29,IF(Y64&lt;Bewertung_Stammdaten!J$30,Bewertung_Stammdaten!I$30,IF(Y64&lt;Bewertung_Stammdaten!J$31,Bewertung_Stammdaten!I$31,IF(Y64&lt;Bewertung_Stammdaten!J$32,Bewertung_Stammdaten!I$32,IF(Y64&lt;Bewertung_Stammdaten!J$33,Bewertung_Stammdaten!I$33,Bewertung_Stammdaten!I$34)))))))))</f>
        <v>1</v>
      </c>
      <c r="AC64" s="43"/>
      <c r="AD64" s="14">
        <f ca="1">VLOOKUP(A64,Ergebnis_je_Aktie_verwässert!A$3:AK$103,23,FALSE)</f>
        <v>4.4860000000000007</v>
      </c>
      <c r="AE64" s="14">
        <f>VLOOKUP(A64,Ergebnis_je_Aktie_verwässert!A$3:AK$103,19,FALSE)</f>
        <v>4.2661538461538457</v>
      </c>
      <c r="AF64" s="12">
        <f ca="1">VLOOKUP(A64,Ergebnis_je_Aktie_verwässert!A$3:AK$103,24,FALSE)</f>
        <v>5.1532636134151044E-2</v>
      </c>
      <c r="AG64" s="40">
        <f>VLOOKUP(A64,Ergebnis_je_Aktie_verwässert!A$3:AK$103,37,FALSE)</f>
        <v>-0.1195219123505975</v>
      </c>
      <c r="AH64" s="16">
        <f t="shared" ca="1" si="18"/>
        <v>3.9498247011952201</v>
      </c>
      <c r="AI64" s="12">
        <f t="shared" ca="1" si="19"/>
        <v>-7.4148555435667785E-2</v>
      </c>
      <c r="AJ64" s="32">
        <f ca="1">IF(AF64&lt;Bewertung_Stammdaten!B$38,Bewertung_Stammdaten!A$38,IF(AF64&lt;Bewertung_Stammdaten!B$39,Bewertung_Stammdaten!A$39,IF(AF64&lt;Bewertung_Stammdaten!B$40,Bewertung_Stammdaten!A$40,IF(AF64&lt;Bewertung_Stammdaten!B$41,Bewertung_Stammdaten!A$41,IF(AF64&lt;Bewertung_Stammdaten!B$42,Bewertung_Stammdaten!A$42,IF(AF64&lt;Bewertung_Stammdaten!B$43,Bewertung_Stammdaten!A$43,IF(AF64&lt;Bewertung_Stammdaten!B$44,Bewertung_Stammdaten!A$44,IF(AF64&lt;Bewertung_Stammdaten!B$45,Bewertung_Stammdaten!A$45,IF(AF64&lt;Bewertung_Stammdaten!B$46,Bewertung_Stammdaten!A$46,Bewertung_Stammdaten!A$47)))))))))</f>
        <v>8</v>
      </c>
      <c r="AK64" s="32">
        <f>IF(AG64&lt;Bewertung_Stammdaten!F$38,Bewertung_Stammdaten!E$38,IF(AG64&lt;Bewertung_Stammdaten!F$39,Bewertung_Stammdaten!E$39,IF(AG64&lt;Bewertung_Stammdaten!F$40,Bewertung_Stammdaten!E$40,IF(AG64&lt;Bewertung_Stammdaten!F$41,Bewertung_Stammdaten!E$41,IF(AG64&lt;Bewertung_Stammdaten!F$42,Bewertung_Stammdaten!E$42,IF(AG64&lt;Bewertung_Stammdaten!F$43,Bewertung_Stammdaten!E$43,IF(AG64&lt;Bewertung_Stammdaten!F$44,Bewertung_Stammdaten!E$44,IF(AG64&lt;Bewertung_Stammdaten!F$45,Bewertung_Stammdaten!E$45,IF(AG64&lt;Bewertung_Stammdaten!F$46,Bewertung_Stammdaten!E$46,Bewertung_Stammdaten!E$47)))))))))</f>
        <v>9</v>
      </c>
      <c r="AL64" s="32">
        <f ca="1">IF(AI64&lt;Bewertung_Stammdaten!J$38,Bewertung_Stammdaten!I$38,IF(AI64&lt;Bewertung_Stammdaten!J$39,Bewertung_Stammdaten!I$39,IF(AI64&lt;Bewertung_Stammdaten!J$40,Bewertung_Stammdaten!I$40,IF(AI64&lt;Bewertung_Stammdaten!J$41,Bewertung_Stammdaten!I$41,IF(AI64&lt;Bewertung_Stammdaten!J$42,Bewertung_Stammdaten!I$42,IF(AI64&lt;Bewertung_Stammdaten!J$43,Bewertung_Stammdaten!I$43,IF(AI64&lt;Bewertung_Stammdaten!J$44,Bewertung_Stammdaten!I$44,IF(AI64&lt;Bewertung_Stammdaten!J$45,Bewertung_Stammdaten!I$45,IF(AI64&lt;Bewertung_Stammdaten!J$46,Bewertung_Stammdaten!I$46,Bewertung_Stammdaten!I$47)))))))))</f>
        <v>3</v>
      </c>
      <c r="AM64" s="43"/>
      <c r="AN64" s="14">
        <f ca="1">VLOOKUP(A64,Dividende_je_Aktie!A$3:AM$103,24,FALSE)</f>
        <v>4.1870000000000003</v>
      </c>
      <c r="AO64" s="14">
        <f>VLOOKUP(A64,Dividende_je_Aktie!A$3:AM$103,20,FALSE)</f>
        <v>3.3472727272727272</v>
      </c>
      <c r="AP64" s="12">
        <f ca="1">VLOOKUP(A64,Dividende_je_Aktie!A$3:AM$103,25,FALSE)</f>
        <v>0.25086909288430204</v>
      </c>
      <c r="AQ64" s="40">
        <f>VLOOKUP(A64,Dividende_je_Aktie!A$3:AM$103,39,FALSE)</f>
        <v>2.2277227722772297E-2</v>
      </c>
      <c r="AR64" s="16">
        <f t="shared" ca="1" si="20"/>
        <v>4.1870000000000003</v>
      </c>
      <c r="AS64" s="12">
        <f t="shared" ca="1" si="21"/>
        <v>0.25086909288430204</v>
      </c>
      <c r="AT64" s="32">
        <f ca="1">IF(AP64&lt;Bewertung_Stammdaten!B$51,Bewertung_Stammdaten!A$51,IF(AP64&lt;Bewertung_Stammdaten!B$52,Bewertung_Stammdaten!A$52,IF(AP64&lt;Bewertung_Stammdaten!B$53,Bewertung_Stammdaten!A$53,IF(AP64&lt;Bewertung_Stammdaten!B$54,Bewertung_Stammdaten!A$54,IF(AP64&lt;Bewertung_Stammdaten!B$55,Bewertung_Stammdaten!A$55,IF(AP64&lt;Bewertung_Stammdaten!B$56,Bewertung_Stammdaten!A$56,IF(AP64&lt;Bewertung_Stammdaten!B$57,Bewertung_Stammdaten!A$57,IF(AP64&lt;Bewertung_Stammdaten!B$58,Bewertung_Stammdaten!A$58,IF(AP64&lt;Bewertung_Stammdaten!B$59,Bewertung_Stammdaten!A$59,Bewertung_Stammdaten!A$60)))))))))</f>
        <v>10</v>
      </c>
      <c r="AU64" s="32">
        <f>IF(AQ64&lt;Bewertung_Stammdaten!F$51,Bewertung_Stammdaten!E$51,IF(AQ64&lt;Bewertung_Stammdaten!F$52,Bewertung_Stammdaten!E$52,IF(AQ64&lt;Bewertung_Stammdaten!F$53,Bewertung_Stammdaten!E$53,IF(AQ64&lt;Bewertung_Stammdaten!F$54,Bewertung_Stammdaten!E$54,IF(AQ64&lt;Bewertung_Stammdaten!F$55,Bewertung_Stammdaten!E$55,IF(AQ64&lt;Bewertung_Stammdaten!F$56,Bewertung_Stammdaten!E$56,IF(AQ64&lt;Bewertung_Stammdaten!F$57,Bewertung_Stammdaten!E$57,IF(AQ64&lt;Bewertung_Stammdaten!F$58,Bewertung_Stammdaten!E$58,IF(AQ64&lt;Bewertung_Stammdaten!F$59,Bewertung_Stammdaten!E$59,Bewertung_Stammdaten!E$60)))))))))</f>
        <v>12</v>
      </c>
      <c r="AV64" s="32">
        <f ca="1">IF(AS64&lt;Bewertung_Stammdaten!J$51,Bewertung_Stammdaten!I$51,IF(AS64&lt;Bewertung_Stammdaten!J$52,Bewertung_Stammdaten!I$52,IF(AS64&lt;Bewertung_Stammdaten!J$53,Bewertung_Stammdaten!I$53,IF(AS64&lt;Bewertung_Stammdaten!J$54,Bewertung_Stammdaten!I$54,IF(AS64&lt;Bewertung_Stammdaten!J$55,Bewertung_Stammdaten!I$55,IF(AS64&lt;Bewertung_Stammdaten!J$56,Bewertung_Stammdaten!I$56,IF(AS64&lt;Bewertung_Stammdaten!J$57,Bewertung_Stammdaten!I$57,IF(AS64&lt;Bewertung_Stammdaten!J$58,Bewertung_Stammdaten!I$58,IF(AS64&lt;Bewertung_Stammdaten!J$59,Bewertung_Stammdaten!I$59,Bewertung_Stammdaten!I$60)))))))))</f>
        <v>7</v>
      </c>
      <c r="AW64" s="43"/>
      <c r="AX64" s="12">
        <f ca="1">VLOOKUP(A64,Dividendenrendite!A$3:R$103,17,FALSE)</f>
        <v>4.1504758128469474E-2</v>
      </c>
      <c r="AY64" s="12">
        <f>VLOOKUP(A64,Dividendenrendite!A$3:R$103,16,FALSE)</f>
        <v>4.1667862046131002E-2</v>
      </c>
      <c r="AZ64" s="12">
        <f ca="1">VLOOKUP(A64,Dividendenrendite!A$3:R$103,18,FALSE)</f>
        <v>-3.9143817237600187E-3</v>
      </c>
      <c r="BA64" s="32">
        <f ca="1">IF(AX64&lt;Bewertung_Stammdaten!B$64,Bewertung_Stammdaten!A$64,IF(AX64&lt;Bewertung_Stammdaten!B$65,Bewertung_Stammdaten!A$65,IF(AX64&lt;Bewertung_Stammdaten!B$66,Bewertung_Stammdaten!A$66,IF(AX64&lt;Bewertung_Stammdaten!B$67,Bewertung_Stammdaten!A$67,IF(AX64&lt;Bewertung_Stammdaten!B$68,Bewertung_Stammdaten!A$68,IF(AX64&lt;Bewertung_Stammdaten!B$69,Bewertung_Stammdaten!A$69,IF(AX64&lt;Bewertung_Stammdaten!B$70,Bewertung_Stammdaten!A$70,IF(AX64&lt;Bewertung_Stammdaten!B$71,Bewertung_Stammdaten!A$71,IF(AX64&lt;Bewertung_Stammdaten!B$72,Bewertung_Stammdaten!A$72,Bewertung_Stammdaten!A$73)))))))))</f>
        <v>13.5</v>
      </c>
      <c r="BB64" s="32">
        <f>IF(AY64&lt;Bewertung_Stammdaten!F$64,Bewertung_Stammdaten!E$64,IF(AY64&lt;Bewertung_Stammdaten!F$65,Bewertung_Stammdaten!E$65,IF(AY64&lt;Bewertung_Stammdaten!F$66,Bewertung_Stammdaten!E$66,IF(AY64&lt;Bewertung_Stammdaten!F$67,Bewertung_Stammdaten!E$67,IF(AY64&lt;Bewertung_Stammdaten!F$68,Bewertung_Stammdaten!E$68,IF(AY64&lt;Bewertung_Stammdaten!F$69,Bewertung_Stammdaten!E$69,IF(AY64&lt;Bewertung_Stammdaten!F$70,Bewertung_Stammdaten!E$70,IF(AY64&lt;Bewertung_Stammdaten!F$71,Bewertung_Stammdaten!E$71,IF(AY64&lt;Bewertung_Stammdaten!F$72,Bewertung_Stammdaten!E$72,Bewertung_Stammdaten!E$73)))))))))</f>
        <v>9</v>
      </c>
      <c r="BC64" s="32">
        <f ca="1">IF(AZ64&lt;Bewertung_Stammdaten!J$64,Bewertung_Stammdaten!I$64,IF(AZ64&lt;Bewertung_Stammdaten!J$65,Bewertung_Stammdaten!I$65,IF(AZ64&lt;Bewertung_Stammdaten!J$66,Bewertung_Stammdaten!I$66,IF(AZ64&lt;Bewertung_Stammdaten!J$67,Bewertung_Stammdaten!I$67,IF(AZ64&lt;Bewertung_Stammdaten!J$68,Bewertung_Stammdaten!I$68,IF(AZ64&lt;Bewertung_Stammdaten!J$69,Bewertung_Stammdaten!I$69,IF(AZ64&lt;Bewertung_Stammdaten!J$70,Bewertung_Stammdaten!I$70,IF(AZ64&lt;Bewertung_Stammdaten!J$71,Bewertung_Stammdaten!I$71,IF(AZ64&lt;Bewertung_Stammdaten!J$72,Bewertung_Stammdaten!I$72,Bewertung_Stammdaten!I$73)))))))))</f>
        <v>2.5</v>
      </c>
      <c r="BD64" s="43"/>
      <c r="BE64" s="12">
        <f>VLOOKUP(A64,Aktien_im_Umlauf_splitbereinigt!A$3:AB$103,28,FALSE)</f>
        <v>1.2928248222365823E-3</v>
      </c>
      <c r="BF64" s="12">
        <f>VLOOKUP(A64,Aktien_im_Umlauf_splitbereinigt!A$3:AA$103,26,FALSE)</f>
        <v>-3.5717715625218305E-2</v>
      </c>
      <c r="BG64" s="12">
        <f>VLOOKUP(A64,Aktien_im_Umlauf_splitbereinigt!A$3:AA$103,27,FALSE)</f>
        <v>-1.0361956188856543</v>
      </c>
      <c r="BH64" s="41">
        <f>IF(BE64&lt;Bewertung_Stammdaten!B$77,Bewertung_Stammdaten!A$77,IF(BE64&lt;Bewertung_Stammdaten!B$78,Bewertung_Stammdaten!A$78,IF(BE64&lt;Bewertung_Stammdaten!B$79,Bewertung_Stammdaten!A$79,IF(BE64&lt;Bewertung_Stammdaten!B$80,Bewertung_Stammdaten!A$80,IF(BE64&lt;Bewertung_Stammdaten!B$81,Bewertung_Stammdaten!A$81,IF(BE64&lt;Bewertung_Stammdaten!B$82,Bewertung_Stammdaten!A$82,IF(BE64&lt;Bewertung_Stammdaten!B$83,Bewertung_Stammdaten!A$83,IF(BE64&lt;Bewertung_Stammdaten!B$84,Bewertung_Stammdaten!A$84,IF(BE64&lt;Bewertung_Stammdaten!B$85,Bewertung_Stammdaten!A$85,Bewertung_Stammdaten!A$86)))))))))</f>
        <v>2</v>
      </c>
      <c r="BI64" s="41">
        <f>IF(BF64&lt;Bewertung_Stammdaten!F$77,Bewertung_Stammdaten!E$77,IF(BF64&lt;Bewertung_Stammdaten!F$78,Bewertung_Stammdaten!E$78,IF(BF64&lt;Bewertung_Stammdaten!F$79,Bewertung_Stammdaten!E$79,IF(BF64&lt;Bewertung_Stammdaten!F$80,Bewertung_Stammdaten!E$80,IF(BF64&lt;Bewertung_Stammdaten!F$81,Bewertung_Stammdaten!E$81,IF(BF64&lt;Bewertung_Stammdaten!F$82,Bewertung_Stammdaten!E$82,IF(BF64&lt;Bewertung_Stammdaten!F$83,Bewertung_Stammdaten!E$83,IF(BF64&lt;Bewertung_Stammdaten!F$84,Bewertung_Stammdaten!E$84,IF(BF64&lt;Bewertung_Stammdaten!F$85,Bewertung_Stammdaten!E$85,Bewertung_Stammdaten!E$86)))))))))</f>
        <v>10</v>
      </c>
      <c r="BJ64" s="41">
        <f>IF(BG64&lt;Bewertung_Stammdaten!J$77,Bewertung_Stammdaten!I$77,IF(BG64&lt;Bewertung_Stammdaten!J$78,Bewertung_Stammdaten!I$78,IF(BG64&lt;Bewertung_Stammdaten!J$79,Bewertung_Stammdaten!I$79,IF(BG64&lt;Bewertung_Stammdaten!J$80,Bewertung_Stammdaten!I$80,IF(BG64&lt;Bewertung_Stammdaten!J$81,Bewertung_Stammdaten!I$81,IF(BG64&lt;Bewertung_Stammdaten!J$82,Bewertung_Stammdaten!I$82,IF(BG64&lt;Bewertung_Stammdaten!J$83,Bewertung_Stammdaten!I$83,IF(BG64&lt;Bewertung_Stammdaten!J$84,Bewertung_Stammdaten!I$84,IF(BG64&lt;Bewertung_Stammdaten!J$85,Bewertung_Stammdaten!I$85,Bewertung_Stammdaten!I$86)))))))))</f>
        <v>1</v>
      </c>
      <c r="BK64" s="43"/>
      <c r="BL64" s="12">
        <f ca="1">VLOOKUP(A64,Ausschüttungsquote!A$3:AL$103,37,FALSE)</f>
        <v>0.93420310160838338</v>
      </c>
      <c r="BM64" s="12">
        <f>VLOOKUP(A64,Ausschüttungsquote!A$3:AL$103,19,FALSE)</f>
        <v>1.1119610492688714</v>
      </c>
      <c r="BN64" s="12">
        <f ca="1">VLOOKUP(A64,Ausschüttungsquote!A$3:AL$103,38,FALSE)</f>
        <v>0.27516295239015998</v>
      </c>
      <c r="BO64" s="32">
        <f ca="1">IF(BL64&lt;Bewertung_Stammdaten!B$90,Bewertung_Stammdaten!A$90,IF(BL64&lt;Bewertung_Stammdaten!B$91,Bewertung_Stammdaten!A$91,IF(BL64&lt;Bewertung_Stammdaten!B$92,Bewertung_Stammdaten!A$92,IF(BL64&lt;Bewertung_Stammdaten!B$93,Bewertung_Stammdaten!A$93,IF(BL64&lt;Bewertung_Stammdaten!B$94,Bewertung_Stammdaten!A$94,IF(BL64&lt;Bewertung_Stammdaten!B$95,Bewertung_Stammdaten!A$95,IF(BL64&lt;Bewertung_Stammdaten!B$96,Bewertung_Stammdaten!A$96,IF(BL64&lt;Bewertung_Stammdaten!B$97,Bewertung_Stammdaten!A$97,IF(BL64&lt;Bewertung_Stammdaten!B$98,Bewertung_Stammdaten!A$98,Bewertung_Stammdaten!A$99)))))))))</f>
        <v>1</v>
      </c>
      <c r="BP64" s="41">
        <f>IF(BM64&lt;Bewertung_Stammdaten!F$90,Bewertung_Stammdaten!E$90,IF(BM64&lt;Bewertung_Stammdaten!F$91,Bewertung_Stammdaten!E$91,IF(BM64&lt;Bewertung_Stammdaten!F$92,Bewertung_Stammdaten!E$92,IF(BM64&lt;Bewertung_Stammdaten!F$93,Bewertung_Stammdaten!E$93,IF(BM64&lt;Bewertung_Stammdaten!F$94,Bewertung_Stammdaten!E$94,IF(BM64&lt;Bewertung_Stammdaten!F$95,Bewertung_Stammdaten!E$95,IF(BM64&lt;Bewertung_Stammdaten!F$96,Bewertung_Stammdaten!E$96,IF(BM64&lt;Bewertung_Stammdaten!F$97,Bewertung_Stammdaten!E$97,IF(BM64&lt;Bewertung_Stammdaten!F$98,Bewertung_Stammdaten!E$98,Bewertung_Stammdaten!E$99)))))))))</f>
        <v>1</v>
      </c>
      <c r="BQ64" s="32">
        <f ca="1">IF(BN64&lt;Bewertung_Stammdaten!J$90,Bewertung_Stammdaten!I$90,IF(BN64&lt;Bewertung_Stammdaten!J$91,Bewertung_Stammdaten!I$91,IF(BN64&lt;Bewertung_Stammdaten!J$92,Bewertung_Stammdaten!I$92,IF(BN64&lt;Bewertung_Stammdaten!J$93,Bewertung_Stammdaten!I$93,IF(BN64&lt;Bewertung_Stammdaten!J$94,Bewertung_Stammdaten!I$94,IF(BN64&lt;Bewertung_Stammdaten!J$95,Bewertung_Stammdaten!I$95,IF(BN64&lt;Bewertung_Stammdaten!J$96,Bewertung_Stammdaten!I$96,IF(BN64&lt;Bewertung_Stammdaten!J$97,Bewertung_Stammdaten!I$97,IF(BN64&lt;Bewertung_Stammdaten!J$98,Bewertung_Stammdaten!I$98,Bewertung_Stammdaten!I$99)))))))))</f>
        <v>1</v>
      </c>
    </row>
    <row r="65" spans="1:69">
      <c r="A65" s="38" t="s">
        <v>26</v>
      </c>
      <c r="B65" s="38" t="s">
        <v>27</v>
      </c>
      <c r="C65" s="38" t="s">
        <v>283</v>
      </c>
      <c r="D65" s="32">
        <f t="shared" ca="1" si="11"/>
        <v>96</v>
      </c>
      <c r="E65" s="43"/>
      <c r="F65" s="60">
        <v>1</v>
      </c>
      <c r="G65" s="11">
        <f ca="1">VLOOKUP(A65,KGV!A$3:R$103,17,FALSE)</f>
        <v>13.179378531073446</v>
      </c>
      <c r="H65" s="11">
        <f>VLOOKUP(A65,KGV!A$3:R$103,16,FALSE)</f>
        <v>12.441333333333333</v>
      </c>
      <c r="I65" s="12">
        <f ca="1">VLOOKUP(A65,KGV!A$3:R$103,18,FALSE)</f>
        <v>5.9322033898305149E-2</v>
      </c>
      <c r="J65" s="16">
        <f t="shared" ca="1" si="12"/>
        <v>24.711334745762713</v>
      </c>
      <c r="K65" s="12">
        <f t="shared" ca="1" si="13"/>
        <v>0.98622881355932224</v>
      </c>
      <c r="L65" s="11">
        <f ca="1">VLOOKUP(A65,KBV!A$3:R$103,17,FALSE)</f>
        <v>2.0435830048182213</v>
      </c>
      <c r="M65" s="11">
        <f>VLOOKUP(A65,KBV!A$3:R$103,16,FALSE)</f>
        <v>3.3111111111111109</v>
      </c>
      <c r="N65" s="12">
        <f ca="1">VLOOKUP(A65,KBV!A$3:R$103,18,FALSE)</f>
        <v>-0.38281050190053711</v>
      </c>
      <c r="O65" s="16">
        <f t="shared" ca="1" si="14"/>
        <v>2.571508614396262</v>
      </c>
      <c r="P65" s="12">
        <f t="shared" ca="1" si="15"/>
        <v>-0.22336988155817583</v>
      </c>
      <c r="Q65" s="32">
        <f ca="1">IF(F65=1,IF(I65&lt;Bewertung_Stammdaten!B$12,Bewertung_Stammdaten!A$12,IF(I65&lt;Bewertung_Stammdaten!B$13,Bewertung_Stammdaten!A$13,IF(I65&lt;Bewertung_Stammdaten!B$14,Bewertung_Stammdaten!A$14,IF(I65&lt;Bewertung_Stammdaten!B$15,Bewertung_Stammdaten!A$15,IF(I65&lt;Bewertung_Stammdaten!B$16,Bewertung_Stammdaten!A$16,IF(I65&lt;Bewertung_Stammdaten!B$17,Bewertung_Stammdaten!A$17,IF(I65&lt;Bewertung_Stammdaten!B$18,Bewertung_Stammdaten!A$18,IF(I65&lt;Bewertung_Stammdaten!B$19,Bewertung_Stammdaten!A$19,IF(I65&lt;Bewertung_Stammdaten!B$20,Bewertung_Stammdaten!A$20,Bewertung_Stammdaten!A$21))))))))),IF(N65&lt;Bewertung_Stammdaten!C$12,Bewertung_Stammdaten!A$12,IF(N65&lt;Bewertung_Stammdaten!C$13,Bewertung_Stammdaten!A$13,IF(N65&lt;Bewertung_Stammdaten!C$14,Bewertung_Stammdaten!A$14,IF(N65&lt;Bewertung_Stammdaten!C$15,Bewertung_Stammdaten!A$15,IF(N65&lt;Bewertung_Stammdaten!C$16,Bewertung_Stammdaten!A$16,IF(N65&lt;Bewertung_Stammdaten!C$17,Bewertung_Stammdaten!A$17,IF(N65&lt;Bewertung_Stammdaten!C$18,Bewertung_Stammdaten!A$18,IF(N65&lt;Bewertung_Stammdaten!C$19,Bewertung_Stammdaten!A$19,IF(N65&lt;Bewertung_Stammdaten!C$20,Bewertung_Stammdaten!A$20,Bewertung_Stammdaten!A$21))))))))))</f>
        <v>30</v>
      </c>
      <c r="R65" s="32">
        <f ca="1">IF(F65=1,IF(K65&lt;Bewertung_Stammdaten!F$12,Bewertung_Stammdaten!E$12,IF(K65&lt;Bewertung_Stammdaten!F$13,Bewertung_Stammdaten!E$13,IF(K65&lt;Bewertung_Stammdaten!F$14,Bewertung_Stammdaten!E$14,IF(K65&lt;Bewertung_Stammdaten!F$15,Bewertung_Stammdaten!E$15,IF(K65&lt;Bewertung_Stammdaten!F$16,Bewertung_Stammdaten!E$16,IF(K65&lt;Bewertung_Stammdaten!F$17,Bewertung_Stammdaten!E$17,IF(K65&lt;Bewertung_Stammdaten!F$18,Bewertung_Stammdaten!E$18,IF(K65&lt;Bewertung_Stammdaten!F$19,Bewertung_Stammdaten!E$19,IF(K65&lt;Bewertung_Stammdaten!F$20,Bewertung_Stammdaten!E$20,Bewertung_Stammdaten!E$21))))))))),IF(P65&lt;Bewertung_Stammdaten!G$12,Bewertung_Stammdaten!E$12,IF(P65&lt;Bewertung_Stammdaten!G$13,Bewertung_Stammdaten!E$13,IF(P65&lt;Bewertung_Stammdaten!G$14,Bewertung_Stammdaten!E$14,IF(P65&lt;Bewertung_Stammdaten!G$15,Bewertung_Stammdaten!E$15,IF(P65&lt;Bewertung_Stammdaten!G$16,Bewertung_Stammdaten!E$16,IF(P65&lt;Bewertung_Stammdaten!G$17,Bewertung_Stammdaten!E$17,IF(P65&lt;Bewertung_Stammdaten!G$18,Bewertung_Stammdaten!E$18,IF(P65&lt;Bewertung_Stammdaten!G$19,Bewertung_Stammdaten!E$19,IF(P65&lt;Bewertung_Stammdaten!G$20,Bewertung_Stammdaten!E$20,Bewertung_Stammdaten!E$21))))))))))</f>
        <v>2.5</v>
      </c>
      <c r="S65" s="43"/>
      <c r="T65" s="11">
        <f ca="1">VLOOKUP(A65,Buchwert_je_Aktie!A$3:AK$103,23,FALSE)</f>
        <v>4.5660000000000007</v>
      </c>
      <c r="U65" s="11">
        <f>VLOOKUP(A65,Buchwert_je_Aktie!A$3:AK$103,19,FALSE)</f>
        <v>4.4484615384615376</v>
      </c>
      <c r="V65" s="12">
        <f ca="1">VLOOKUP(A65,Buchwert_je_Aktie!A$3:AK$103,24,FALSE)</f>
        <v>2.6422272177071049E-2</v>
      </c>
      <c r="W65" s="12">
        <f>VLOOKUP(A65,Buchwert_je_Aktie!A$3:AK$103,37,FALSE)</f>
        <v>-0.20529801324503316</v>
      </c>
      <c r="X65" s="16">
        <f t="shared" ca="1" si="16"/>
        <v>3.628609271523179</v>
      </c>
      <c r="Y65" s="12">
        <f t="shared" ca="1" si="17"/>
        <v>-0.18430018105133428</v>
      </c>
      <c r="Z65" s="51">
        <f ca="1">IF(V65&lt;Bewertung_Stammdaten!B$25,Bewertung_Stammdaten!A$25,IF(V65&lt;Bewertung_Stammdaten!B$26,Bewertung_Stammdaten!A$26,IF(V65&lt;Bewertung_Stammdaten!B$27,Bewertung_Stammdaten!A$27,IF(V65&lt;Bewertung_Stammdaten!B$28,Bewertung_Stammdaten!A$28,IF(V65&lt;Bewertung_Stammdaten!B$29,Bewertung_Stammdaten!A$29,IF(V65&lt;Bewertung_Stammdaten!B$30,Bewertung_Stammdaten!A$30,IF(V65&lt;Bewertung_Stammdaten!B$31,Bewertung_Stammdaten!A$31,IF(V65&lt;Bewertung_Stammdaten!B$32,Bewertung_Stammdaten!A$32,IF(V65&lt;Bewertung_Stammdaten!B$33,Bewertung_Stammdaten!A$33,Bewertung_Stammdaten!A$34)))))))))</f>
        <v>4.5</v>
      </c>
      <c r="AA65" s="51">
        <f>IF(W65&lt;Bewertung_Stammdaten!F$25,Bewertung_Stammdaten!E$25,IF(W65&lt;Bewertung_Stammdaten!F$26,Bewertung_Stammdaten!E$26,IF(W65&lt;Bewertung_Stammdaten!F$27,Bewertung_Stammdaten!E$27,IF(W65&lt;Bewertung_Stammdaten!F$28,Bewertung_Stammdaten!E$28,IF(W65&lt;Bewertung_Stammdaten!F$29,Bewertung_Stammdaten!E$29,IF(W65&lt;Bewertung_Stammdaten!F$30,Bewertung_Stammdaten!E$30,IF(W65&lt;Bewertung_Stammdaten!F$31,Bewertung_Stammdaten!E$31,IF(W65&lt;Bewertung_Stammdaten!F$32,Bewertung_Stammdaten!E$32,IF(W65&lt;Bewertung_Stammdaten!F$33,Bewertung_Stammdaten!E$33,Bewertung_Stammdaten!E$34)))))))))</f>
        <v>4.5</v>
      </c>
      <c r="AB65" s="51">
        <f ca="1">IF(Y65&lt;Bewertung_Stammdaten!J$25,Bewertung_Stammdaten!I$25,IF(Y65&lt;Bewertung_Stammdaten!J$26,Bewertung_Stammdaten!I$26,IF(Y65&lt;Bewertung_Stammdaten!J$27,Bewertung_Stammdaten!I$27,IF(Y65&lt;Bewertung_Stammdaten!J$28,Bewertung_Stammdaten!I$28,IF(Y65&lt;Bewertung_Stammdaten!J$29,Bewertung_Stammdaten!I$29,IF(Y65&lt;Bewertung_Stammdaten!J$30,Bewertung_Stammdaten!I$30,IF(Y65&lt;Bewertung_Stammdaten!J$31,Bewertung_Stammdaten!I$31,IF(Y65&lt;Bewertung_Stammdaten!J$32,Bewertung_Stammdaten!I$32,IF(Y65&lt;Bewertung_Stammdaten!J$33,Bewertung_Stammdaten!I$33,Bewertung_Stammdaten!I$34)))))))))</f>
        <v>1</v>
      </c>
      <c r="AC65" s="43"/>
      <c r="AD65" s="14">
        <f ca="1">VLOOKUP(A65,Ergebnis_je_Aktie_verwässert!A$3:AK$103,23,FALSE)</f>
        <v>0.70799999999999996</v>
      </c>
      <c r="AE65" s="14">
        <f>VLOOKUP(A65,Ergebnis_je_Aktie_verwässert!A$3:AK$103,19,FALSE)</f>
        <v>1.1715384615384616</v>
      </c>
      <c r="AF65" s="12">
        <f ca="1">VLOOKUP(A65,Ergebnis_je_Aktie_verwässert!A$3:AK$103,24,FALSE)</f>
        <v>-0.39566644780039406</v>
      </c>
      <c r="AG65" s="40">
        <f>VLOOKUP(A65,Ergebnis_je_Aktie_verwässert!A$3:AK$103,37,FALSE)</f>
        <v>-0.46666666666666667</v>
      </c>
      <c r="AH65" s="16">
        <f t="shared" ca="1" si="18"/>
        <v>0.37759999999999999</v>
      </c>
      <c r="AI65" s="12">
        <f t="shared" ca="1" si="19"/>
        <v>-0.67768877216021017</v>
      </c>
      <c r="AJ65" s="32">
        <f ca="1">IF(AF65&lt;Bewertung_Stammdaten!B$38,Bewertung_Stammdaten!A$38,IF(AF65&lt;Bewertung_Stammdaten!B$39,Bewertung_Stammdaten!A$39,IF(AF65&lt;Bewertung_Stammdaten!B$40,Bewertung_Stammdaten!A$40,IF(AF65&lt;Bewertung_Stammdaten!B$41,Bewertung_Stammdaten!A$41,IF(AF65&lt;Bewertung_Stammdaten!B$42,Bewertung_Stammdaten!A$42,IF(AF65&lt;Bewertung_Stammdaten!B$43,Bewertung_Stammdaten!A$43,IF(AF65&lt;Bewertung_Stammdaten!B$44,Bewertung_Stammdaten!A$44,IF(AF65&lt;Bewertung_Stammdaten!B$45,Bewertung_Stammdaten!A$45,IF(AF65&lt;Bewertung_Stammdaten!B$46,Bewertung_Stammdaten!A$46,Bewertung_Stammdaten!A$47)))))))))</f>
        <v>2</v>
      </c>
      <c r="AK65" s="32">
        <f>IF(AG65&lt;Bewertung_Stammdaten!F$38,Bewertung_Stammdaten!E$38,IF(AG65&lt;Bewertung_Stammdaten!F$39,Bewertung_Stammdaten!E$39,IF(AG65&lt;Bewertung_Stammdaten!F$40,Bewertung_Stammdaten!E$40,IF(AG65&lt;Bewertung_Stammdaten!F$41,Bewertung_Stammdaten!E$41,IF(AG65&lt;Bewertung_Stammdaten!F$42,Bewertung_Stammdaten!E$42,IF(AG65&lt;Bewertung_Stammdaten!F$43,Bewertung_Stammdaten!E$43,IF(AG65&lt;Bewertung_Stammdaten!F$44,Bewertung_Stammdaten!E$44,IF(AG65&lt;Bewertung_Stammdaten!F$45,Bewertung_Stammdaten!E$45,IF(AG65&lt;Bewertung_Stammdaten!F$46,Bewertung_Stammdaten!E$46,Bewertung_Stammdaten!E$47)))))))))</f>
        <v>4.5</v>
      </c>
      <c r="AL65" s="32">
        <f ca="1">IF(AI65&lt;Bewertung_Stammdaten!J$38,Bewertung_Stammdaten!I$38,IF(AI65&lt;Bewertung_Stammdaten!J$39,Bewertung_Stammdaten!I$39,IF(AI65&lt;Bewertung_Stammdaten!J$40,Bewertung_Stammdaten!I$40,IF(AI65&lt;Bewertung_Stammdaten!J$41,Bewertung_Stammdaten!I$41,IF(AI65&lt;Bewertung_Stammdaten!J$42,Bewertung_Stammdaten!I$42,IF(AI65&lt;Bewertung_Stammdaten!J$43,Bewertung_Stammdaten!I$43,IF(AI65&lt;Bewertung_Stammdaten!J$44,Bewertung_Stammdaten!I$44,IF(AI65&lt;Bewertung_Stammdaten!J$45,Bewertung_Stammdaten!I$45,IF(AI65&lt;Bewertung_Stammdaten!J$46,Bewertung_Stammdaten!I$46,Bewertung_Stammdaten!I$47)))))))))</f>
        <v>1</v>
      </c>
      <c r="AM65" s="43"/>
      <c r="AN65" s="14">
        <f ca="1">VLOOKUP(A65,Dividende_je_Aktie!A$3:AM$103,24,FALSE)</f>
        <v>0.70699999999999996</v>
      </c>
      <c r="AO65" s="14">
        <f>VLOOKUP(A65,Dividende_je_Aktie!A$3:AM$103,20,FALSE)</f>
        <v>0.78214285714285736</v>
      </c>
      <c r="AP65" s="12">
        <f ca="1">VLOOKUP(A65,Dividende_je_Aktie!A$3:AM$103,25,FALSE)</f>
        <v>-9.607305936073085E-2</v>
      </c>
      <c r="AQ65" s="40">
        <f>VLOOKUP(A65,Dividende_je_Aktie!A$3:AM$103,39,FALSE)</f>
        <v>-0.46666666666666667</v>
      </c>
      <c r="AR65" s="16">
        <f t="shared" ca="1" si="20"/>
        <v>0.37706666666666666</v>
      </c>
      <c r="AS65" s="12">
        <f t="shared" ca="1" si="21"/>
        <v>-0.51790563165905645</v>
      </c>
      <c r="AT65" s="32">
        <f ca="1">IF(AP65&lt;Bewertung_Stammdaten!B$51,Bewertung_Stammdaten!A$51,IF(AP65&lt;Bewertung_Stammdaten!B$52,Bewertung_Stammdaten!A$52,IF(AP65&lt;Bewertung_Stammdaten!B$53,Bewertung_Stammdaten!A$53,IF(AP65&lt;Bewertung_Stammdaten!B$54,Bewertung_Stammdaten!A$54,IF(AP65&lt;Bewertung_Stammdaten!B$55,Bewertung_Stammdaten!A$55,IF(AP65&lt;Bewertung_Stammdaten!B$56,Bewertung_Stammdaten!A$56,IF(AP65&lt;Bewertung_Stammdaten!B$57,Bewertung_Stammdaten!A$57,IF(AP65&lt;Bewertung_Stammdaten!B$58,Bewertung_Stammdaten!A$58,IF(AP65&lt;Bewertung_Stammdaten!B$59,Bewertung_Stammdaten!A$59,Bewertung_Stammdaten!A$60)))))))))</f>
        <v>4</v>
      </c>
      <c r="AU65" s="32">
        <f>IF(AQ65&lt;Bewertung_Stammdaten!F$51,Bewertung_Stammdaten!E$51,IF(AQ65&lt;Bewertung_Stammdaten!F$52,Bewertung_Stammdaten!E$52,IF(AQ65&lt;Bewertung_Stammdaten!F$53,Bewertung_Stammdaten!E$53,IF(AQ65&lt;Bewertung_Stammdaten!F$54,Bewertung_Stammdaten!E$54,IF(AQ65&lt;Bewertung_Stammdaten!F$55,Bewertung_Stammdaten!E$55,IF(AQ65&lt;Bewertung_Stammdaten!F$56,Bewertung_Stammdaten!E$56,IF(AQ65&lt;Bewertung_Stammdaten!F$57,Bewertung_Stammdaten!E$57,IF(AQ65&lt;Bewertung_Stammdaten!F$58,Bewertung_Stammdaten!E$58,IF(AQ65&lt;Bewertung_Stammdaten!F$59,Bewertung_Stammdaten!E$59,Bewertung_Stammdaten!E$60)))))))))</f>
        <v>4.5</v>
      </c>
      <c r="AV65" s="32">
        <f ca="1">IF(AS65&lt;Bewertung_Stammdaten!J$51,Bewertung_Stammdaten!I$51,IF(AS65&lt;Bewertung_Stammdaten!J$52,Bewertung_Stammdaten!I$52,IF(AS65&lt;Bewertung_Stammdaten!J$53,Bewertung_Stammdaten!I$53,IF(AS65&lt;Bewertung_Stammdaten!J$54,Bewertung_Stammdaten!I$54,IF(AS65&lt;Bewertung_Stammdaten!J$55,Bewertung_Stammdaten!I$55,IF(AS65&lt;Bewertung_Stammdaten!J$56,Bewertung_Stammdaten!I$56,IF(AS65&lt;Bewertung_Stammdaten!J$57,Bewertung_Stammdaten!I$57,IF(AS65&lt;Bewertung_Stammdaten!J$58,Bewertung_Stammdaten!I$58,IF(AS65&lt;Bewertung_Stammdaten!J$59,Bewertung_Stammdaten!I$59,Bewertung_Stammdaten!I$60)))))))))</f>
        <v>1</v>
      </c>
      <c r="AW65" s="43"/>
      <c r="AX65" s="12">
        <f ca="1">VLOOKUP(A65,Dividendenrendite!A$3:R$103,17,FALSE)</f>
        <v>7.5768942235558884E-2</v>
      </c>
      <c r="AY65" s="12">
        <f>VLOOKUP(A65,Dividendenrendite!A$3:R$103,16,FALSE)</f>
        <v>5.9066384659865794E-2</v>
      </c>
      <c r="AZ65" s="12">
        <f ca="1">VLOOKUP(A65,Dividendenrendite!A$3:R$103,18,FALSE)</f>
        <v>0.28277602687001901</v>
      </c>
      <c r="BA65" s="32">
        <f ca="1">IF(AX65&lt;Bewertung_Stammdaten!B$64,Bewertung_Stammdaten!A$64,IF(AX65&lt;Bewertung_Stammdaten!B$65,Bewertung_Stammdaten!A$65,IF(AX65&lt;Bewertung_Stammdaten!B$66,Bewertung_Stammdaten!A$66,IF(AX65&lt;Bewertung_Stammdaten!B$67,Bewertung_Stammdaten!A$67,IF(AX65&lt;Bewertung_Stammdaten!B$68,Bewertung_Stammdaten!A$68,IF(AX65&lt;Bewertung_Stammdaten!B$69,Bewertung_Stammdaten!A$69,IF(AX65&lt;Bewertung_Stammdaten!B$70,Bewertung_Stammdaten!A$70,IF(AX65&lt;Bewertung_Stammdaten!B$71,Bewertung_Stammdaten!A$71,IF(AX65&lt;Bewertung_Stammdaten!B$72,Bewertung_Stammdaten!A$72,Bewertung_Stammdaten!A$73)))))))))</f>
        <v>15</v>
      </c>
      <c r="BB65" s="32">
        <f>IF(AY65&lt;Bewertung_Stammdaten!F$64,Bewertung_Stammdaten!E$64,IF(AY65&lt;Bewertung_Stammdaten!F$65,Bewertung_Stammdaten!E$65,IF(AY65&lt;Bewertung_Stammdaten!F$66,Bewertung_Stammdaten!E$66,IF(AY65&lt;Bewertung_Stammdaten!F$67,Bewertung_Stammdaten!E$67,IF(AY65&lt;Bewertung_Stammdaten!F$68,Bewertung_Stammdaten!E$68,IF(AY65&lt;Bewertung_Stammdaten!F$69,Bewertung_Stammdaten!E$69,IF(AY65&lt;Bewertung_Stammdaten!F$70,Bewertung_Stammdaten!E$70,IF(AY65&lt;Bewertung_Stammdaten!F$71,Bewertung_Stammdaten!E$71,IF(AY65&lt;Bewertung_Stammdaten!F$72,Bewertung_Stammdaten!E$72,Bewertung_Stammdaten!E$73)))))))))</f>
        <v>10</v>
      </c>
      <c r="BC65" s="32">
        <f ca="1">IF(AZ65&lt;Bewertung_Stammdaten!J$64,Bewertung_Stammdaten!I$64,IF(AZ65&lt;Bewertung_Stammdaten!J$65,Bewertung_Stammdaten!I$65,IF(AZ65&lt;Bewertung_Stammdaten!J$66,Bewertung_Stammdaten!I$66,IF(AZ65&lt;Bewertung_Stammdaten!J$67,Bewertung_Stammdaten!I$67,IF(AZ65&lt;Bewertung_Stammdaten!J$68,Bewertung_Stammdaten!I$68,IF(AZ65&lt;Bewertung_Stammdaten!J$69,Bewertung_Stammdaten!I$69,IF(AZ65&lt;Bewertung_Stammdaten!J$70,Bewertung_Stammdaten!I$70,IF(AZ65&lt;Bewertung_Stammdaten!J$71,Bewertung_Stammdaten!I$71,IF(AZ65&lt;Bewertung_Stammdaten!J$72,Bewertung_Stammdaten!I$72,Bewertung_Stammdaten!I$73)))))))))</f>
        <v>5</v>
      </c>
      <c r="BD65" s="43"/>
      <c r="BE65" s="12">
        <f>VLOOKUP(A65,Aktien_im_Umlauf_splitbereinigt!A$3:AB$103,28,FALSE)</f>
        <v>6.8284303199484642E-2</v>
      </c>
      <c r="BF65" s="12">
        <f>VLOOKUP(A65,Aktien_im_Umlauf_splitbereinigt!A$3:AA$103,26,FALSE)</f>
        <v>1.4570528141645278E-3</v>
      </c>
      <c r="BG65" s="12">
        <f>VLOOKUP(A65,Aktien_im_Umlauf_splitbereinigt!A$3:AA$103,27,FALSE)</f>
        <v>-99.999989999999997</v>
      </c>
      <c r="BH65" s="41">
        <f>IF(BE65&lt;Bewertung_Stammdaten!B$77,Bewertung_Stammdaten!A$77,IF(BE65&lt;Bewertung_Stammdaten!B$78,Bewertung_Stammdaten!A$78,IF(BE65&lt;Bewertung_Stammdaten!B$79,Bewertung_Stammdaten!A$79,IF(BE65&lt;Bewertung_Stammdaten!B$80,Bewertung_Stammdaten!A$80,IF(BE65&lt;Bewertung_Stammdaten!B$81,Bewertung_Stammdaten!A$81,IF(BE65&lt;Bewertung_Stammdaten!B$82,Bewertung_Stammdaten!A$82,IF(BE65&lt;Bewertung_Stammdaten!B$83,Bewertung_Stammdaten!A$83,IF(BE65&lt;Bewertung_Stammdaten!B$84,Bewertung_Stammdaten!A$84,IF(BE65&lt;Bewertung_Stammdaten!B$85,Bewertung_Stammdaten!A$85,Bewertung_Stammdaten!A$86)))))))))</f>
        <v>1</v>
      </c>
      <c r="BI65" s="41">
        <f>IF(BF65&lt;Bewertung_Stammdaten!F$77,Bewertung_Stammdaten!E$77,IF(BF65&lt;Bewertung_Stammdaten!F$78,Bewertung_Stammdaten!E$78,IF(BF65&lt;Bewertung_Stammdaten!F$79,Bewertung_Stammdaten!E$79,IF(BF65&lt;Bewertung_Stammdaten!F$80,Bewertung_Stammdaten!E$80,IF(BF65&lt;Bewertung_Stammdaten!F$81,Bewertung_Stammdaten!E$81,IF(BF65&lt;Bewertung_Stammdaten!F$82,Bewertung_Stammdaten!E$82,IF(BF65&lt;Bewertung_Stammdaten!F$83,Bewertung_Stammdaten!E$83,IF(BF65&lt;Bewertung_Stammdaten!F$84,Bewertung_Stammdaten!E$84,IF(BF65&lt;Bewertung_Stammdaten!F$85,Bewertung_Stammdaten!E$85,Bewertung_Stammdaten!E$86)))))))))</f>
        <v>2</v>
      </c>
      <c r="BJ65" s="41">
        <f>IF(BG65&lt;Bewertung_Stammdaten!J$77,Bewertung_Stammdaten!I$77,IF(BG65&lt;Bewertung_Stammdaten!J$78,Bewertung_Stammdaten!I$78,IF(BG65&lt;Bewertung_Stammdaten!J$79,Bewertung_Stammdaten!I$79,IF(BG65&lt;Bewertung_Stammdaten!J$80,Bewertung_Stammdaten!I$80,IF(BG65&lt;Bewertung_Stammdaten!J$81,Bewertung_Stammdaten!I$81,IF(BG65&lt;Bewertung_Stammdaten!J$82,Bewertung_Stammdaten!I$82,IF(BG65&lt;Bewertung_Stammdaten!J$83,Bewertung_Stammdaten!I$83,IF(BG65&lt;Bewertung_Stammdaten!J$84,Bewertung_Stammdaten!I$84,IF(BG65&lt;Bewertung_Stammdaten!J$85,Bewertung_Stammdaten!I$85,Bewertung_Stammdaten!I$86)))))))))</f>
        <v>0.5</v>
      </c>
      <c r="BK65" s="43"/>
      <c r="BL65" s="12">
        <f ca="1">VLOOKUP(A65,Ausschüttungsquote!A$3:AL$103,37,FALSE)</f>
        <v>1.0002898550724637</v>
      </c>
      <c r="BM65" s="12">
        <f>VLOOKUP(A65,Ausschüttungsquote!A$3:AL$103,19,FALSE)</f>
        <v>0.82365732928286428</v>
      </c>
      <c r="BN65" s="12">
        <f ca="1">VLOOKUP(A65,Ausschüttungsquote!A$3:AL$103,38,FALSE)</f>
        <v>0.33521497838189096</v>
      </c>
      <c r="BO65" s="32">
        <f ca="1">IF(BL65&lt;Bewertung_Stammdaten!B$90,Bewertung_Stammdaten!A$90,IF(BL65&lt;Bewertung_Stammdaten!B$91,Bewertung_Stammdaten!A$91,IF(BL65&lt;Bewertung_Stammdaten!B$92,Bewertung_Stammdaten!A$92,IF(BL65&lt;Bewertung_Stammdaten!B$93,Bewertung_Stammdaten!A$93,IF(BL65&lt;Bewertung_Stammdaten!B$94,Bewertung_Stammdaten!A$94,IF(BL65&lt;Bewertung_Stammdaten!B$95,Bewertung_Stammdaten!A$95,IF(BL65&lt;Bewertung_Stammdaten!B$96,Bewertung_Stammdaten!A$96,IF(BL65&lt;Bewertung_Stammdaten!B$97,Bewertung_Stammdaten!A$97,IF(BL65&lt;Bewertung_Stammdaten!B$98,Bewertung_Stammdaten!A$98,Bewertung_Stammdaten!A$99)))))))))</f>
        <v>1</v>
      </c>
      <c r="BP65" s="41">
        <f>IF(BM65&lt;Bewertung_Stammdaten!F$90,Bewertung_Stammdaten!E$90,IF(BM65&lt;Bewertung_Stammdaten!F$91,Bewertung_Stammdaten!E$91,IF(BM65&lt;Bewertung_Stammdaten!F$92,Bewertung_Stammdaten!E$92,IF(BM65&lt;Bewertung_Stammdaten!F$93,Bewertung_Stammdaten!E$93,IF(BM65&lt;Bewertung_Stammdaten!F$94,Bewertung_Stammdaten!E$94,IF(BM65&lt;Bewertung_Stammdaten!F$95,Bewertung_Stammdaten!E$95,IF(BM65&lt;Bewertung_Stammdaten!F$96,Bewertung_Stammdaten!E$96,IF(BM65&lt;Bewertung_Stammdaten!F$97,Bewertung_Stammdaten!E$97,IF(BM65&lt;Bewertung_Stammdaten!F$98,Bewertung_Stammdaten!E$98,Bewertung_Stammdaten!E$99)))))))))</f>
        <v>1</v>
      </c>
      <c r="BQ65" s="32">
        <f ca="1">IF(BN65&lt;Bewertung_Stammdaten!J$90,Bewertung_Stammdaten!I$90,IF(BN65&lt;Bewertung_Stammdaten!J$91,Bewertung_Stammdaten!I$91,IF(BN65&lt;Bewertung_Stammdaten!J$92,Bewertung_Stammdaten!I$92,IF(BN65&lt;Bewertung_Stammdaten!J$93,Bewertung_Stammdaten!I$93,IF(BN65&lt;Bewertung_Stammdaten!J$94,Bewertung_Stammdaten!I$94,IF(BN65&lt;Bewertung_Stammdaten!J$95,Bewertung_Stammdaten!I$95,IF(BN65&lt;Bewertung_Stammdaten!J$96,Bewertung_Stammdaten!I$96,IF(BN65&lt;Bewertung_Stammdaten!J$97,Bewertung_Stammdaten!I$97,IF(BN65&lt;Bewertung_Stammdaten!J$98,Bewertung_Stammdaten!I$98,Bewertung_Stammdaten!I$99)))))))))</f>
        <v>1</v>
      </c>
    </row>
    <row r="66" spans="1:69">
      <c r="A66" s="38" t="s">
        <v>44</v>
      </c>
      <c r="B66" s="38" t="s">
        <v>45</v>
      </c>
      <c r="C66" s="38" t="s">
        <v>283</v>
      </c>
      <c r="D66" s="32">
        <f t="shared" ca="1" si="11"/>
        <v>92.5</v>
      </c>
      <c r="E66" s="43"/>
      <c r="F66" s="60">
        <v>1</v>
      </c>
      <c r="G66" s="11">
        <f ca="1">VLOOKUP(A66,KGV!A$3:R$103,17,FALSE)</f>
        <v>20.720053835800812</v>
      </c>
      <c r="H66" s="11">
        <f>VLOOKUP(A66,KGV!A$3:R$103,16,FALSE)</f>
        <v>17.208294930875574</v>
      </c>
      <c r="I66" s="12">
        <f ca="1">VLOOKUP(A66,KGV!A$3:R$103,18,FALSE)</f>
        <v>0.20407361211739494</v>
      </c>
      <c r="J66" s="16">
        <f t="shared" ca="1" si="12"/>
        <v>35.285636235225141</v>
      </c>
      <c r="K66" s="12">
        <f t="shared" ca="1" si="13"/>
        <v>1.0505015968731874</v>
      </c>
      <c r="L66" s="11">
        <f ca="1">VLOOKUP(A66,KBV!A$3:R$103,17,FALSE)</f>
        <v>3.1415161718192022</v>
      </c>
      <c r="M66" s="11">
        <f>VLOOKUP(A66,KBV!A$3:R$103,16,FALSE)</f>
        <v>2.4112595419847325</v>
      </c>
      <c r="N66" s="12">
        <f ca="1">VLOOKUP(A66,KBV!A$3:R$103,18,FALSE)</f>
        <v>0.30285276931797567</v>
      </c>
      <c r="O66" s="16">
        <f t="shared" ca="1" si="14"/>
        <v>3.818980537116091</v>
      </c>
      <c r="P66" s="12">
        <f t="shared" ca="1" si="15"/>
        <v>0.58381147720524895</v>
      </c>
      <c r="Q66" s="32">
        <f ca="1">IF(F66=1,IF(I66&lt;Bewertung_Stammdaten!B$12,Bewertung_Stammdaten!A$12,IF(I66&lt;Bewertung_Stammdaten!B$13,Bewertung_Stammdaten!A$13,IF(I66&lt;Bewertung_Stammdaten!B$14,Bewertung_Stammdaten!A$14,IF(I66&lt;Bewertung_Stammdaten!B$15,Bewertung_Stammdaten!A$15,IF(I66&lt;Bewertung_Stammdaten!B$16,Bewertung_Stammdaten!A$16,IF(I66&lt;Bewertung_Stammdaten!B$17,Bewertung_Stammdaten!A$17,IF(I66&lt;Bewertung_Stammdaten!B$18,Bewertung_Stammdaten!A$18,IF(I66&lt;Bewertung_Stammdaten!B$19,Bewertung_Stammdaten!A$19,IF(I66&lt;Bewertung_Stammdaten!B$20,Bewertung_Stammdaten!A$20,Bewertung_Stammdaten!A$21))))))))),IF(N66&lt;Bewertung_Stammdaten!C$12,Bewertung_Stammdaten!A$12,IF(N66&lt;Bewertung_Stammdaten!C$13,Bewertung_Stammdaten!A$13,IF(N66&lt;Bewertung_Stammdaten!C$14,Bewertung_Stammdaten!A$14,IF(N66&lt;Bewertung_Stammdaten!C$15,Bewertung_Stammdaten!A$15,IF(N66&lt;Bewertung_Stammdaten!C$16,Bewertung_Stammdaten!A$16,IF(N66&lt;Bewertung_Stammdaten!C$17,Bewertung_Stammdaten!A$17,IF(N66&lt;Bewertung_Stammdaten!C$18,Bewertung_Stammdaten!A$18,IF(N66&lt;Bewertung_Stammdaten!C$19,Bewertung_Stammdaten!A$19,IF(N66&lt;Bewertung_Stammdaten!C$20,Bewertung_Stammdaten!A$20,Bewertung_Stammdaten!A$21))))))))))</f>
        <v>12</v>
      </c>
      <c r="R66" s="32">
        <f ca="1">IF(F66=1,IF(K66&lt;Bewertung_Stammdaten!F$12,Bewertung_Stammdaten!E$12,IF(K66&lt;Bewertung_Stammdaten!F$13,Bewertung_Stammdaten!E$13,IF(K66&lt;Bewertung_Stammdaten!F$14,Bewertung_Stammdaten!E$14,IF(K66&lt;Bewertung_Stammdaten!F$15,Bewertung_Stammdaten!E$15,IF(K66&lt;Bewertung_Stammdaten!F$16,Bewertung_Stammdaten!E$16,IF(K66&lt;Bewertung_Stammdaten!F$17,Bewertung_Stammdaten!E$17,IF(K66&lt;Bewertung_Stammdaten!F$18,Bewertung_Stammdaten!E$18,IF(K66&lt;Bewertung_Stammdaten!F$19,Bewertung_Stammdaten!E$19,IF(K66&lt;Bewertung_Stammdaten!F$20,Bewertung_Stammdaten!E$20,Bewertung_Stammdaten!E$21))))))))),IF(P66&lt;Bewertung_Stammdaten!G$12,Bewertung_Stammdaten!E$12,IF(P66&lt;Bewertung_Stammdaten!G$13,Bewertung_Stammdaten!E$13,IF(P66&lt;Bewertung_Stammdaten!G$14,Bewertung_Stammdaten!E$14,IF(P66&lt;Bewertung_Stammdaten!G$15,Bewertung_Stammdaten!E$15,IF(P66&lt;Bewertung_Stammdaten!G$16,Bewertung_Stammdaten!E$16,IF(P66&lt;Bewertung_Stammdaten!G$17,Bewertung_Stammdaten!E$17,IF(P66&lt;Bewertung_Stammdaten!G$18,Bewertung_Stammdaten!E$18,IF(P66&lt;Bewertung_Stammdaten!G$19,Bewertung_Stammdaten!E$19,IF(P66&lt;Bewertung_Stammdaten!G$20,Bewertung_Stammdaten!E$20,Bewertung_Stammdaten!E$21))))))))))</f>
        <v>2.5</v>
      </c>
      <c r="S66" s="43"/>
      <c r="T66" s="11">
        <f ca="1">VLOOKUP(A66,Buchwert_je_Aktie!A$3:AK$103,23,FALSE)</f>
        <v>9.8010000000000002</v>
      </c>
      <c r="U66" s="11">
        <f>VLOOKUP(A66,Buchwert_je_Aktie!A$3:AK$103,19,FALSE)</f>
        <v>11.01692307692308</v>
      </c>
      <c r="V66" s="12">
        <f ca="1">VLOOKUP(A66,Buchwert_je_Aktie!A$3:AK$103,24,FALSE)</f>
        <v>-0.11036866359447028</v>
      </c>
      <c r="W66" s="12">
        <f>VLOOKUP(A66,Buchwert_je_Aktie!A$3:AK$103,37,FALSE)</f>
        <v>-0.17739403453689162</v>
      </c>
      <c r="X66" s="16">
        <f t="shared" ca="1" si="16"/>
        <v>8.0623610675039252</v>
      </c>
      <c r="Y66" s="12">
        <f t="shared" ca="1" si="17"/>
        <v>-0.26818395560989383</v>
      </c>
      <c r="Z66" s="51">
        <f ca="1">IF(V66&lt;Bewertung_Stammdaten!B$25,Bewertung_Stammdaten!A$25,IF(V66&lt;Bewertung_Stammdaten!B$26,Bewertung_Stammdaten!A$26,IF(V66&lt;Bewertung_Stammdaten!B$27,Bewertung_Stammdaten!A$27,IF(V66&lt;Bewertung_Stammdaten!B$28,Bewertung_Stammdaten!A$28,IF(V66&lt;Bewertung_Stammdaten!B$29,Bewertung_Stammdaten!A$29,IF(V66&lt;Bewertung_Stammdaten!B$30,Bewertung_Stammdaten!A$30,IF(V66&lt;Bewertung_Stammdaten!B$31,Bewertung_Stammdaten!A$31,IF(V66&lt;Bewertung_Stammdaten!B$32,Bewertung_Stammdaten!A$32,IF(V66&lt;Bewertung_Stammdaten!B$33,Bewertung_Stammdaten!A$33,Bewertung_Stammdaten!A$34)))))))))</f>
        <v>1.5</v>
      </c>
      <c r="AA66" s="51">
        <f>IF(W66&lt;Bewertung_Stammdaten!F$25,Bewertung_Stammdaten!E$25,IF(W66&lt;Bewertung_Stammdaten!F$26,Bewertung_Stammdaten!E$26,IF(W66&lt;Bewertung_Stammdaten!F$27,Bewertung_Stammdaten!E$27,IF(W66&lt;Bewertung_Stammdaten!F$28,Bewertung_Stammdaten!E$28,IF(W66&lt;Bewertung_Stammdaten!F$29,Bewertung_Stammdaten!E$29,IF(W66&lt;Bewertung_Stammdaten!F$30,Bewertung_Stammdaten!E$30,IF(W66&lt;Bewertung_Stammdaten!F$31,Bewertung_Stammdaten!E$31,IF(W66&lt;Bewertung_Stammdaten!F$32,Bewertung_Stammdaten!E$32,IF(W66&lt;Bewertung_Stammdaten!F$33,Bewertung_Stammdaten!E$33,Bewertung_Stammdaten!E$34)))))))))</f>
        <v>6</v>
      </c>
      <c r="AB66" s="51">
        <f ca="1">IF(Y66&lt;Bewertung_Stammdaten!J$25,Bewertung_Stammdaten!I$25,IF(Y66&lt;Bewertung_Stammdaten!J$26,Bewertung_Stammdaten!I$26,IF(Y66&lt;Bewertung_Stammdaten!J$27,Bewertung_Stammdaten!I$27,IF(Y66&lt;Bewertung_Stammdaten!J$28,Bewertung_Stammdaten!I$28,IF(Y66&lt;Bewertung_Stammdaten!J$29,Bewertung_Stammdaten!I$29,IF(Y66&lt;Bewertung_Stammdaten!J$30,Bewertung_Stammdaten!I$30,IF(Y66&lt;Bewertung_Stammdaten!J$31,Bewertung_Stammdaten!I$31,IF(Y66&lt;Bewertung_Stammdaten!J$32,Bewertung_Stammdaten!I$32,IF(Y66&lt;Bewertung_Stammdaten!J$33,Bewertung_Stammdaten!I$33,Bewertung_Stammdaten!I$34)))))))))</f>
        <v>1</v>
      </c>
      <c r="AC66" s="43"/>
      <c r="AD66" s="14">
        <f ca="1">VLOOKUP(A66,Ergebnis_je_Aktie_verwässert!A$3:AK$103,23,FALSE)</f>
        <v>1.4859999999999998</v>
      </c>
      <c r="AE66" s="14">
        <f>VLOOKUP(A66,Ergebnis_je_Aktie_verwässert!A$3:AK$103,19,FALSE)</f>
        <v>1.5038461538461538</v>
      </c>
      <c r="AF66" s="12">
        <f ca="1">VLOOKUP(A66,Ergebnis_je_Aktie_verwässert!A$3:AK$103,24,FALSE)</f>
        <v>-1.1867007672634378E-2</v>
      </c>
      <c r="AG66" s="40">
        <f>VLOOKUP(A66,Ergebnis_je_Aktie_verwässert!A$3:AK$103,37,FALSE)</f>
        <v>-0.41279069767441856</v>
      </c>
      <c r="AH66" s="16">
        <f t="shared" ca="1" si="18"/>
        <v>0.87259302325581389</v>
      </c>
      <c r="AI66" s="12">
        <f t="shared" ca="1" si="19"/>
        <v>-0.41975911497055851</v>
      </c>
      <c r="AJ66" s="32">
        <f ca="1">IF(AF66&lt;Bewertung_Stammdaten!B$38,Bewertung_Stammdaten!A$38,IF(AF66&lt;Bewertung_Stammdaten!B$39,Bewertung_Stammdaten!A$39,IF(AF66&lt;Bewertung_Stammdaten!B$40,Bewertung_Stammdaten!A$40,IF(AF66&lt;Bewertung_Stammdaten!B$41,Bewertung_Stammdaten!A$41,IF(AF66&lt;Bewertung_Stammdaten!B$42,Bewertung_Stammdaten!A$42,IF(AF66&lt;Bewertung_Stammdaten!B$43,Bewertung_Stammdaten!A$43,IF(AF66&lt;Bewertung_Stammdaten!B$44,Bewertung_Stammdaten!A$44,IF(AF66&lt;Bewertung_Stammdaten!B$45,Bewertung_Stammdaten!A$45,IF(AF66&lt;Bewertung_Stammdaten!B$46,Bewertung_Stammdaten!A$46,Bewertung_Stammdaten!A$47)))))))))</f>
        <v>6</v>
      </c>
      <c r="AK66" s="32">
        <f>IF(AG66&lt;Bewertung_Stammdaten!F$38,Bewertung_Stammdaten!E$38,IF(AG66&lt;Bewertung_Stammdaten!F$39,Bewertung_Stammdaten!E$39,IF(AG66&lt;Bewertung_Stammdaten!F$40,Bewertung_Stammdaten!E$40,IF(AG66&lt;Bewertung_Stammdaten!F$41,Bewertung_Stammdaten!E$41,IF(AG66&lt;Bewertung_Stammdaten!F$42,Bewertung_Stammdaten!E$42,IF(AG66&lt;Bewertung_Stammdaten!F$43,Bewertung_Stammdaten!E$43,IF(AG66&lt;Bewertung_Stammdaten!F$44,Bewertung_Stammdaten!E$44,IF(AG66&lt;Bewertung_Stammdaten!F$45,Bewertung_Stammdaten!E$45,IF(AG66&lt;Bewertung_Stammdaten!F$46,Bewertung_Stammdaten!E$46,Bewertung_Stammdaten!E$47)))))))))</f>
        <v>4.5</v>
      </c>
      <c r="AL66" s="32">
        <f ca="1">IF(AI66&lt;Bewertung_Stammdaten!J$38,Bewertung_Stammdaten!I$38,IF(AI66&lt;Bewertung_Stammdaten!J$39,Bewertung_Stammdaten!I$39,IF(AI66&lt;Bewertung_Stammdaten!J$40,Bewertung_Stammdaten!I$40,IF(AI66&lt;Bewertung_Stammdaten!J$41,Bewertung_Stammdaten!I$41,IF(AI66&lt;Bewertung_Stammdaten!J$42,Bewertung_Stammdaten!I$42,IF(AI66&lt;Bewertung_Stammdaten!J$43,Bewertung_Stammdaten!I$43,IF(AI66&lt;Bewertung_Stammdaten!J$44,Bewertung_Stammdaten!I$44,IF(AI66&lt;Bewertung_Stammdaten!J$45,Bewertung_Stammdaten!I$45,IF(AI66&lt;Bewertung_Stammdaten!J$46,Bewertung_Stammdaten!I$46,Bewertung_Stammdaten!I$47)))))))))</f>
        <v>1</v>
      </c>
      <c r="AM66" s="43"/>
      <c r="AN66" s="14">
        <f ca="1">VLOOKUP(A66,Dividende_je_Aktie!A$3:AM$103,24,FALSE)</f>
        <v>0.95399999999999996</v>
      </c>
      <c r="AO66" s="14">
        <f>VLOOKUP(A66,Dividende_je_Aktie!A$3:AM$103,20,FALSE)</f>
        <v>0.88</v>
      </c>
      <c r="AP66" s="12">
        <f ca="1">VLOOKUP(A66,Dividende_je_Aktie!A$3:AM$103,25,FALSE)</f>
        <v>8.4090909090908994E-2</v>
      </c>
      <c r="AQ66" s="40">
        <f>VLOOKUP(A66,Dividende_je_Aktie!A$3:AM$103,39,FALSE)</f>
        <v>-0.50806451612903225</v>
      </c>
      <c r="AR66" s="16">
        <f t="shared" ca="1" si="20"/>
        <v>0.46930645161290319</v>
      </c>
      <c r="AS66" s="12">
        <f t="shared" ca="1" si="21"/>
        <v>-0.46669721407624642</v>
      </c>
      <c r="AT66" s="32">
        <f ca="1">IF(AP66&lt;Bewertung_Stammdaten!B$51,Bewertung_Stammdaten!A$51,IF(AP66&lt;Bewertung_Stammdaten!B$52,Bewertung_Stammdaten!A$52,IF(AP66&lt;Bewertung_Stammdaten!B$53,Bewertung_Stammdaten!A$53,IF(AP66&lt;Bewertung_Stammdaten!B$54,Bewertung_Stammdaten!A$54,IF(AP66&lt;Bewertung_Stammdaten!B$55,Bewertung_Stammdaten!A$55,IF(AP66&lt;Bewertung_Stammdaten!B$56,Bewertung_Stammdaten!A$56,IF(AP66&lt;Bewertung_Stammdaten!B$57,Bewertung_Stammdaten!A$57,IF(AP66&lt;Bewertung_Stammdaten!B$58,Bewertung_Stammdaten!A$58,IF(AP66&lt;Bewertung_Stammdaten!B$59,Bewertung_Stammdaten!A$59,Bewertung_Stammdaten!A$60)))))))))</f>
        <v>6</v>
      </c>
      <c r="AU66" s="32">
        <f>IF(AQ66&lt;Bewertung_Stammdaten!F$51,Bewertung_Stammdaten!E$51,IF(AQ66&lt;Bewertung_Stammdaten!F$52,Bewertung_Stammdaten!E$52,IF(AQ66&lt;Bewertung_Stammdaten!F$53,Bewertung_Stammdaten!E$53,IF(AQ66&lt;Bewertung_Stammdaten!F$54,Bewertung_Stammdaten!E$54,IF(AQ66&lt;Bewertung_Stammdaten!F$55,Bewertung_Stammdaten!E$55,IF(AQ66&lt;Bewertung_Stammdaten!F$56,Bewertung_Stammdaten!E$56,IF(AQ66&lt;Bewertung_Stammdaten!F$57,Bewertung_Stammdaten!E$57,IF(AQ66&lt;Bewertung_Stammdaten!F$58,Bewertung_Stammdaten!E$58,IF(AQ66&lt;Bewertung_Stammdaten!F$59,Bewertung_Stammdaten!E$59,Bewertung_Stammdaten!E$60)))))))))</f>
        <v>3</v>
      </c>
      <c r="AV66" s="32">
        <f ca="1">IF(AS66&lt;Bewertung_Stammdaten!J$51,Bewertung_Stammdaten!I$51,IF(AS66&lt;Bewertung_Stammdaten!J$52,Bewertung_Stammdaten!I$52,IF(AS66&lt;Bewertung_Stammdaten!J$53,Bewertung_Stammdaten!I$53,IF(AS66&lt;Bewertung_Stammdaten!J$54,Bewertung_Stammdaten!I$54,IF(AS66&lt;Bewertung_Stammdaten!J$55,Bewertung_Stammdaten!I$55,IF(AS66&lt;Bewertung_Stammdaten!J$56,Bewertung_Stammdaten!I$56,IF(AS66&lt;Bewertung_Stammdaten!J$57,Bewertung_Stammdaten!I$57,IF(AS66&lt;Bewertung_Stammdaten!J$58,Bewertung_Stammdaten!I$58,IF(AS66&lt;Bewertung_Stammdaten!J$59,Bewertung_Stammdaten!I$59,Bewertung_Stammdaten!I$60)))))))))</f>
        <v>1</v>
      </c>
      <c r="AW66" s="43"/>
      <c r="AX66" s="12">
        <f ca="1">VLOOKUP(A66,Dividendenrendite!A$3:R$103,17,FALSE)</f>
        <v>3.0984085742124065E-2</v>
      </c>
      <c r="AY66" s="12">
        <f>VLOOKUP(A66,Dividendenrendite!A$3:R$103,16,FALSE)</f>
        <v>3.4610238008738456E-2</v>
      </c>
      <c r="AZ66" s="12">
        <f ca="1">VLOOKUP(A66,Dividendenrendite!A$3:R$103,18,FALSE)</f>
        <v>-0.10477108726322115</v>
      </c>
      <c r="BA66" s="32">
        <f ca="1">IF(AX66&lt;Bewertung_Stammdaten!B$64,Bewertung_Stammdaten!A$64,IF(AX66&lt;Bewertung_Stammdaten!B$65,Bewertung_Stammdaten!A$65,IF(AX66&lt;Bewertung_Stammdaten!B$66,Bewertung_Stammdaten!A$66,IF(AX66&lt;Bewertung_Stammdaten!B$67,Bewertung_Stammdaten!A$67,IF(AX66&lt;Bewertung_Stammdaten!B$68,Bewertung_Stammdaten!A$68,IF(AX66&lt;Bewertung_Stammdaten!B$69,Bewertung_Stammdaten!A$69,IF(AX66&lt;Bewertung_Stammdaten!B$70,Bewertung_Stammdaten!A$70,IF(AX66&lt;Bewertung_Stammdaten!B$71,Bewertung_Stammdaten!A$71,IF(AX66&lt;Bewertung_Stammdaten!B$72,Bewertung_Stammdaten!A$72,Bewertung_Stammdaten!A$73)))))))))</f>
        <v>10.5</v>
      </c>
      <c r="BB66" s="32">
        <f>IF(AY66&lt;Bewertung_Stammdaten!F$64,Bewertung_Stammdaten!E$64,IF(AY66&lt;Bewertung_Stammdaten!F$65,Bewertung_Stammdaten!E$65,IF(AY66&lt;Bewertung_Stammdaten!F$66,Bewertung_Stammdaten!E$66,IF(AY66&lt;Bewertung_Stammdaten!F$67,Bewertung_Stammdaten!E$67,IF(AY66&lt;Bewertung_Stammdaten!F$68,Bewertung_Stammdaten!E$68,IF(AY66&lt;Bewertung_Stammdaten!F$69,Bewertung_Stammdaten!E$69,IF(AY66&lt;Bewertung_Stammdaten!F$70,Bewertung_Stammdaten!E$70,IF(AY66&lt;Bewertung_Stammdaten!F$71,Bewertung_Stammdaten!E$71,IF(AY66&lt;Bewertung_Stammdaten!F$72,Bewertung_Stammdaten!E$72,Bewertung_Stammdaten!E$73)))))))))</f>
        <v>7</v>
      </c>
      <c r="BC66" s="32">
        <f ca="1">IF(AZ66&lt;Bewertung_Stammdaten!J$64,Bewertung_Stammdaten!I$64,IF(AZ66&lt;Bewertung_Stammdaten!J$65,Bewertung_Stammdaten!I$65,IF(AZ66&lt;Bewertung_Stammdaten!J$66,Bewertung_Stammdaten!I$66,IF(AZ66&lt;Bewertung_Stammdaten!J$67,Bewertung_Stammdaten!I$67,IF(AZ66&lt;Bewertung_Stammdaten!J$68,Bewertung_Stammdaten!I$68,IF(AZ66&lt;Bewertung_Stammdaten!J$69,Bewertung_Stammdaten!I$69,IF(AZ66&lt;Bewertung_Stammdaten!J$70,Bewertung_Stammdaten!I$70,IF(AZ66&lt;Bewertung_Stammdaten!J$71,Bewertung_Stammdaten!I$71,IF(AZ66&lt;Bewertung_Stammdaten!J$72,Bewertung_Stammdaten!I$72,Bewertung_Stammdaten!I$73)))))))))</f>
        <v>1.5</v>
      </c>
      <c r="BD66" s="43"/>
      <c r="BE66" s="12">
        <f>VLOOKUP(A66,Aktien_im_Umlauf_splitbereinigt!A$3:AB$103,28,FALSE)</f>
        <v>-6.7415730337078705E-2</v>
      </c>
      <c r="BF66" s="12">
        <f>VLOOKUP(A66,Aktien_im_Umlauf_splitbereinigt!A$3:AA$103,26,FALSE)</f>
        <v>-1.0616201413300507E-2</v>
      </c>
      <c r="BG66" s="12">
        <f>VLOOKUP(A66,Aktien_im_Umlauf_splitbereinigt!A$3:AA$103,27,FALSE)</f>
        <v>5.3502685859573944</v>
      </c>
      <c r="BH66" s="41">
        <f>IF(BE66&lt;Bewertung_Stammdaten!B$77,Bewertung_Stammdaten!A$77,IF(BE66&lt;Bewertung_Stammdaten!B$78,Bewertung_Stammdaten!A$78,IF(BE66&lt;Bewertung_Stammdaten!B$79,Bewertung_Stammdaten!A$79,IF(BE66&lt;Bewertung_Stammdaten!B$80,Bewertung_Stammdaten!A$80,IF(BE66&lt;Bewertung_Stammdaten!B$81,Bewertung_Stammdaten!A$81,IF(BE66&lt;Bewertung_Stammdaten!B$82,Bewertung_Stammdaten!A$82,IF(BE66&lt;Bewertung_Stammdaten!B$83,Bewertung_Stammdaten!A$83,IF(BE66&lt;Bewertung_Stammdaten!B$84,Bewertung_Stammdaten!A$84,IF(BE66&lt;Bewertung_Stammdaten!B$85,Bewertung_Stammdaten!A$85,Bewertung_Stammdaten!A$86)))))))))</f>
        <v>10</v>
      </c>
      <c r="BI66" s="41">
        <f>IF(BF66&lt;Bewertung_Stammdaten!F$77,Bewertung_Stammdaten!E$77,IF(BF66&lt;Bewertung_Stammdaten!F$78,Bewertung_Stammdaten!E$78,IF(BF66&lt;Bewertung_Stammdaten!F$79,Bewertung_Stammdaten!E$79,IF(BF66&lt;Bewertung_Stammdaten!F$80,Bewertung_Stammdaten!E$80,IF(BF66&lt;Bewertung_Stammdaten!F$81,Bewertung_Stammdaten!E$81,IF(BF66&lt;Bewertung_Stammdaten!F$82,Bewertung_Stammdaten!E$82,IF(BF66&lt;Bewertung_Stammdaten!F$83,Bewertung_Stammdaten!E$83,IF(BF66&lt;Bewertung_Stammdaten!F$84,Bewertung_Stammdaten!E$84,IF(BF66&lt;Bewertung_Stammdaten!F$85,Bewertung_Stammdaten!E$85,Bewertung_Stammdaten!E$86)))))))))</f>
        <v>5</v>
      </c>
      <c r="BJ66" s="41">
        <f>IF(BG66&lt;Bewertung_Stammdaten!J$77,Bewertung_Stammdaten!I$77,IF(BG66&lt;Bewertung_Stammdaten!J$78,Bewertung_Stammdaten!I$78,IF(BG66&lt;Bewertung_Stammdaten!J$79,Bewertung_Stammdaten!I$79,IF(BG66&lt;Bewertung_Stammdaten!J$80,Bewertung_Stammdaten!I$80,IF(BG66&lt;Bewertung_Stammdaten!J$81,Bewertung_Stammdaten!I$81,IF(BG66&lt;Bewertung_Stammdaten!J$82,Bewertung_Stammdaten!I$82,IF(BG66&lt;Bewertung_Stammdaten!J$83,Bewertung_Stammdaten!I$83,IF(BG66&lt;Bewertung_Stammdaten!J$84,Bewertung_Stammdaten!I$84,IF(BG66&lt;Bewertung_Stammdaten!J$85,Bewertung_Stammdaten!I$85,Bewertung_Stammdaten!I$86)))))))))</f>
        <v>5</v>
      </c>
      <c r="BK66" s="43"/>
      <c r="BL66" s="12">
        <f ca="1">VLOOKUP(A66,Ausschüttungsquote!A$3:AL$103,37,FALSE)</f>
        <v>0.64320680178632772</v>
      </c>
      <c r="BM66" s="12">
        <f>VLOOKUP(A66,Ausschüttungsquote!A$3:AL$103,19,FALSE)</f>
        <v>0.83952554228948606</v>
      </c>
      <c r="BN66" s="12">
        <f ca="1">VLOOKUP(A66,Ausschüttungsquote!A$3:AL$103,38,FALSE)</f>
        <v>0.10236372543908434</v>
      </c>
      <c r="BO66" s="32">
        <f ca="1">IF(BL66&lt;Bewertung_Stammdaten!B$90,Bewertung_Stammdaten!A$90,IF(BL66&lt;Bewertung_Stammdaten!B$91,Bewertung_Stammdaten!A$91,IF(BL66&lt;Bewertung_Stammdaten!B$92,Bewertung_Stammdaten!A$92,IF(BL66&lt;Bewertung_Stammdaten!B$93,Bewertung_Stammdaten!A$93,IF(BL66&lt;Bewertung_Stammdaten!B$94,Bewertung_Stammdaten!A$94,IF(BL66&lt;Bewertung_Stammdaten!B$95,Bewertung_Stammdaten!A$95,IF(BL66&lt;Bewertung_Stammdaten!B$96,Bewertung_Stammdaten!A$96,IF(BL66&lt;Bewertung_Stammdaten!B$97,Bewertung_Stammdaten!A$97,IF(BL66&lt;Bewertung_Stammdaten!B$98,Bewertung_Stammdaten!A$98,Bewertung_Stammdaten!A$99)))))))))</f>
        <v>5</v>
      </c>
      <c r="BP66" s="41">
        <f>IF(BM66&lt;Bewertung_Stammdaten!F$90,Bewertung_Stammdaten!E$90,IF(BM66&lt;Bewertung_Stammdaten!F$91,Bewertung_Stammdaten!E$91,IF(BM66&lt;Bewertung_Stammdaten!F$92,Bewertung_Stammdaten!E$92,IF(BM66&lt;Bewertung_Stammdaten!F$93,Bewertung_Stammdaten!E$93,IF(BM66&lt;Bewertung_Stammdaten!F$94,Bewertung_Stammdaten!E$94,IF(BM66&lt;Bewertung_Stammdaten!F$95,Bewertung_Stammdaten!E$95,IF(BM66&lt;Bewertung_Stammdaten!F$96,Bewertung_Stammdaten!E$96,IF(BM66&lt;Bewertung_Stammdaten!F$97,Bewertung_Stammdaten!E$97,IF(BM66&lt;Bewertung_Stammdaten!F$98,Bewertung_Stammdaten!E$98,Bewertung_Stammdaten!E$99)))))))))</f>
        <v>1</v>
      </c>
      <c r="BQ66" s="32">
        <f ca="1">IF(BN66&lt;Bewertung_Stammdaten!J$90,Bewertung_Stammdaten!I$90,IF(BN66&lt;Bewertung_Stammdaten!J$91,Bewertung_Stammdaten!I$91,IF(BN66&lt;Bewertung_Stammdaten!J$92,Bewertung_Stammdaten!I$92,IF(BN66&lt;Bewertung_Stammdaten!J$93,Bewertung_Stammdaten!I$93,IF(BN66&lt;Bewertung_Stammdaten!J$94,Bewertung_Stammdaten!I$94,IF(BN66&lt;Bewertung_Stammdaten!J$95,Bewertung_Stammdaten!I$95,IF(BN66&lt;Bewertung_Stammdaten!J$96,Bewertung_Stammdaten!I$96,IF(BN66&lt;Bewertung_Stammdaten!J$97,Bewertung_Stammdaten!I$97,IF(BN66&lt;Bewertung_Stammdaten!J$98,Bewertung_Stammdaten!I$98,Bewertung_Stammdaten!I$99)))))))))</f>
        <v>3</v>
      </c>
    </row>
    <row r="67" spans="1:69">
      <c r="A67" s="38" t="s">
        <v>34</v>
      </c>
      <c r="B67" s="38" t="s">
        <v>35</v>
      </c>
      <c r="C67" s="38" t="s">
        <v>283</v>
      </c>
      <c r="D67" s="32">
        <f t="shared" ca="1" si="11"/>
        <v>86</v>
      </c>
      <c r="E67" s="43"/>
      <c r="F67" s="60">
        <v>1</v>
      </c>
      <c r="G67" s="11">
        <f ca="1">VLOOKUP(A67,KGV!A$3:R$103,17,FALSE)</f>
        <v>50.32072550320725</v>
      </c>
      <c r="H67" s="11">
        <f>VLOOKUP(A67,KGV!A$3:R$103,16,FALSE)</f>
        <v>12.607142857142856</v>
      </c>
      <c r="I67" s="12">
        <f ca="1">VLOOKUP(A67,KGV!A$3:R$103,18,FALSE)</f>
        <v>2.9914456489796124</v>
      </c>
      <c r="J67" s="16">
        <f t="shared" ca="1" si="12"/>
        <v>1096.0950109609503</v>
      </c>
      <c r="K67" s="12">
        <f t="shared" ref="K67" ca="1" si="22">(J67/H67)-1</f>
        <v>85.94238047282326</v>
      </c>
      <c r="L67" s="11">
        <f ca="1">VLOOKUP(A67,KBV!A$3:R$103,17,FALSE)</f>
        <v>1.0075287865367579</v>
      </c>
      <c r="M67" s="11">
        <f>VLOOKUP(A67,KBV!A$3:R$103,16,FALSE)</f>
        <v>0.95782608695652172</v>
      </c>
      <c r="N67" s="12">
        <f ca="1">VLOOKUP(A67,KBV!A$3:R$103,18,FALSE)</f>
        <v>5.1891152534971896E-2</v>
      </c>
      <c r="O67" s="16">
        <f t="shared" ca="1" si="14"/>
        <v>1.0776177456001845</v>
      </c>
      <c r="P67" s="12">
        <f t="shared" ref="P67" ca="1" si="23">(O67/M67)-1</f>
        <v>0.1250661892330569</v>
      </c>
      <c r="Q67" s="32">
        <f ca="1">IF(F67=1,IF(I67&lt;Bewertung_Stammdaten!B$12,Bewertung_Stammdaten!A$12,IF(I67&lt;Bewertung_Stammdaten!B$13,Bewertung_Stammdaten!A$13,IF(I67&lt;Bewertung_Stammdaten!B$14,Bewertung_Stammdaten!A$14,IF(I67&lt;Bewertung_Stammdaten!B$15,Bewertung_Stammdaten!A$15,IF(I67&lt;Bewertung_Stammdaten!B$16,Bewertung_Stammdaten!A$16,IF(I67&lt;Bewertung_Stammdaten!B$17,Bewertung_Stammdaten!A$17,IF(I67&lt;Bewertung_Stammdaten!B$18,Bewertung_Stammdaten!A$18,IF(I67&lt;Bewertung_Stammdaten!B$19,Bewertung_Stammdaten!A$19,IF(I67&lt;Bewertung_Stammdaten!B$20,Bewertung_Stammdaten!A$20,Bewertung_Stammdaten!A$21))))))))),IF(N67&lt;Bewertung_Stammdaten!C$12,Bewertung_Stammdaten!A$12,IF(N67&lt;Bewertung_Stammdaten!C$13,Bewertung_Stammdaten!A$13,IF(N67&lt;Bewertung_Stammdaten!C$14,Bewertung_Stammdaten!A$14,IF(N67&lt;Bewertung_Stammdaten!C$15,Bewertung_Stammdaten!A$15,IF(N67&lt;Bewertung_Stammdaten!C$16,Bewertung_Stammdaten!A$16,IF(N67&lt;Bewertung_Stammdaten!C$17,Bewertung_Stammdaten!A$17,IF(N67&lt;Bewertung_Stammdaten!C$18,Bewertung_Stammdaten!A$18,IF(N67&lt;Bewertung_Stammdaten!C$19,Bewertung_Stammdaten!A$19,IF(N67&lt;Bewertung_Stammdaten!C$20,Bewertung_Stammdaten!A$20,Bewertung_Stammdaten!A$21))))))))))</f>
        <v>6</v>
      </c>
      <c r="R67" s="32">
        <f ca="1">IF(F67=1,IF(K67&lt;Bewertung_Stammdaten!F$12,Bewertung_Stammdaten!E$12,IF(K67&lt;Bewertung_Stammdaten!F$13,Bewertung_Stammdaten!E$13,IF(K67&lt;Bewertung_Stammdaten!F$14,Bewertung_Stammdaten!E$14,IF(K67&lt;Bewertung_Stammdaten!F$15,Bewertung_Stammdaten!E$15,IF(K67&lt;Bewertung_Stammdaten!F$16,Bewertung_Stammdaten!E$16,IF(K67&lt;Bewertung_Stammdaten!F$17,Bewertung_Stammdaten!E$17,IF(K67&lt;Bewertung_Stammdaten!F$18,Bewertung_Stammdaten!E$18,IF(K67&lt;Bewertung_Stammdaten!F$19,Bewertung_Stammdaten!E$19,IF(K67&lt;Bewertung_Stammdaten!F$20,Bewertung_Stammdaten!E$20,Bewertung_Stammdaten!E$21))))))))),IF(P67&lt;Bewertung_Stammdaten!G$12,Bewertung_Stammdaten!E$12,IF(P67&lt;Bewertung_Stammdaten!G$13,Bewertung_Stammdaten!E$13,IF(P67&lt;Bewertung_Stammdaten!G$14,Bewertung_Stammdaten!E$14,IF(P67&lt;Bewertung_Stammdaten!G$15,Bewertung_Stammdaten!E$15,IF(P67&lt;Bewertung_Stammdaten!G$16,Bewertung_Stammdaten!E$16,IF(P67&lt;Bewertung_Stammdaten!G$17,Bewertung_Stammdaten!E$17,IF(P67&lt;Bewertung_Stammdaten!G$18,Bewertung_Stammdaten!E$18,IF(P67&lt;Bewertung_Stammdaten!G$19,Bewertung_Stammdaten!E$19,IF(P67&lt;Bewertung_Stammdaten!G$20,Bewertung_Stammdaten!E$20,Bewertung_Stammdaten!E$21))))))))))</f>
        <v>2.5</v>
      </c>
      <c r="S67" s="43"/>
      <c r="T67" s="11">
        <f ca="1">VLOOKUP(A67,Buchwert_je_Aktie!A$3:AK$103,23,FALSE)</f>
        <v>2.2580000000000005</v>
      </c>
      <c r="U67" s="11">
        <f>VLOOKUP(A67,Buchwert_je_Aktie!A$3:AK$103,19,FALSE)</f>
        <v>2.3120000000000003</v>
      </c>
      <c r="V67" s="12">
        <f ca="1">VLOOKUP(A67,Buchwert_je_Aktie!A$3:AK$103,24,FALSE)</f>
        <v>-2.3356401384083014E-2</v>
      </c>
      <c r="W67" s="12">
        <f>VLOOKUP(A67,Buchwert_je_Aktie!A$3:AK$103,37,FALSE)</f>
        <v>-6.5040650406504086E-2</v>
      </c>
      <c r="X67" s="16">
        <f t="shared" ref="X67" ca="1" si="24">IF(W67&gt;0,T67,IF(T67&lt;0,ABS(T67)*(1+W67),T67*(1+W67)))</f>
        <v>2.111138211382114</v>
      </c>
      <c r="Y67" s="12">
        <f t="shared" ref="Y67" ca="1" si="25">IF(U67&gt;0,(X67/U67)-1,-99.99999)</f>
        <v>-8.6877936253411003E-2</v>
      </c>
      <c r="Z67" s="51">
        <f ca="1">IF(V67&lt;Bewertung_Stammdaten!B$25,Bewertung_Stammdaten!A$25,IF(V67&lt;Bewertung_Stammdaten!B$26,Bewertung_Stammdaten!A$26,IF(V67&lt;Bewertung_Stammdaten!B$27,Bewertung_Stammdaten!A$27,IF(V67&lt;Bewertung_Stammdaten!B$28,Bewertung_Stammdaten!A$28,IF(V67&lt;Bewertung_Stammdaten!B$29,Bewertung_Stammdaten!A$29,IF(V67&lt;Bewertung_Stammdaten!B$30,Bewertung_Stammdaten!A$30,IF(V67&lt;Bewertung_Stammdaten!B$31,Bewertung_Stammdaten!A$31,IF(V67&lt;Bewertung_Stammdaten!B$32,Bewertung_Stammdaten!A$32,IF(V67&lt;Bewertung_Stammdaten!B$33,Bewertung_Stammdaten!A$33,Bewertung_Stammdaten!A$34)))))))))</f>
        <v>3</v>
      </c>
      <c r="AA67" s="51">
        <f>IF(W67&lt;Bewertung_Stammdaten!F$25,Bewertung_Stammdaten!E$25,IF(W67&lt;Bewertung_Stammdaten!F$26,Bewertung_Stammdaten!E$26,IF(W67&lt;Bewertung_Stammdaten!F$27,Bewertung_Stammdaten!E$27,IF(W67&lt;Bewertung_Stammdaten!F$28,Bewertung_Stammdaten!E$28,IF(W67&lt;Bewertung_Stammdaten!F$29,Bewertung_Stammdaten!E$29,IF(W67&lt;Bewertung_Stammdaten!F$30,Bewertung_Stammdaten!E$30,IF(W67&lt;Bewertung_Stammdaten!F$31,Bewertung_Stammdaten!E$31,IF(W67&lt;Bewertung_Stammdaten!F$32,Bewertung_Stammdaten!E$32,IF(W67&lt;Bewertung_Stammdaten!F$33,Bewertung_Stammdaten!E$33,Bewertung_Stammdaten!E$34)))))))))</f>
        <v>9</v>
      </c>
      <c r="AB67" s="51">
        <f ca="1">IF(Y67&lt;Bewertung_Stammdaten!J$25,Bewertung_Stammdaten!I$25,IF(Y67&lt;Bewertung_Stammdaten!J$26,Bewertung_Stammdaten!I$26,IF(Y67&lt;Bewertung_Stammdaten!J$27,Bewertung_Stammdaten!I$27,IF(Y67&lt;Bewertung_Stammdaten!J$28,Bewertung_Stammdaten!I$28,IF(Y67&lt;Bewertung_Stammdaten!J$29,Bewertung_Stammdaten!I$29,IF(Y67&lt;Bewertung_Stammdaten!J$30,Bewertung_Stammdaten!I$30,IF(Y67&lt;Bewertung_Stammdaten!J$31,Bewertung_Stammdaten!I$31,IF(Y67&lt;Bewertung_Stammdaten!J$32,Bewertung_Stammdaten!I$32,IF(Y67&lt;Bewertung_Stammdaten!J$33,Bewertung_Stammdaten!I$33,Bewertung_Stammdaten!I$34)))))))))</f>
        <v>2</v>
      </c>
      <c r="AC67" s="43"/>
      <c r="AD67" s="14">
        <f ca="1">VLOOKUP(A67,Ergebnis_je_Aktie_verwässert!A$3:AK$103,23,FALSE)</f>
        <v>4.521E-2</v>
      </c>
      <c r="AE67" s="14">
        <f>VLOOKUP(A67,Ergebnis_je_Aktie_verwässert!A$3:AK$103,19,FALSE)</f>
        <v>7.8938461538461541E-2</v>
      </c>
      <c r="AF67" s="12">
        <f ca="1">VLOOKUP(A67,Ergebnis_je_Aktie_verwässert!A$3:AK$103,24,FALSE)</f>
        <v>-0.42727538491522121</v>
      </c>
      <c r="AG67" s="40">
        <f>VLOOKUP(A67,Ergebnis_je_Aktie_verwässert!A$3:AK$103,37,FALSE)</f>
        <v>-0.9540909090909091</v>
      </c>
      <c r="AH67" s="16">
        <f t="shared" ref="AH67" ca="1" si="26">IF(AG67&gt;0,AD67,AD67*(1+AG67))</f>
        <v>2.0755499999999994E-3</v>
      </c>
      <c r="AI67" s="12">
        <f t="shared" ref="AI67" ca="1" si="27">IF(AE67&gt;0,(AH67/AE67)-1,-99.99999)</f>
        <v>-0.97370673358019877</v>
      </c>
      <c r="AJ67" s="32">
        <f ca="1">IF(AF67&lt;Bewertung_Stammdaten!B$38,Bewertung_Stammdaten!A$38,IF(AF67&lt;Bewertung_Stammdaten!B$39,Bewertung_Stammdaten!A$39,IF(AF67&lt;Bewertung_Stammdaten!B$40,Bewertung_Stammdaten!A$40,IF(AF67&lt;Bewertung_Stammdaten!B$41,Bewertung_Stammdaten!A$41,IF(AF67&lt;Bewertung_Stammdaten!B$42,Bewertung_Stammdaten!A$42,IF(AF67&lt;Bewertung_Stammdaten!B$43,Bewertung_Stammdaten!A$43,IF(AF67&lt;Bewertung_Stammdaten!B$44,Bewertung_Stammdaten!A$44,IF(AF67&lt;Bewertung_Stammdaten!B$45,Bewertung_Stammdaten!A$45,IF(AF67&lt;Bewertung_Stammdaten!B$46,Bewertung_Stammdaten!A$46,Bewertung_Stammdaten!A$47)))))))))</f>
        <v>2</v>
      </c>
      <c r="AK67" s="32">
        <f>IF(AG67&lt;Bewertung_Stammdaten!F$38,Bewertung_Stammdaten!E$38,IF(AG67&lt;Bewertung_Stammdaten!F$39,Bewertung_Stammdaten!E$39,IF(AG67&lt;Bewertung_Stammdaten!F$40,Bewertung_Stammdaten!E$40,IF(AG67&lt;Bewertung_Stammdaten!F$41,Bewertung_Stammdaten!E$41,IF(AG67&lt;Bewertung_Stammdaten!F$42,Bewertung_Stammdaten!E$42,IF(AG67&lt;Bewertung_Stammdaten!F$43,Bewertung_Stammdaten!E$43,IF(AG67&lt;Bewertung_Stammdaten!F$44,Bewertung_Stammdaten!E$44,IF(AG67&lt;Bewertung_Stammdaten!F$45,Bewertung_Stammdaten!E$45,IF(AG67&lt;Bewertung_Stammdaten!F$46,Bewertung_Stammdaten!E$46,Bewertung_Stammdaten!E$47)))))))))</f>
        <v>1.5</v>
      </c>
      <c r="AL67" s="32">
        <f ca="1">IF(AI67&lt;Bewertung_Stammdaten!J$38,Bewertung_Stammdaten!I$38,IF(AI67&lt;Bewertung_Stammdaten!J$39,Bewertung_Stammdaten!I$39,IF(AI67&lt;Bewertung_Stammdaten!J$40,Bewertung_Stammdaten!I$40,IF(AI67&lt;Bewertung_Stammdaten!J$41,Bewertung_Stammdaten!I$41,IF(AI67&lt;Bewertung_Stammdaten!J$42,Bewertung_Stammdaten!I$42,IF(AI67&lt;Bewertung_Stammdaten!J$43,Bewertung_Stammdaten!I$43,IF(AI67&lt;Bewertung_Stammdaten!J$44,Bewertung_Stammdaten!I$44,IF(AI67&lt;Bewertung_Stammdaten!J$45,Bewertung_Stammdaten!I$45,IF(AI67&lt;Bewertung_Stammdaten!J$46,Bewertung_Stammdaten!I$46,Bewertung_Stammdaten!I$47)))))))))</f>
        <v>1</v>
      </c>
      <c r="AM67" s="43"/>
      <c r="AN67" s="14">
        <f ca="1">VLOOKUP(A67,Dividende_je_Aktie!A$3:AM$103,24,FALSE)</f>
        <v>0.11515</v>
      </c>
      <c r="AO67" s="14">
        <f>VLOOKUP(A67,Dividende_je_Aktie!A$3:AM$103,20,FALSE)</f>
        <v>8.8214285714285717E-2</v>
      </c>
      <c r="AP67" s="12">
        <f ca="1">VLOOKUP(A67,Dividende_je_Aktie!A$3:AM$103,25,FALSE)</f>
        <v>0.30534412955465595</v>
      </c>
      <c r="AQ67" s="40">
        <f>VLOOKUP(A67,Dividende_je_Aktie!A$3:AM$103,39,FALSE)</f>
        <v>-0.2533333333333333</v>
      </c>
      <c r="AR67" s="16">
        <f t="shared" ref="AR67" ca="1" si="28">IF(AQ67&gt;0,AN67,AN67*(1+AQ67))</f>
        <v>8.5978666666666675E-2</v>
      </c>
      <c r="AS67" s="12">
        <f t="shared" ref="AS67" ca="1" si="29">IF(AO67&gt;0,(AR67/AO67)-1,-99.99999)</f>
        <v>-2.5343049932523565E-2</v>
      </c>
      <c r="AT67" s="32">
        <f ca="1">IF(AP67&lt;Bewertung_Stammdaten!B$51,Bewertung_Stammdaten!A$51,IF(AP67&lt;Bewertung_Stammdaten!B$52,Bewertung_Stammdaten!A$52,IF(AP67&lt;Bewertung_Stammdaten!B$53,Bewertung_Stammdaten!A$53,IF(AP67&lt;Bewertung_Stammdaten!B$54,Bewertung_Stammdaten!A$54,IF(AP67&lt;Bewertung_Stammdaten!B$55,Bewertung_Stammdaten!A$55,IF(AP67&lt;Bewertung_Stammdaten!B$56,Bewertung_Stammdaten!A$56,IF(AP67&lt;Bewertung_Stammdaten!B$57,Bewertung_Stammdaten!A$57,IF(AP67&lt;Bewertung_Stammdaten!B$58,Bewertung_Stammdaten!A$58,IF(AP67&lt;Bewertung_Stammdaten!B$59,Bewertung_Stammdaten!A$59,Bewertung_Stammdaten!A$60)))))))))</f>
        <v>12</v>
      </c>
      <c r="AU67" s="32">
        <f>IF(AQ67&lt;Bewertung_Stammdaten!F$51,Bewertung_Stammdaten!E$51,IF(AQ67&lt;Bewertung_Stammdaten!F$52,Bewertung_Stammdaten!E$52,IF(AQ67&lt;Bewertung_Stammdaten!F$53,Bewertung_Stammdaten!E$53,IF(AQ67&lt;Bewertung_Stammdaten!F$54,Bewertung_Stammdaten!E$54,IF(AQ67&lt;Bewertung_Stammdaten!F$55,Bewertung_Stammdaten!E$55,IF(AQ67&lt;Bewertung_Stammdaten!F$56,Bewertung_Stammdaten!E$56,IF(AQ67&lt;Bewertung_Stammdaten!F$57,Bewertung_Stammdaten!E$57,IF(AQ67&lt;Bewertung_Stammdaten!F$58,Bewertung_Stammdaten!E$58,IF(AQ67&lt;Bewertung_Stammdaten!F$59,Bewertung_Stammdaten!E$59,Bewertung_Stammdaten!E$60)))))))))</f>
        <v>7.5</v>
      </c>
      <c r="AV67" s="32">
        <f ca="1">IF(AS67&lt;Bewertung_Stammdaten!J$51,Bewertung_Stammdaten!I$51,IF(AS67&lt;Bewertung_Stammdaten!J$52,Bewertung_Stammdaten!I$52,IF(AS67&lt;Bewertung_Stammdaten!J$53,Bewertung_Stammdaten!I$53,IF(AS67&lt;Bewertung_Stammdaten!J$54,Bewertung_Stammdaten!I$54,IF(AS67&lt;Bewertung_Stammdaten!J$55,Bewertung_Stammdaten!I$55,IF(AS67&lt;Bewertung_Stammdaten!J$56,Bewertung_Stammdaten!I$56,IF(AS67&lt;Bewertung_Stammdaten!J$57,Bewertung_Stammdaten!I$57,IF(AS67&lt;Bewertung_Stammdaten!J$58,Bewertung_Stammdaten!I$58,IF(AS67&lt;Bewertung_Stammdaten!J$59,Bewertung_Stammdaten!I$59,Bewertung_Stammdaten!I$60)))))))))</f>
        <v>4</v>
      </c>
      <c r="AW67" s="43"/>
      <c r="AX67" s="12">
        <f ca="1">VLOOKUP(A67,Dividendenrendite!A$3:R$103,17,FALSE)</f>
        <v>5.0615384615384618E-2</v>
      </c>
      <c r="AY67" s="12">
        <f>VLOOKUP(A67,Dividendenrendite!A$3:R$103,16,FALSE)</f>
        <v>4.9289018987259597E-2</v>
      </c>
      <c r="AZ67" s="12">
        <f ca="1">VLOOKUP(A67,Dividendenrendite!A$3:R$103,18,FALSE)</f>
        <v>2.6909962003258014E-2</v>
      </c>
      <c r="BA67" s="32">
        <f ca="1">IF(AX67&lt;Bewertung_Stammdaten!B$64,Bewertung_Stammdaten!A$64,IF(AX67&lt;Bewertung_Stammdaten!B$65,Bewertung_Stammdaten!A$65,IF(AX67&lt;Bewertung_Stammdaten!B$66,Bewertung_Stammdaten!A$66,IF(AX67&lt;Bewertung_Stammdaten!B$67,Bewertung_Stammdaten!A$67,IF(AX67&lt;Bewertung_Stammdaten!B$68,Bewertung_Stammdaten!A$68,IF(AX67&lt;Bewertung_Stammdaten!B$69,Bewertung_Stammdaten!A$69,IF(AX67&lt;Bewertung_Stammdaten!B$70,Bewertung_Stammdaten!A$70,IF(AX67&lt;Bewertung_Stammdaten!B$71,Bewertung_Stammdaten!A$71,IF(AX67&lt;Bewertung_Stammdaten!B$72,Bewertung_Stammdaten!A$72,Bewertung_Stammdaten!A$73)))))))))</f>
        <v>15</v>
      </c>
      <c r="BB67" s="32">
        <f>IF(AY67&lt;Bewertung_Stammdaten!F$64,Bewertung_Stammdaten!E$64,IF(AY67&lt;Bewertung_Stammdaten!F$65,Bewertung_Stammdaten!E$65,IF(AY67&lt;Bewertung_Stammdaten!F$66,Bewertung_Stammdaten!E$66,IF(AY67&lt;Bewertung_Stammdaten!F$67,Bewertung_Stammdaten!E$67,IF(AY67&lt;Bewertung_Stammdaten!F$68,Bewertung_Stammdaten!E$68,IF(AY67&lt;Bewertung_Stammdaten!F$69,Bewertung_Stammdaten!E$69,IF(AY67&lt;Bewertung_Stammdaten!F$70,Bewertung_Stammdaten!E$70,IF(AY67&lt;Bewertung_Stammdaten!F$71,Bewertung_Stammdaten!E$71,IF(AY67&lt;Bewertung_Stammdaten!F$72,Bewertung_Stammdaten!E$72,Bewertung_Stammdaten!E$73)))))))))</f>
        <v>10</v>
      </c>
      <c r="BC67" s="32">
        <f ca="1">IF(AZ67&lt;Bewertung_Stammdaten!J$64,Bewertung_Stammdaten!I$64,IF(AZ67&lt;Bewertung_Stammdaten!J$65,Bewertung_Stammdaten!I$65,IF(AZ67&lt;Bewertung_Stammdaten!J$66,Bewertung_Stammdaten!I$66,IF(AZ67&lt;Bewertung_Stammdaten!J$67,Bewertung_Stammdaten!I$67,IF(AZ67&lt;Bewertung_Stammdaten!J$68,Bewertung_Stammdaten!I$68,IF(AZ67&lt;Bewertung_Stammdaten!J$69,Bewertung_Stammdaten!I$69,IF(AZ67&lt;Bewertung_Stammdaten!J$70,Bewertung_Stammdaten!I$70,IF(AZ67&lt;Bewertung_Stammdaten!J$71,Bewertung_Stammdaten!I$71,IF(AZ67&lt;Bewertung_Stammdaten!J$72,Bewertung_Stammdaten!I$72,Bewertung_Stammdaten!I$73)))))))))</f>
        <v>3</v>
      </c>
      <c r="BD67" s="43"/>
      <c r="BE67" s="12">
        <f>VLOOKUP(A67,Aktien_im_Umlauf_splitbereinigt!A$3:AB$103,28,FALSE)</f>
        <v>3.4707760655283693E-5</v>
      </c>
      <c r="BF67" s="12">
        <f>VLOOKUP(A67,Aktien_im_Umlauf_splitbereinigt!A$3:AA$103,26,FALSE)</f>
        <v>3.4707760655283693E-5</v>
      </c>
      <c r="BG67" s="12">
        <f>VLOOKUP(A67,Aktien_im_Umlauf_splitbereinigt!A$3:AA$103,27,FALSE)</f>
        <v>-99.999989999999997</v>
      </c>
      <c r="BH67" s="41">
        <f>IF(BE67&lt;Bewertung_Stammdaten!B$77,Bewertung_Stammdaten!A$77,IF(BE67&lt;Bewertung_Stammdaten!B$78,Bewertung_Stammdaten!A$78,IF(BE67&lt;Bewertung_Stammdaten!B$79,Bewertung_Stammdaten!A$79,IF(BE67&lt;Bewertung_Stammdaten!B$80,Bewertung_Stammdaten!A$80,IF(BE67&lt;Bewertung_Stammdaten!B$81,Bewertung_Stammdaten!A$81,IF(BE67&lt;Bewertung_Stammdaten!B$82,Bewertung_Stammdaten!A$82,IF(BE67&lt;Bewertung_Stammdaten!B$83,Bewertung_Stammdaten!A$83,IF(BE67&lt;Bewertung_Stammdaten!B$84,Bewertung_Stammdaten!A$84,IF(BE67&lt;Bewertung_Stammdaten!B$85,Bewertung_Stammdaten!A$85,Bewertung_Stammdaten!A$86)))))))))</f>
        <v>2</v>
      </c>
      <c r="BI67" s="41">
        <f>IF(BF67&lt;Bewertung_Stammdaten!F$77,Bewertung_Stammdaten!E$77,IF(BF67&lt;Bewertung_Stammdaten!F$78,Bewertung_Stammdaten!E$78,IF(BF67&lt;Bewertung_Stammdaten!F$79,Bewertung_Stammdaten!E$79,IF(BF67&lt;Bewertung_Stammdaten!F$80,Bewertung_Stammdaten!E$80,IF(BF67&lt;Bewertung_Stammdaten!F$81,Bewertung_Stammdaten!E$81,IF(BF67&lt;Bewertung_Stammdaten!F$82,Bewertung_Stammdaten!E$82,IF(BF67&lt;Bewertung_Stammdaten!F$83,Bewertung_Stammdaten!E$83,IF(BF67&lt;Bewertung_Stammdaten!F$84,Bewertung_Stammdaten!E$84,IF(BF67&lt;Bewertung_Stammdaten!F$85,Bewertung_Stammdaten!E$85,Bewertung_Stammdaten!E$86)))))))))</f>
        <v>2</v>
      </c>
      <c r="BJ67" s="41">
        <f>IF(BG67&lt;Bewertung_Stammdaten!J$77,Bewertung_Stammdaten!I$77,IF(BG67&lt;Bewertung_Stammdaten!J$78,Bewertung_Stammdaten!I$78,IF(BG67&lt;Bewertung_Stammdaten!J$79,Bewertung_Stammdaten!I$79,IF(BG67&lt;Bewertung_Stammdaten!J$80,Bewertung_Stammdaten!I$80,IF(BG67&lt;Bewertung_Stammdaten!J$81,Bewertung_Stammdaten!I$81,IF(BG67&lt;Bewertung_Stammdaten!J$82,Bewertung_Stammdaten!I$82,IF(BG67&lt;Bewertung_Stammdaten!J$83,Bewertung_Stammdaten!I$83,IF(BG67&lt;Bewertung_Stammdaten!J$84,Bewertung_Stammdaten!I$84,IF(BG67&lt;Bewertung_Stammdaten!J$85,Bewertung_Stammdaten!I$85,Bewertung_Stammdaten!I$86)))))))))</f>
        <v>0.5</v>
      </c>
      <c r="BK67" s="43"/>
      <c r="BL67" s="12">
        <f ca="1">VLOOKUP(A67,Ausschüttungsquote!A$3:AL$103,37,FALSE)</f>
        <v>1.9889894419306184</v>
      </c>
      <c r="BM67" s="12">
        <f>VLOOKUP(A67,Ausschüttungsquote!A$3:AL$103,19,FALSE)</f>
        <v>1.2188068445844986</v>
      </c>
      <c r="BN67" s="12">
        <f ca="1">VLOOKUP(A67,Ausschüttungsquote!A$3:AL$103,38,FALSE)</f>
        <v>0.63191522165161573</v>
      </c>
      <c r="BO67" s="32">
        <f ca="1">IF(BL67&lt;Bewertung_Stammdaten!B$90,Bewertung_Stammdaten!A$90,IF(BL67&lt;Bewertung_Stammdaten!B$91,Bewertung_Stammdaten!A$91,IF(BL67&lt;Bewertung_Stammdaten!B$92,Bewertung_Stammdaten!A$92,IF(BL67&lt;Bewertung_Stammdaten!B$93,Bewertung_Stammdaten!A$93,IF(BL67&lt;Bewertung_Stammdaten!B$94,Bewertung_Stammdaten!A$94,IF(BL67&lt;Bewertung_Stammdaten!B$95,Bewertung_Stammdaten!A$95,IF(BL67&lt;Bewertung_Stammdaten!B$96,Bewertung_Stammdaten!A$96,IF(BL67&lt;Bewertung_Stammdaten!B$97,Bewertung_Stammdaten!A$97,IF(BL67&lt;Bewertung_Stammdaten!B$98,Bewertung_Stammdaten!A$98,Bewertung_Stammdaten!A$99)))))))))</f>
        <v>1</v>
      </c>
      <c r="BP67" s="41">
        <f>IF(BM67&lt;Bewertung_Stammdaten!F$90,Bewertung_Stammdaten!E$90,IF(BM67&lt;Bewertung_Stammdaten!F$91,Bewertung_Stammdaten!E$91,IF(BM67&lt;Bewertung_Stammdaten!F$92,Bewertung_Stammdaten!E$92,IF(BM67&lt;Bewertung_Stammdaten!F$93,Bewertung_Stammdaten!E$93,IF(BM67&lt;Bewertung_Stammdaten!F$94,Bewertung_Stammdaten!E$94,IF(BM67&lt;Bewertung_Stammdaten!F$95,Bewertung_Stammdaten!E$95,IF(BM67&lt;Bewertung_Stammdaten!F$96,Bewertung_Stammdaten!E$96,IF(BM67&lt;Bewertung_Stammdaten!F$97,Bewertung_Stammdaten!E$97,IF(BM67&lt;Bewertung_Stammdaten!F$98,Bewertung_Stammdaten!E$98,Bewertung_Stammdaten!E$99)))))))))</f>
        <v>1</v>
      </c>
      <c r="BQ67" s="32">
        <f ca="1">IF(BN67&lt;Bewertung_Stammdaten!J$90,Bewertung_Stammdaten!I$90,IF(BN67&lt;Bewertung_Stammdaten!J$91,Bewertung_Stammdaten!I$91,IF(BN67&lt;Bewertung_Stammdaten!J$92,Bewertung_Stammdaten!I$92,IF(BN67&lt;Bewertung_Stammdaten!J$93,Bewertung_Stammdaten!I$93,IF(BN67&lt;Bewertung_Stammdaten!J$94,Bewertung_Stammdaten!I$94,IF(BN67&lt;Bewertung_Stammdaten!J$95,Bewertung_Stammdaten!I$95,IF(BN67&lt;Bewertung_Stammdaten!J$96,Bewertung_Stammdaten!I$96,IF(BN67&lt;Bewertung_Stammdaten!J$97,Bewertung_Stammdaten!I$97,IF(BN67&lt;Bewertung_Stammdaten!J$98,Bewertung_Stammdaten!I$98,Bewertung_Stammdaten!I$99)))))))))</f>
        <v>1</v>
      </c>
    </row>
  </sheetData>
  <autoFilter ref="A2:BQ67">
    <sortState ref="A3:BQ102">
      <sortCondition descending="1" ref="D2:D102"/>
    </sortState>
  </autoFilter>
  <mergeCells count="7">
    <mergeCell ref="BO1:BQ1"/>
    <mergeCell ref="Q1:R1"/>
    <mergeCell ref="Z1:AB1"/>
    <mergeCell ref="AJ1:AL1"/>
    <mergeCell ref="BA1:BC1"/>
    <mergeCell ref="BH1:BJ1"/>
    <mergeCell ref="AT1:AV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1" operator="between" id="{63C8166B-FC08-4CD5-B8A8-1C89B662890E}">
            <xm:f>Bewertung_Stammdaten!$A$7</xm:f>
            <xm:f>"6Bewertung_Stammdaten!$B$7 "</xm:f>
            <x14:dxf>
              <fill>
                <patternFill>
                  <bgColor rgb="FF00B050"/>
                </patternFill>
              </fill>
            </x14:dxf>
          </x14:cfRule>
          <x14:cfRule type="cellIs" priority="102" operator="between" id="{38F93A9E-F28E-496C-B499-CF4007FB1E34}">
            <xm:f>Bewertung_Stammdaten!$A$6</xm:f>
            <xm:f>"67 Bewertung_Stammdaten!$B$6"</xm:f>
            <x14:dxf>
              <fill>
                <patternFill>
                  <bgColor rgb="FF92D050"/>
                </patternFill>
              </fill>
            </x14:dxf>
          </x14:cfRule>
          <x14:cfRule type="cellIs" priority="103" operator="between" id="{0411EFE1-5851-481E-A5D4-7DD10713CBBF}">
            <xm:f>Bewertung_Stammdaten!$A$5</xm:f>
            <xm:f>"67 Bewertung_Stammdaten!$B$5"</xm:f>
            <x14:dxf>
              <fill>
                <patternFill>
                  <bgColor rgb="FFFFFF00"/>
                </patternFill>
              </fill>
            </x14:dxf>
          </x14:cfRule>
          <x14:cfRule type="cellIs" priority="104" operator="between" id="{2E20D4C0-1146-4971-978E-090611A1550F}">
            <xm:f>Bewertung_Stammdaten!$A$4</xm:f>
            <xm:f>"67 Bewertung_Stammdaten!$B$4"</xm:f>
            <x14:dxf>
              <fill>
                <patternFill>
                  <bgColor rgb="FFFFC000"/>
                </patternFill>
              </fill>
            </x14:dxf>
          </x14:cfRule>
          <x14:cfRule type="cellIs" priority="105" operator="between" id="{FF55B86A-F987-491E-9E01-784A52416E54}">
            <xm:f>Bewertung_Stammdaten!$A$3</xm:f>
            <xm:f>Bewertung_Stammdaten!$B$3</xm:f>
            <x14:dxf>
              <fill>
                <patternFill>
                  <bgColor rgb="FFFF0000"/>
                </patternFill>
              </fill>
            </x14:dxf>
          </x14:cfRule>
          <xm:sqref>D3:D67</xm:sqref>
        </x14:conditionalFormatting>
        <x14:conditionalFormatting xmlns:xm="http://schemas.microsoft.com/office/excel/2006/main">
          <x14:cfRule type="cellIs" priority="106" operator="between" id="{6249F996-33D3-4149-8D87-D5130F4D4AEC}">
            <xm:f>Bewertung_Stammdaten!$A$21</xm:f>
            <xm:f>Bewertung_Stammdaten!$A$20</xm:f>
            <x14:dxf>
              <fill>
                <patternFill>
                  <bgColor rgb="FFFF0000"/>
                </patternFill>
              </fill>
            </x14:dxf>
          </x14:cfRule>
          <x14:cfRule type="cellIs" priority="107" operator="between" id="{811E650F-7585-49A0-BEDE-AB313DAE7451}">
            <xm:f>Bewertung_Stammdaten!$A$19</xm:f>
            <xm:f>Bewertung_Stammdaten!$A$18</xm:f>
            <x14:dxf>
              <fill>
                <patternFill>
                  <bgColor rgb="FFFFC000"/>
                </patternFill>
              </fill>
            </x14:dxf>
          </x14:cfRule>
          <x14:cfRule type="cellIs" priority="108" operator="between" id="{4E9DB2B1-A882-4813-93F3-5F6ACEB79A5C}">
            <xm:f>Bewertung_Stammdaten!$A$17</xm:f>
            <xm:f>Bewertung_Stammdaten!$A$16</xm:f>
            <x14:dxf>
              <fill>
                <patternFill>
                  <bgColor rgb="FFFFFF00"/>
                </patternFill>
              </fill>
            </x14:dxf>
          </x14:cfRule>
          <x14:cfRule type="cellIs" priority="109" operator="between" id="{39464DE9-00F1-45EC-BCD8-9FA1E98A89F9}">
            <xm:f>Bewertung_Stammdaten!$A$15</xm:f>
            <xm:f>Bewertung_Stammdaten!$A$14</xm:f>
            <x14:dxf>
              <fill>
                <patternFill>
                  <bgColor rgb="FF92D050"/>
                </patternFill>
              </fill>
            </x14:dxf>
          </x14:cfRule>
          <x14:cfRule type="cellIs" priority="110" operator="between" id="{6274F28E-8965-448D-9EBA-0148C79CA3E6}">
            <xm:f>Bewertung_Stammdaten!$A$13</xm:f>
            <xm:f>Bewertung_Stammdaten!$A$12</xm:f>
            <x14:dxf>
              <fill>
                <patternFill>
                  <bgColor rgb="FF00B050"/>
                </patternFill>
              </fill>
            </x14:dxf>
          </x14:cfRule>
          <xm:sqref>Q3:Q67</xm:sqref>
        </x14:conditionalFormatting>
        <x14:conditionalFormatting xmlns:xm="http://schemas.microsoft.com/office/excel/2006/main">
          <x14:cfRule type="cellIs" priority="111" operator="between" id="{10002E2C-394C-42E1-850E-2E078FB9B1D5}">
            <xm:f>Bewertung_Stammdaten!$E$21</xm:f>
            <xm:f>Bewertung_Stammdaten!$E$20</xm:f>
            <x14:dxf>
              <fill>
                <patternFill>
                  <bgColor rgb="FFFF0000"/>
                </patternFill>
              </fill>
            </x14:dxf>
          </x14:cfRule>
          <x14:cfRule type="cellIs" priority="112" operator="between" id="{9319E1C4-C1D9-4B38-B2E9-DE276FFB1C32}">
            <xm:f>Bewertung_Stammdaten!$E$19</xm:f>
            <xm:f>Bewertung_Stammdaten!$E$18</xm:f>
            <x14:dxf>
              <fill>
                <patternFill>
                  <bgColor rgb="FFFFC000"/>
                </patternFill>
              </fill>
            </x14:dxf>
          </x14:cfRule>
          <x14:cfRule type="cellIs" priority="113" operator="between" id="{3207B45D-C773-4BC9-9503-35A7CA198346}">
            <xm:f>Bewertung_Stammdaten!$E$17</xm:f>
            <xm:f>Bewertung_Stammdaten!$E$16</xm:f>
            <x14:dxf>
              <fill>
                <patternFill>
                  <bgColor rgb="FFFFFF00"/>
                </patternFill>
              </fill>
            </x14:dxf>
          </x14:cfRule>
          <x14:cfRule type="cellIs" priority="114" operator="between" id="{3290EE89-EAC2-433A-95A0-59D2E6730CF4}">
            <xm:f>Bewertung_Stammdaten!$E$15</xm:f>
            <xm:f>Bewertung_Stammdaten!$E$14</xm:f>
            <x14:dxf>
              <fill>
                <patternFill>
                  <bgColor rgb="FF92D050"/>
                </patternFill>
              </fill>
            </x14:dxf>
          </x14:cfRule>
          <x14:cfRule type="cellIs" priority="115" operator="between" id="{C3DAE2D6-7D97-4E3B-95CA-65F7DC0197EA}">
            <xm:f>Bewertung_Stammdaten!$E$13</xm:f>
            <xm:f>Bewertung_Stammdaten!$E$12</xm:f>
            <x14:dxf>
              <fill>
                <patternFill>
                  <bgColor rgb="FF00B050"/>
                </patternFill>
              </fill>
            </x14:dxf>
          </x14:cfRule>
          <xm:sqref>R3:R67</xm:sqref>
        </x14:conditionalFormatting>
        <x14:conditionalFormatting xmlns:xm="http://schemas.microsoft.com/office/excel/2006/main">
          <x14:cfRule type="cellIs" priority="116" operator="between" id="{3F98EAF3-FDD8-46D2-A390-96B1C78F66E3}">
            <xm:f>Bewertung_Stammdaten!$A$33</xm:f>
            <xm:f>Bewertung_Stammdaten!$A$34</xm:f>
            <x14:dxf>
              <fill>
                <patternFill>
                  <bgColor rgb="FF00B050"/>
                </patternFill>
              </fill>
            </x14:dxf>
          </x14:cfRule>
          <x14:cfRule type="cellIs" priority="117" operator="between" id="{0D639024-1C66-4E16-8733-A27E894490BE}">
            <xm:f>Bewertung_Stammdaten!$A$31</xm:f>
            <xm:f>Bewertung_Stammdaten!$A$32</xm:f>
            <x14:dxf>
              <fill>
                <patternFill>
                  <bgColor rgb="FF92D050"/>
                </patternFill>
              </fill>
            </x14:dxf>
          </x14:cfRule>
          <x14:cfRule type="cellIs" priority="118" operator="between" id="{6B11322E-32AD-4C2F-9A41-CA83B9B8B1CC}">
            <xm:f>Bewertung_Stammdaten!$A$29</xm:f>
            <xm:f>Bewertung_Stammdaten!$A$30</xm:f>
            <x14:dxf>
              <fill>
                <patternFill>
                  <bgColor rgb="FFFFFF00"/>
                </patternFill>
              </fill>
            </x14:dxf>
          </x14:cfRule>
          <x14:cfRule type="cellIs" priority="119" operator="between" id="{DDFA5510-7986-4D6E-84AA-C824C1C94832}">
            <xm:f>Bewertung_Stammdaten!$A$27</xm:f>
            <xm:f>Bewertung_Stammdaten!$A$28</xm:f>
            <x14:dxf>
              <fill>
                <patternFill>
                  <bgColor rgb="FFFFC000"/>
                </patternFill>
              </fill>
            </x14:dxf>
          </x14:cfRule>
          <x14:cfRule type="cellIs" priority="120" operator="between" id="{870DE190-6EB5-4E5B-BA5C-6120049962A8}">
            <xm:f>Bewertung_Stammdaten!$A$25</xm:f>
            <xm:f>Bewertung_Stammdaten!$A$26</xm:f>
            <x14:dxf>
              <fill>
                <patternFill>
                  <bgColor rgb="FFFF0000"/>
                </patternFill>
              </fill>
            </x14:dxf>
          </x14:cfRule>
          <xm:sqref>Z3:Z67</xm:sqref>
        </x14:conditionalFormatting>
        <x14:conditionalFormatting xmlns:xm="http://schemas.microsoft.com/office/excel/2006/main">
          <x14:cfRule type="cellIs" priority="121" operator="between" id="{1A7BCB38-44A3-475E-BA50-9305C98BC1D5}">
            <xm:f>Bewertung_Stammdaten!$E$33</xm:f>
            <xm:f>Bewertung_Stammdaten!$E$34</xm:f>
            <x14:dxf>
              <fill>
                <patternFill>
                  <bgColor rgb="FF00B050"/>
                </patternFill>
              </fill>
            </x14:dxf>
          </x14:cfRule>
          <x14:cfRule type="cellIs" priority="122" operator="between" id="{AB15FA17-7315-4B78-A77C-52FE0F358DC4}">
            <xm:f>Bewertung_Stammdaten!$E$31</xm:f>
            <xm:f>Bewertung_Stammdaten!$E$32</xm:f>
            <x14:dxf>
              <fill>
                <patternFill>
                  <bgColor rgb="FF92D050"/>
                </patternFill>
              </fill>
            </x14:dxf>
          </x14:cfRule>
          <x14:cfRule type="cellIs" priority="123" operator="between" id="{92D1AA71-4E29-4CA6-A760-E31F051F21A8}">
            <xm:f>Bewertung_Stammdaten!$E$29</xm:f>
            <xm:f>Bewertung_Stammdaten!$E$30</xm:f>
            <x14:dxf>
              <fill>
                <patternFill>
                  <bgColor rgb="FFFFFF00"/>
                </patternFill>
              </fill>
            </x14:dxf>
          </x14:cfRule>
          <x14:cfRule type="cellIs" priority="124" operator="between" id="{E07C66A7-E7AC-41F9-9A3A-28D5E316CB15}">
            <xm:f>Bewertung_Stammdaten!$E$27</xm:f>
            <xm:f>Bewertung_Stammdaten!$E$28</xm:f>
            <x14:dxf>
              <fill>
                <patternFill>
                  <bgColor rgb="FFFFC000"/>
                </patternFill>
              </fill>
            </x14:dxf>
          </x14:cfRule>
          <x14:cfRule type="cellIs" priority="125" operator="between" id="{5AD0F363-A209-406F-A23A-19C766214704}">
            <xm:f>Bewertung_Stammdaten!$E$25</xm:f>
            <xm:f>Bewertung_Stammdaten!$E$26</xm:f>
            <x14:dxf>
              <fill>
                <patternFill>
                  <bgColor rgb="FFFF0000"/>
                </patternFill>
              </fill>
            </x14:dxf>
          </x14:cfRule>
          <xm:sqref>AA3:AA67</xm:sqref>
        </x14:conditionalFormatting>
        <x14:conditionalFormatting xmlns:xm="http://schemas.microsoft.com/office/excel/2006/main">
          <x14:cfRule type="cellIs" priority="131" operator="between" id="{9CEEA2A0-6B41-47E3-84BA-8D4B87B67EB1}">
            <xm:f>Bewertung_Stammdaten!$I$33</xm:f>
            <xm:f>Bewertung_Stammdaten!$I$34</xm:f>
            <x14:dxf>
              <fill>
                <patternFill>
                  <bgColor rgb="FF00B050"/>
                </patternFill>
              </fill>
            </x14:dxf>
          </x14:cfRule>
          <x14:cfRule type="cellIs" priority="132" operator="between" id="{08BED081-97FF-4765-ABD4-C5DECFA774C5}">
            <xm:f>Bewertung_Stammdaten!$I$31</xm:f>
            <xm:f>Bewertung_Stammdaten!$I$32</xm:f>
            <x14:dxf>
              <fill>
                <patternFill>
                  <bgColor rgb="FF92D050"/>
                </patternFill>
              </fill>
            </x14:dxf>
          </x14:cfRule>
          <x14:cfRule type="cellIs" priority="133" operator="between" id="{A4B2789F-FC41-4A09-A40D-9C96B1BB6C1B}">
            <xm:f>Bewertung_Stammdaten!$I$29</xm:f>
            <xm:f>Bewertung_Stammdaten!$I$30</xm:f>
            <x14:dxf>
              <fill>
                <patternFill>
                  <bgColor rgb="FFFFFF00"/>
                </patternFill>
              </fill>
            </x14:dxf>
          </x14:cfRule>
          <x14:cfRule type="cellIs" priority="134" operator="between" id="{85EF9746-1259-4709-96DE-7D3900B1AB12}">
            <xm:f>Bewertung_Stammdaten!$I$27</xm:f>
            <xm:f>Bewertung_Stammdaten!$I$28</xm:f>
            <x14:dxf>
              <fill>
                <patternFill>
                  <bgColor rgb="FFFFC000"/>
                </patternFill>
              </fill>
            </x14:dxf>
          </x14:cfRule>
          <x14:cfRule type="cellIs" priority="135" operator="between" id="{DE8B56EE-1936-47D0-A689-FBA5A5EB1920}">
            <xm:f>Bewertung_Stammdaten!$I$25</xm:f>
            <xm:f>Bewertung_Stammdaten!$I$26</xm:f>
            <x14:dxf>
              <fill>
                <patternFill>
                  <bgColor rgb="FFFF0000"/>
                </patternFill>
              </fill>
            </x14:dxf>
          </x14:cfRule>
          <xm:sqref>AB3:AB67</xm:sqref>
        </x14:conditionalFormatting>
        <x14:conditionalFormatting xmlns:xm="http://schemas.microsoft.com/office/excel/2006/main">
          <x14:cfRule type="cellIs" priority="136" operator="between" id="{83343DFF-6FC7-42A8-8B0A-8F20D9EBD9B1}">
            <xm:f>Bewertung_Stammdaten!$A$46</xm:f>
            <xm:f>Bewertung_Stammdaten!$A$47</xm:f>
            <x14:dxf>
              <fill>
                <patternFill>
                  <bgColor rgb="FF00B050"/>
                </patternFill>
              </fill>
            </x14:dxf>
          </x14:cfRule>
          <x14:cfRule type="cellIs" priority="137" operator="between" id="{474FB891-9AF7-486F-8AE0-6CE6EB33929C}">
            <xm:f>Bewertung_Stammdaten!$A$44</xm:f>
            <xm:f>Bewertung_Stammdaten!$A$45</xm:f>
            <x14:dxf>
              <fill>
                <patternFill>
                  <bgColor rgb="FF92D050"/>
                </patternFill>
              </fill>
            </x14:dxf>
          </x14:cfRule>
          <x14:cfRule type="cellIs" priority="138" operator="between" id="{4C6B6BAA-3624-4511-A9D7-F7BDA4E9F1A3}">
            <xm:f>Bewertung_Stammdaten!$A$42</xm:f>
            <xm:f>Bewertung_Stammdaten!$A$43</xm:f>
            <x14:dxf>
              <fill>
                <patternFill>
                  <bgColor rgb="FFFFFF00"/>
                </patternFill>
              </fill>
            </x14:dxf>
          </x14:cfRule>
          <x14:cfRule type="cellIs" priority="139" operator="between" id="{9F6EEC9D-D707-45FD-95AE-49ED2C0E1523}">
            <xm:f>Bewertung_Stammdaten!$A$40</xm:f>
            <xm:f>Bewertung_Stammdaten!$A$41</xm:f>
            <x14:dxf>
              <fill>
                <patternFill>
                  <bgColor rgb="FFFFC000"/>
                </patternFill>
              </fill>
            </x14:dxf>
          </x14:cfRule>
          <x14:cfRule type="cellIs" priority="140" operator="between" id="{6B06BA73-AEEA-488B-A114-E7A6E446476C}">
            <xm:f>Bewertung_Stammdaten!$A$38</xm:f>
            <xm:f>Bewertung_Stammdaten!$A$39</xm:f>
            <x14:dxf>
              <fill>
                <patternFill>
                  <bgColor rgb="FFFF0000"/>
                </patternFill>
              </fill>
            </x14:dxf>
          </x14:cfRule>
          <xm:sqref>AJ3:AJ67</xm:sqref>
        </x14:conditionalFormatting>
        <x14:conditionalFormatting xmlns:xm="http://schemas.microsoft.com/office/excel/2006/main">
          <x14:cfRule type="cellIs" priority="141" operator="between" id="{2141D490-A578-4F00-B776-B176904B0AAA}">
            <xm:f>Bewertung_Stammdaten!$E$46</xm:f>
            <xm:f>Bewertung_Stammdaten!$E$47</xm:f>
            <x14:dxf>
              <fill>
                <patternFill>
                  <bgColor rgb="FF00B050"/>
                </patternFill>
              </fill>
            </x14:dxf>
          </x14:cfRule>
          <x14:cfRule type="cellIs" priority="142" operator="between" id="{2A51EBF7-F3A9-4851-90E4-FFFF34A4F66F}">
            <xm:f>Bewertung_Stammdaten!$E$44</xm:f>
            <xm:f>Bewertung_Stammdaten!$E$45</xm:f>
            <x14:dxf>
              <fill>
                <patternFill>
                  <bgColor rgb="FF92D050"/>
                </patternFill>
              </fill>
            </x14:dxf>
          </x14:cfRule>
          <x14:cfRule type="cellIs" priority="143" operator="between" id="{82F3751B-BA70-4503-AD1D-A341C1BB61AF}">
            <xm:f>Bewertung_Stammdaten!$E$42</xm:f>
            <xm:f>Bewertung_Stammdaten!$E$43</xm:f>
            <x14:dxf>
              <fill>
                <patternFill>
                  <bgColor rgb="FFFFFF00"/>
                </patternFill>
              </fill>
            </x14:dxf>
          </x14:cfRule>
          <x14:cfRule type="cellIs" priority="144" operator="between" id="{50487AAE-7F5B-4F6E-A6B2-859F0E316BB8}">
            <xm:f>Bewertung_Stammdaten!$E$40</xm:f>
            <xm:f>Bewertung_Stammdaten!$E$41</xm:f>
            <x14:dxf>
              <fill>
                <patternFill>
                  <bgColor rgb="FFFFC000"/>
                </patternFill>
              </fill>
            </x14:dxf>
          </x14:cfRule>
          <x14:cfRule type="cellIs" priority="145" operator="between" id="{7A478B27-05F2-40F5-8404-DDA0FC36B3FF}">
            <xm:f>Bewertung_Stammdaten!$E$38</xm:f>
            <xm:f>Bewertung_Stammdaten!$E$39</xm:f>
            <x14:dxf>
              <fill>
                <patternFill>
                  <bgColor rgb="FFFF0000"/>
                </patternFill>
              </fill>
            </x14:dxf>
          </x14:cfRule>
          <xm:sqref>AK3:AK67</xm:sqref>
        </x14:conditionalFormatting>
        <x14:conditionalFormatting xmlns:xm="http://schemas.microsoft.com/office/excel/2006/main">
          <x14:cfRule type="cellIs" priority="146" operator="between" id="{A6469B85-B972-4661-912C-EBCFD704B86E}">
            <xm:f>Bewertung_Stammdaten!$I$46</xm:f>
            <xm:f>Bewertung_Stammdaten!$I$47</xm:f>
            <x14:dxf>
              <fill>
                <patternFill>
                  <bgColor rgb="FF00B050"/>
                </patternFill>
              </fill>
            </x14:dxf>
          </x14:cfRule>
          <x14:cfRule type="cellIs" priority="147" operator="between" id="{F3EFB700-E1D8-4381-85FE-8F1264ABFA91}">
            <xm:f>Bewertung_Stammdaten!$I$44</xm:f>
            <xm:f>Bewertung_Stammdaten!$I$45</xm:f>
            <x14:dxf>
              <fill>
                <patternFill>
                  <bgColor rgb="FF92D050"/>
                </patternFill>
              </fill>
            </x14:dxf>
          </x14:cfRule>
          <x14:cfRule type="cellIs" priority="148" operator="between" id="{A20AFAB3-D9B2-4DD7-8005-45DE816BE0F3}">
            <xm:f>Bewertung_Stammdaten!$I$42</xm:f>
            <xm:f>Bewertung_Stammdaten!$I$43</xm:f>
            <x14:dxf>
              <fill>
                <patternFill>
                  <bgColor rgb="FFFFFF00"/>
                </patternFill>
              </fill>
            </x14:dxf>
          </x14:cfRule>
          <x14:cfRule type="cellIs" priority="149" operator="between" id="{56748A48-4C48-4786-9F33-1E056EFBE264}">
            <xm:f>Bewertung_Stammdaten!$I$40</xm:f>
            <xm:f>Bewertung_Stammdaten!$I$41</xm:f>
            <x14:dxf>
              <fill>
                <patternFill>
                  <bgColor rgb="FFFFC000"/>
                </patternFill>
              </fill>
            </x14:dxf>
          </x14:cfRule>
          <x14:cfRule type="cellIs" priority="150" operator="between" id="{1C4786A2-CD5F-4E88-9320-C57228BB3192}">
            <xm:f>Bewertung_Stammdaten!$I$38</xm:f>
            <xm:f>Bewertung_Stammdaten!$I$39</xm:f>
            <x14:dxf>
              <fill>
                <patternFill>
                  <bgColor rgb="FFFF0000"/>
                </patternFill>
              </fill>
            </x14:dxf>
          </x14:cfRule>
          <xm:sqref>AL3:AL67</xm:sqref>
        </x14:conditionalFormatting>
        <x14:conditionalFormatting xmlns:xm="http://schemas.microsoft.com/office/excel/2006/main">
          <x14:cfRule type="cellIs" priority="151" operator="between" id="{7EB8D8BF-A86C-4688-8C93-9791DA733EF2}">
            <xm:f>Bewertung_Stammdaten!$A$59</xm:f>
            <xm:f>Bewertung_Stammdaten!$A$60</xm:f>
            <x14:dxf>
              <fill>
                <patternFill>
                  <bgColor rgb="FF00B050"/>
                </patternFill>
              </fill>
            </x14:dxf>
          </x14:cfRule>
          <x14:cfRule type="cellIs" priority="152" operator="between" id="{A9786820-5000-42AF-B1FA-8A696A1D13BC}">
            <xm:f>Bewertung_Stammdaten!$A$57</xm:f>
            <xm:f>Bewertung_Stammdaten!$A$58</xm:f>
            <x14:dxf>
              <fill>
                <patternFill>
                  <bgColor rgb="FF92D050"/>
                </patternFill>
              </fill>
            </x14:dxf>
          </x14:cfRule>
          <x14:cfRule type="cellIs" priority="153" operator="between" id="{80FCD9ED-97B1-4C52-BF16-3161FE64F34D}">
            <xm:f>Bewertung_Stammdaten!$A$55</xm:f>
            <xm:f>Bewertung_Stammdaten!$A$56</xm:f>
            <x14:dxf>
              <fill>
                <patternFill>
                  <bgColor rgb="FFFFFF00"/>
                </patternFill>
              </fill>
            </x14:dxf>
          </x14:cfRule>
          <x14:cfRule type="cellIs" priority="154" operator="between" id="{F0E3AD58-55D9-4C9B-B654-D9A0F4FF7298}">
            <xm:f>Bewertung_Stammdaten!$A$53</xm:f>
            <xm:f>Bewertung_Stammdaten!$A$54</xm:f>
            <x14:dxf>
              <fill>
                <patternFill>
                  <bgColor rgb="FFFFC000"/>
                </patternFill>
              </fill>
            </x14:dxf>
          </x14:cfRule>
          <x14:cfRule type="cellIs" priority="155" operator="between" id="{C8F0A4D9-C0E0-40D0-BAF4-216EBB26933B}">
            <xm:f>Bewertung_Stammdaten!$A$51</xm:f>
            <xm:f>Bewertung_Stammdaten!$A$52</xm:f>
            <x14:dxf>
              <fill>
                <patternFill>
                  <bgColor rgb="FFFF0000"/>
                </patternFill>
              </fill>
            </x14:dxf>
          </x14:cfRule>
          <xm:sqref>AT3:AT67</xm:sqref>
        </x14:conditionalFormatting>
        <x14:conditionalFormatting xmlns:xm="http://schemas.microsoft.com/office/excel/2006/main">
          <x14:cfRule type="cellIs" priority="156" operator="between" id="{83668E61-3B59-48CB-8C23-AC3A08C3E671}">
            <xm:f>Bewertung_Stammdaten!$E$59</xm:f>
            <xm:f>Bewertung_Stammdaten!$E$60</xm:f>
            <x14:dxf>
              <fill>
                <patternFill>
                  <bgColor rgb="FF00B050"/>
                </patternFill>
              </fill>
            </x14:dxf>
          </x14:cfRule>
          <x14:cfRule type="cellIs" priority="157" operator="between" id="{960080D8-14C2-49F9-8749-1C68A2DE3149}">
            <xm:f>Bewertung_Stammdaten!$E$57</xm:f>
            <xm:f>Bewertung_Stammdaten!$E$58</xm:f>
            <x14:dxf>
              <fill>
                <patternFill>
                  <bgColor rgb="FF92D050"/>
                </patternFill>
              </fill>
            </x14:dxf>
          </x14:cfRule>
          <x14:cfRule type="cellIs" priority="158" operator="between" id="{638F3F71-6599-4195-9EAD-63EA24DE9180}">
            <xm:f>Bewertung_Stammdaten!$E$55</xm:f>
            <xm:f>Bewertung_Stammdaten!$E$56</xm:f>
            <x14:dxf>
              <fill>
                <patternFill>
                  <bgColor rgb="FFFFFF00"/>
                </patternFill>
              </fill>
            </x14:dxf>
          </x14:cfRule>
          <x14:cfRule type="cellIs" priority="159" operator="between" id="{EE890125-7E93-46CD-8A50-2563B9540CFE}">
            <xm:f>Bewertung_Stammdaten!$E$53</xm:f>
            <xm:f>Bewertung_Stammdaten!$E$54</xm:f>
            <x14:dxf>
              <fill>
                <patternFill>
                  <bgColor rgb="FFFFC000"/>
                </patternFill>
              </fill>
            </x14:dxf>
          </x14:cfRule>
          <x14:cfRule type="cellIs" priority="160" operator="between" id="{8AEF939B-72DC-46C7-94BA-4C89976C30A4}">
            <xm:f>Bewertung_Stammdaten!$E$51</xm:f>
            <xm:f>Bewertung_Stammdaten!$E$52</xm:f>
            <x14:dxf>
              <fill>
                <patternFill>
                  <bgColor rgb="FFFF0000"/>
                </patternFill>
              </fill>
            </x14:dxf>
          </x14:cfRule>
          <xm:sqref>AU3:AU67</xm:sqref>
        </x14:conditionalFormatting>
        <x14:conditionalFormatting xmlns:xm="http://schemas.microsoft.com/office/excel/2006/main">
          <x14:cfRule type="cellIs" priority="161" operator="between" id="{0F447F61-BF20-4766-8A7C-2C05C04E04B7}">
            <xm:f>Bewertung_Stammdaten!$I$59</xm:f>
            <xm:f>Bewertung_Stammdaten!$I$60</xm:f>
            <x14:dxf>
              <fill>
                <patternFill>
                  <bgColor rgb="FF00B050"/>
                </patternFill>
              </fill>
            </x14:dxf>
          </x14:cfRule>
          <x14:cfRule type="cellIs" priority="162" operator="between" id="{C0B960CF-589D-4AA3-B8FD-251D31B72C40}">
            <xm:f>Bewertung_Stammdaten!$I$57</xm:f>
            <xm:f>Bewertung_Stammdaten!$I$58</xm:f>
            <x14:dxf>
              <fill>
                <patternFill>
                  <bgColor rgb="FF92D050"/>
                </patternFill>
              </fill>
            </x14:dxf>
          </x14:cfRule>
          <x14:cfRule type="cellIs" priority="163" operator="between" id="{343284C3-7CB4-4213-ABD0-C5C548D2035A}">
            <xm:f>Bewertung_Stammdaten!$I$55</xm:f>
            <xm:f>Bewertung_Stammdaten!$I$56</xm:f>
            <x14:dxf>
              <fill>
                <patternFill>
                  <bgColor rgb="FFFFFF00"/>
                </patternFill>
              </fill>
            </x14:dxf>
          </x14:cfRule>
          <x14:cfRule type="cellIs" priority="164" operator="between" id="{6B2CEA03-C54A-47B8-90DB-100AF49D0B0A}">
            <xm:f>Bewertung_Stammdaten!$I$53</xm:f>
            <xm:f>Bewertung_Stammdaten!$I$54</xm:f>
            <x14:dxf>
              <fill>
                <patternFill>
                  <bgColor rgb="FFFFC000"/>
                </patternFill>
              </fill>
            </x14:dxf>
          </x14:cfRule>
          <x14:cfRule type="cellIs" priority="165" operator="between" id="{C54FE898-2FDE-4661-B15C-0D12BCFA3AB6}">
            <xm:f>Bewertung_Stammdaten!$I$51</xm:f>
            <xm:f>Bewertung_Stammdaten!$I$52</xm:f>
            <x14:dxf>
              <fill>
                <patternFill>
                  <bgColor rgb="FFFF0000"/>
                </patternFill>
              </fill>
            </x14:dxf>
          </x14:cfRule>
          <xm:sqref>AV3:AV67</xm:sqref>
        </x14:conditionalFormatting>
        <x14:conditionalFormatting xmlns:xm="http://schemas.microsoft.com/office/excel/2006/main">
          <x14:cfRule type="cellIs" priority="166" operator="between" id="{AE31C88E-B54C-4C46-9FA9-B56D0F1DACAA}">
            <xm:f>Bewertung_Stammdaten!$A$72</xm:f>
            <xm:f>Bewertung_Stammdaten!$A$73</xm:f>
            <x14:dxf>
              <fill>
                <patternFill>
                  <bgColor rgb="FF00B050"/>
                </patternFill>
              </fill>
            </x14:dxf>
          </x14:cfRule>
          <x14:cfRule type="cellIs" priority="167" operator="between" id="{FE3327C2-887E-47CB-9C60-0C1E1F776789}">
            <xm:f>Bewertung_Stammdaten!$A$70</xm:f>
            <xm:f>Bewertung_Stammdaten!$A$71</xm:f>
            <x14:dxf>
              <fill>
                <patternFill>
                  <bgColor rgb="FF92D050"/>
                </patternFill>
              </fill>
            </x14:dxf>
          </x14:cfRule>
          <x14:cfRule type="cellIs" priority="168" operator="between" id="{51F91D54-9001-499F-942C-01BD750D2BC8}">
            <xm:f>Bewertung_Stammdaten!$A$68</xm:f>
            <xm:f>Bewertung_Stammdaten!$A$69</xm:f>
            <x14:dxf>
              <fill>
                <patternFill>
                  <bgColor rgb="FFFFFF00"/>
                </patternFill>
              </fill>
            </x14:dxf>
          </x14:cfRule>
          <x14:cfRule type="cellIs" priority="169" operator="between" id="{C29345AC-D6E1-4EFA-9445-28D70C7A3E85}">
            <xm:f>Bewertung_Stammdaten!$A$66</xm:f>
            <xm:f>Bewertung_Stammdaten!$A$67</xm:f>
            <x14:dxf>
              <fill>
                <patternFill>
                  <bgColor rgb="FFFFC000"/>
                </patternFill>
              </fill>
            </x14:dxf>
          </x14:cfRule>
          <x14:cfRule type="cellIs" priority="170" operator="between" id="{E14CAA51-6369-4A10-B43B-72233B4FB6C2}">
            <xm:f>Bewertung_Stammdaten!$A$64</xm:f>
            <xm:f>Bewertung_Stammdaten!$A$65</xm:f>
            <x14:dxf>
              <fill>
                <patternFill>
                  <bgColor rgb="FFFF0000"/>
                </patternFill>
              </fill>
            </x14:dxf>
          </x14:cfRule>
          <xm:sqref>BA3:BA67</xm:sqref>
        </x14:conditionalFormatting>
        <x14:conditionalFormatting xmlns:xm="http://schemas.microsoft.com/office/excel/2006/main">
          <x14:cfRule type="cellIs" priority="171" operator="between" id="{3967F90A-B7D2-4E4B-A545-2FFD5959F1A0}">
            <xm:f>Bewertung_Stammdaten!$E$72</xm:f>
            <xm:f>Bewertung_Stammdaten!$E$73</xm:f>
            <x14:dxf>
              <fill>
                <patternFill>
                  <bgColor rgb="FF00B050"/>
                </patternFill>
              </fill>
            </x14:dxf>
          </x14:cfRule>
          <x14:cfRule type="cellIs" priority="172" operator="between" id="{B7BD374B-55A1-420A-9B46-488EB457FEC8}">
            <xm:f>Bewertung_Stammdaten!$E$70</xm:f>
            <xm:f>Bewertung_Stammdaten!$E$71</xm:f>
            <x14:dxf>
              <fill>
                <patternFill>
                  <bgColor rgb="FF92D050"/>
                </patternFill>
              </fill>
            </x14:dxf>
          </x14:cfRule>
          <x14:cfRule type="cellIs" priority="173" operator="between" id="{8E7EE116-4468-41E3-A1DD-E27695E060E9}">
            <xm:f>Bewertung_Stammdaten!$E$68</xm:f>
            <xm:f>Bewertung_Stammdaten!$E$69</xm:f>
            <x14:dxf>
              <fill>
                <patternFill>
                  <bgColor rgb="FFFFFF00"/>
                </patternFill>
              </fill>
            </x14:dxf>
          </x14:cfRule>
          <x14:cfRule type="cellIs" priority="174" operator="between" id="{3FE04EE0-2482-43D6-AD20-BC37427446CB}">
            <xm:f>Bewertung_Stammdaten!$E$66</xm:f>
            <xm:f>Bewertung_Stammdaten!$E$67</xm:f>
            <x14:dxf>
              <fill>
                <patternFill>
                  <bgColor rgb="FFFFC000"/>
                </patternFill>
              </fill>
            </x14:dxf>
          </x14:cfRule>
          <x14:cfRule type="cellIs" priority="175" operator="between" id="{14937FD4-5346-428B-BF0B-A732FE09DDF3}">
            <xm:f>Bewertung_Stammdaten!$E$64</xm:f>
            <xm:f>Bewertung_Stammdaten!$E$65</xm:f>
            <x14:dxf>
              <fill>
                <patternFill>
                  <bgColor rgb="FFFF0000"/>
                </patternFill>
              </fill>
            </x14:dxf>
          </x14:cfRule>
          <xm:sqref>BB3:BB67</xm:sqref>
        </x14:conditionalFormatting>
        <x14:conditionalFormatting xmlns:xm="http://schemas.microsoft.com/office/excel/2006/main">
          <x14:cfRule type="cellIs" priority="176" operator="between" id="{B7344835-C219-4818-9038-598B72EEB1AD}">
            <xm:f>Bewertung_Stammdaten!$I$72</xm:f>
            <xm:f>Bewertung_Stammdaten!$I$73</xm:f>
            <x14:dxf>
              <fill>
                <patternFill>
                  <bgColor rgb="FF00B050"/>
                </patternFill>
              </fill>
            </x14:dxf>
          </x14:cfRule>
          <x14:cfRule type="cellIs" priority="177" operator="between" id="{2A03A360-E0BE-4A85-8CE6-2C288A5FD500}">
            <xm:f>Bewertung_Stammdaten!$I$70</xm:f>
            <xm:f>Bewertung_Stammdaten!$I$71</xm:f>
            <x14:dxf>
              <fill>
                <patternFill>
                  <bgColor rgb="FF92D050"/>
                </patternFill>
              </fill>
            </x14:dxf>
          </x14:cfRule>
          <x14:cfRule type="cellIs" priority="178" operator="between" id="{3AFA8F76-BCF5-4415-870D-5F3207375419}">
            <xm:f>Bewertung_Stammdaten!$I$68</xm:f>
            <xm:f>Bewertung_Stammdaten!$I$69</xm:f>
            <x14:dxf>
              <fill>
                <patternFill>
                  <bgColor rgb="FFFFFF00"/>
                </patternFill>
              </fill>
            </x14:dxf>
          </x14:cfRule>
          <x14:cfRule type="cellIs" priority="179" operator="between" id="{9E615651-38F6-4321-9408-F67B37987A45}">
            <xm:f>Bewertung_Stammdaten!$I$66</xm:f>
            <xm:f>Bewertung_Stammdaten!$I$67</xm:f>
            <x14:dxf>
              <fill>
                <patternFill>
                  <bgColor rgb="FFFFC000"/>
                </patternFill>
              </fill>
            </x14:dxf>
          </x14:cfRule>
          <x14:cfRule type="cellIs" priority="180" operator="between" id="{E2729D43-96D7-4B61-A317-43291FA5676A}">
            <xm:f>Bewertung_Stammdaten!$I$64</xm:f>
            <xm:f>Bewertung_Stammdaten!$I$65</xm:f>
            <x14:dxf>
              <fill>
                <patternFill>
                  <bgColor rgb="FFFF0000"/>
                </patternFill>
              </fill>
            </x14:dxf>
          </x14:cfRule>
          <xm:sqref>BC3:BC67</xm:sqref>
        </x14:conditionalFormatting>
        <x14:conditionalFormatting xmlns:xm="http://schemas.microsoft.com/office/excel/2006/main">
          <x14:cfRule type="cellIs" priority="181" operator="between" id="{FEC46B71-8682-4C20-AC61-67A9994C73BA}">
            <xm:f>Bewertung_Stammdaten!$A$86</xm:f>
            <xm:f>Bewertung_Stammdaten!$A$85</xm:f>
            <x14:dxf>
              <fill>
                <patternFill>
                  <bgColor rgb="FFFF0000"/>
                </patternFill>
              </fill>
            </x14:dxf>
          </x14:cfRule>
          <x14:cfRule type="cellIs" priority="182" operator="between" id="{E279EBD3-B9A9-4C5B-9EE1-365BB589F7F4}">
            <xm:f>Bewertung_Stammdaten!$A$84</xm:f>
            <xm:f>Bewertung_Stammdaten!$A$83</xm:f>
            <x14:dxf>
              <fill>
                <patternFill>
                  <bgColor rgb="FFFFC000"/>
                </patternFill>
              </fill>
            </x14:dxf>
          </x14:cfRule>
          <x14:cfRule type="cellIs" priority="183" operator="between" id="{7A3E30B2-AE13-468B-B46F-1B0F06C78F37}">
            <xm:f>Bewertung_Stammdaten!$A$82</xm:f>
            <xm:f>Bewertung_Stammdaten!$A$81</xm:f>
            <x14:dxf>
              <fill>
                <patternFill>
                  <bgColor rgb="FFFFFF00"/>
                </patternFill>
              </fill>
            </x14:dxf>
          </x14:cfRule>
          <x14:cfRule type="cellIs" priority="184" operator="between" id="{FE7326CE-44FE-46FE-A6BD-265E04A3684C}">
            <xm:f>Bewertung_Stammdaten!$A$80</xm:f>
            <xm:f>Bewertung_Stammdaten!$A$79</xm:f>
            <x14:dxf>
              <fill>
                <patternFill>
                  <bgColor rgb="FF92D050"/>
                </patternFill>
              </fill>
            </x14:dxf>
          </x14:cfRule>
          <x14:cfRule type="cellIs" priority="185" operator="between" id="{0A769247-FF20-4D62-B743-3797E6617714}">
            <xm:f>Bewertung_Stammdaten!$A$78</xm:f>
            <xm:f>Bewertung_Stammdaten!$A$77</xm:f>
            <x14:dxf>
              <fill>
                <patternFill>
                  <bgColor rgb="FF00B050"/>
                </patternFill>
              </fill>
            </x14:dxf>
          </x14:cfRule>
          <xm:sqref>BH3:BH67</xm:sqref>
        </x14:conditionalFormatting>
        <x14:conditionalFormatting xmlns:xm="http://schemas.microsoft.com/office/excel/2006/main">
          <x14:cfRule type="cellIs" priority="186" operator="between" id="{A27645EB-6727-4B3B-8DA4-74BEF119BA4E}">
            <xm:f>Bewertung_Stammdaten!$E$86</xm:f>
            <xm:f>Bewertung_Stammdaten!$E$85</xm:f>
            <x14:dxf>
              <fill>
                <patternFill>
                  <bgColor rgb="FFFF0000"/>
                </patternFill>
              </fill>
            </x14:dxf>
          </x14:cfRule>
          <x14:cfRule type="cellIs" priority="187" operator="between" id="{8C3BE8AC-D426-4A79-B71A-059EE5271D53}">
            <xm:f>Bewertung_Stammdaten!$E$84</xm:f>
            <xm:f>Bewertung_Stammdaten!$E$83</xm:f>
            <x14:dxf>
              <fill>
                <patternFill>
                  <bgColor rgb="FFFFC000"/>
                </patternFill>
              </fill>
            </x14:dxf>
          </x14:cfRule>
          <x14:cfRule type="cellIs" priority="188" operator="between" id="{9F6AFFE6-40F9-4FD8-8439-A367C80DCD4A}">
            <xm:f>Bewertung_Stammdaten!$E$82</xm:f>
            <xm:f>Bewertung_Stammdaten!$E$81</xm:f>
            <x14:dxf>
              <fill>
                <patternFill>
                  <bgColor rgb="FFFFFF00"/>
                </patternFill>
              </fill>
            </x14:dxf>
          </x14:cfRule>
          <x14:cfRule type="cellIs" priority="189" operator="between" id="{68EF9315-0C66-4D4C-B5EA-1DAC8061449A}">
            <xm:f>Bewertung_Stammdaten!$E$80</xm:f>
            <xm:f>Bewertung_Stammdaten!$E$79</xm:f>
            <x14:dxf>
              <fill>
                <patternFill>
                  <bgColor rgb="FF92D050"/>
                </patternFill>
              </fill>
            </x14:dxf>
          </x14:cfRule>
          <x14:cfRule type="cellIs" priority="190" operator="between" id="{37CC2720-5E18-41C5-BEB5-31C061ECCB6B}">
            <xm:f>Bewertung_Stammdaten!$E$78</xm:f>
            <xm:f>Bewertung_Stammdaten!$E$77</xm:f>
            <x14:dxf>
              <fill>
                <patternFill>
                  <bgColor rgb="FF00B050"/>
                </patternFill>
              </fill>
            </x14:dxf>
          </x14:cfRule>
          <xm:sqref>BI3:BI67</xm:sqref>
        </x14:conditionalFormatting>
        <x14:conditionalFormatting xmlns:xm="http://schemas.microsoft.com/office/excel/2006/main">
          <x14:cfRule type="cellIs" priority="191" operator="between" id="{8B444E0E-3779-42B4-9CE5-46AF6A24CFA8}">
            <xm:f>Bewertung_Stammdaten!$I$85</xm:f>
            <xm:f>Bewertung_Stammdaten!$I$86</xm:f>
            <x14:dxf>
              <fill>
                <patternFill>
                  <bgColor rgb="FF00B050"/>
                </patternFill>
              </fill>
            </x14:dxf>
          </x14:cfRule>
          <x14:cfRule type="cellIs" priority="192" operator="between" id="{DBAEBFE4-5551-4089-81E2-D520756948ED}">
            <xm:f>Bewertung_Stammdaten!$I$83</xm:f>
            <xm:f>Bewertung_Stammdaten!$I$84</xm:f>
            <x14:dxf>
              <fill>
                <patternFill>
                  <bgColor rgb="FF92D050"/>
                </patternFill>
              </fill>
            </x14:dxf>
          </x14:cfRule>
          <x14:cfRule type="cellIs" priority="193" operator="between" id="{97F43D8B-2A4D-4197-8347-9424FD33878F}">
            <xm:f>Bewertung_Stammdaten!$I$81</xm:f>
            <xm:f>Bewertung_Stammdaten!$I$82</xm:f>
            <x14:dxf>
              <fill>
                <patternFill>
                  <bgColor rgb="FFFFFF00"/>
                </patternFill>
              </fill>
            </x14:dxf>
          </x14:cfRule>
          <x14:cfRule type="cellIs" priority="194" operator="between" id="{68933F9F-29B7-4838-B9A4-3FC95E773E38}">
            <xm:f>Bewertung_Stammdaten!$I$79</xm:f>
            <xm:f>Bewertung_Stammdaten!$I$80</xm:f>
            <x14:dxf>
              <fill>
                <patternFill>
                  <bgColor rgb="FFFFC000"/>
                </patternFill>
              </fill>
            </x14:dxf>
          </x14:cfRule>
          <x14:cfRule type="cellIs" priority="195" operator="between" id="{CB50099C-477D-428A-9D0B-29EBFA52F168}">
            <xm:f>Bewertung_Stammdaten!$I$77</xm:f>
            <xm:f>Bewertung_Stammdaten!$I$78</xm:f>
            <x14:dxf>
              <fill>
                <patternFill>
                  <bgColor rgb="FFFF0000"/>
                </patternFill>
              </fill>
            </x14:dxf>
          </x14:cfRule>
          <xm:sqref>BJ3:BJ67</xm:sqref>
        </x14:conditionalFormatting>
        <x14:conditionalFormatting xmlns:xm="http://schemas.microsoft.com/office/excel/2006/main">
          <x14:cfRule type="cellIs" priority="196" operator="between" id="{F104E4C2-445E-44E8-9984-BAFAFBA6216D}">
            <xm:f>Bewertung_Stammdaten!$A$99</xm:f>
            <xm:f>Bewertung_Stammdaten!$A$98</xm:f>
            <x14:dxf>
              <fill>
                <patternFill>
                  <bgColor rgb="FFFF0000"/>
                </patternFill>
              </fill>
            </x14:dxf>
          </x14:cfRule>
          <x14:cfRule type="cellIs" priority="197" operator="between" id="{30E7C4EE-420A-46CC-AD5E-344FC7A57536}">
            <xm:f>Bewertung_Stammdaten!$A$97</xm:f>
            <xm:f>Bewertung_Stammdaten!$A$96</xm:f>
            <x14:dxf>
              <fill>
                <patternFill>
                  <bgColor rgb="FFFFC000"/>
                </patternFill>
              </fill>
            </x14:dxf>
          </x14:cfRule>
          <x14:cfRule type="cellIs" priority="198" operator="between" id="{86F1F82F-ADCD-401F-B955-055AF040A463}">
            <xm:f>Bewertung_Stammdaten!$A$95</xm:f>
            <xm:f>Bewertung_Stammdaten!$A$94</xm:f>
            <x14:dxf>
              <fill>
                <patternFill>
                  <bgColor rgb="FFFFFF00"/>
                </patternFill>
              </fill>
            </x14:dxf>
          </x14:cfRule>
          <x14:cfRule type="cellIs" priority="199" operator="between" id="{4071E6DD-DF56-4577-8A73-CB5B48542EED}">
            <xm:f>Bewertung_Stammdaten!$A$93</xm:f>
            <xm:f>Bewertung_Stammdaten!$A$92</xm:f>
            <x14:dxf>
              <fill>
                <patternFill>
                  <bgColor rgb="FF92D050"/>
                </patternFill>
              </fill>
            </x14:dxf>
          </x14:cfRule>
          <x14:cfRule type="cellIs" priority="200" operator="between" id="{6000681D-D26A-4277-8FE4-DB58DF72D462}">
            <xm:f>Bewertung_Stammdaten!$A$91</xm:f>
            <xm:f>Bewertung_Stammdaten!$A$90</xm:f>
            <x14:dxf>
              <fill>
                <patternFill>
                  <bgColor rgb="FF00B050"/>
                </patternFill>
              </fill>
            </x14:dxf>
          </x14:cfRule>
          <xm:sqref>BO3:BO67</xm:sqref>
        </x14:conditionalFormatting>
        <x14:conditionalFormatting xmlns:xm="http://schemas.microsoft.com/office/excel/2006/main">
          <x14:cfRule type="cellIs" priority="201" operator="between" id="{BA5F3657-7131-46CF-B938-9AAE3F098D84}">
            <xm:f>Bewertung_Stammdaten!$E$99</xm:f>
            <xm:f>Bewertung_Stammdaten!$E$98</xm:f>
            <x14:dxf>
              <fill>
                <patternFill>
                  <bgColor rgb="FFFF0000"/>
                </patternFill>
              </fill>
            </x14:dxf>
          </x14:cfRule>
          <x14:cfRule type="cellIs" priority="202" operator="between" id="{A627B0AB-444C-48CD-875F-12AEE9E114B0}">
            <xm:f>Bewertung_Stammdaten!$E$97</xm:f>
            <xm:f>Bewertung_Stammdaten!$E$96</xm:f>
            <x14:dxf>
              <fill>
                <patternFill>
                  <bgColor rgb="FFFFC000"/>
                </patternFill>
              </fill>
            </x14:dxf>
          </x14:cfRule>
          <x14:cfRule type="cellIs" priority="203" operator="between" id="{7FABBEDD-B69F-430B-8545-E04D467CC568}">
            <xm:f>Bewertung_Stammdaten!$E$95</xm:f>
            <xm:f>Bewertung_Stammdaten!$E$94</xm:f>
            <x14:dxf>
              <fill>
                <patternFill>
                  <bgColor rgb="FFFFFF00"/>
                </patternFill>
              </fill>
            </x14:dxf>
          </x14:cfRule>
          <x14:cfRule type="cellIs" priority="204" operator="between" id="{EF8B7B9A-0D46-4272-BD1D-0D6454C17D53}">
            <xm:f>Bewertung_Stammdaten!$E$93</xm:f>
            <xm:f>Bewertung_Stammdaten!$E$92</xm:f>
            <x14:dxf>
              <fill>
                <patternFill>
                  <bgColor rgb="FF92D050"/>
                </patternFill>
              </fill>
            </x14:dxf>
          </x14:cfRule>
          <x14:cfRule type="cellIs" priority="205" operator="between" id="{1C65C7BC-91EA-41EE-9C81-B596025F81E2}">
            <xm:f>Bewertung_Stammdaten!$E$91</xm:f>
            <xm:f>Bewertung_Stammdaten!$E$90</xm:f>
            <x14:dxf>
              <fill>
                <patternFill>
                  <bgColor rgb="FF00B050"/>
                </patternFill>
              </fill>
            </x14:dxf>
          </x14:cfRule>
          <xm:sqref>BP3:BP67</xm:sqref>
        </x14:conditionalFormatting>
        <x14:conditionalFormatting xmlns:xm="http://schemas.microsoft.com/office/excel/2006/main">
          <x14:cfRule type="cellIs" priority="206" operator="between" id="{75D940EC-5C0E-49DE-9CF1-309D220E98B7}">
            <xm:f>Bewertung_Stammdaten!$I$99</xm:f>
            <xm:f>Bewertung_Stammdaten!$I$98</xm:f>
            <x14:dxf>
              <fill>
                <patternFill>
                  <bgColor rgb="FFFF0000"/>
                </patternFill>
              </fill>
            </x14:dxf>
          </x14:cfRule>
          <x14:cfRule type="cellIs" priority="207" operator="between" id="{6D5150D3-E8DD-4844-94DF-10EBF9B1291B}">
            <xm:f>Bewertung_Stammdaten!$I$97</xm:f>
            <xm:f>Bewertung_Stammdaten!$I$96</xm:f>
            <x14:dxf>
              <fill>
                <patternFill>
                  <bgColor rgb="FFFFC000"/>
                </patternFill>
              </fill>
            </x14:dxf>
          </x14:cfRule>
          <x14:cfRule type="cellIs" priority="208" operator="between" id="{5B72B3DC-F313-41E6-AA7F-14FC26911B6E}">
            <xm:f>Bewertung_Stammdaten!$I$95</xm:f>
            <xm:f>Bewertung_Stammdaten!$I$94</xm:f>
            <x14:dxf>
              <fill>
                <patternFill>
                  <bgColor rgb="FFFFFF00"/>
                </patternFill>
              </fill>
            </x14:dxf>
          </x14:cfRule>
          <x14:cfRule type="cellIs" priority="209" operator="between" id="{97D499D2-2BE3-48CE-9035-8434CE183F60}">
            <xm:f>Bewertung_Stammdaten!$I$93</xm:f>
            <xm:f>Bewertung_Stammdaten!$I$92</xm:f>
            <x14:dxf>
              <fill>
                <patternFill>
                  <bgColor rgb="FF92D050"/>
                </patternFill>
              </fill>
            </x14:dxf>
          </x14:cfRule>
          <x14:cfRule type="cellIs" priority="210" operator="between" id="{E213560D-1716-48C5-B741-21C8436B8CEE}">
            <xm:f>Bewertung_Stammdaten!$I$91</xm:f>
            <xm:f>Bewertung_Stammdaten!$I$90</xm:f>
            <x14:dxf>
              <fill>
                <patternFill>
                  <bgColor rgb="FF00B050"/>
                </patternFill>
              </fill>
            </x14:dxf>
          </x14:cfRule>
          <xm:sqref>BQ3:BQ67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U108"/>
  <sheetViews>
    <sheetView zoomScale="60" zoomScaleNormal="60" workbookViewId="0">
      <pane ySplit="5" topLeftCell="A6" activePane="bottomLeft" state="frozenSplit"/>
      <selection pane="bottomLeft"/>
    </sheetView>
  </sheetViews>
  <sheetFormatPr baseColWidth="10" defaultRowHeight="15"/>
  <cols>
    <col min="1" max="1" width="28" customWidth="1"/>
    <col min="2" max="2" width="18.7109375" bestFit="1" customWidth="1"/>
    <col min="3" max="3" width="10.42578125" bestFit="1" customWidth="1"/>
    <col min="4" max="4" width="13.7109375" customWidth="1"/>
    <col min="5" max="5" width="11.140625" bestFit="1" customWidth="1"/>
    <col min="6" max="6" width="13.28515625" bestFit="1" customWidth="1"/>
    <col min="7" max="7" width="21.140625" bestFit="1" customWidth="1"/>
    <col min="8" max="8" width="13.42578125" customWidth="1"/>
    <col min="9" max="9" width="14.42578125" bestFit="1" customWidth="1"/>
    <col min="10" max="10" width="15.140625" bestFit="1" customWidth="1"/>
    <col min="11" max="11" width="14.42578125" bestFit="1" customWidth="1"/>
    <col min="12" max="12" width="14.85546875" bestFit="1" customWidth="1"/>
    <col min="13" max="19" width="14.85546875" customWidth="1"/>
    <col min="20" max="20" width="15.85546875" bestFit="1" customWidth="1"/>
    <col min="21" max="21" width="15.42578125" bestFit="1" customWidth="1"/>
    <col min="22" max="22" width="14.42578125" bestFit="1" customWidth="1"/>
    <col min="23" max="23" width="15.140625" bestFit="1" customWidth="1"/>
    <col min="24" max="24" width="14.42578125" bestFit="1" customWidth="1"/>
    <col min="25" max="26" width="14.85546875" bestFit="1" customWidth="1"/>
    <col min="27" max="27" width="14.85546875" customWidth="1"/>
    <col min="28" max="32" width="14.85546875" bestFit="1" customWidth="1"/>
    <col min="33" max="33" width="15.85546875" bestFit="1" customWidth="1"/>
    <col min="34" max="34" width="15.42578125" bestFit="1" customWidth="1"/>
    <col min="35" max="35" width="14.42578125" bestFit="1" customWidth="1"/>
    <col min="36" max="36" width="15.140625" bestFit="1" customWidth="1"/>
    <col min="37" max="37" width="14.42578125" bestFit="1" customWidth="1"/>
    <col min="38" max="45" width="14.85546875" bestFit="1" customWidth="1"/>
    <col min="46" max="46" width="15.85546875" bestFit="1" customWidth="1"/>
    <col min="47" max="47" width="15.42578125" bestFit="1" customWidth="1"/>
  </cols>
  <sheetData>
    <row r="1" spans="1:47">
      <c r="A1" t="s">
        <v>185</v>
      </c>
      <c r="B1" t="s">
        <v>181</v>
      </c>
      <c r="C1" t="s">
        <v>187</v>
      </c>
    </row>
    <row r="2" spans="1:47">
      <c r="A2" t="s">
        <v>184</v>
      </c>
      <c r="B2" t="s">
        <v>182</v>
      </c>
      <c r="C2" t="s">
        <v>187</v>
      </c>
    </row>
    <row r="3" spans="1:47">
      <c r="A3" t="s">
        <v>183</v>
      </c>
      <c r="B3" t="s">
        <v>186</v>
      </c>
      <c r="C3" s="66" t="s">
        <v>187</v>
      </c>
      <c r="D3" s="1"/>
      <c r="E3" s="1"/>
      <c r="F3" s="37"/>
      <c r="G3" s="37"/>
      <c r="H3" s="37"/>
      <c r="I3" s="109" t="s">
        <v>178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 t="s">
        <v>179</v>
      </c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 t="s">
        <v>180</v>
      </c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</row>
    <row r="4" spans="1:47">
      <c r="A4" s="1"/>
      <c r="B4" s="1"/>
      <c r="C4" s="110" t="s">
        <v>160</v>
      </c>
      <c r="D4" s="110"/>
      <c r="E4" s="110"/>
      <c r="F4" s="111" t="s">
        <v>168</v>
      </c>
      <c r="G4" s="111"/>
      <c r="H4" s="111"/>
      <c r="I4" s="37"/>
      <c r="J4" s="37">
        <v>2016</v>
      </c>
      <c r="K4" s="37">
        <v>2015</v>
      </c>
      <c r="L4" s="37">
        <v>2014</v>
      </c>
      <c r="M4" s="37">
        <v>2013</v>
      </c>
      <c r="N4" s="37">
        <v>2012</v>
      </c>
      <c r="O4" s="37">
        <v>2011</v>
      </c>
      <c r="P4" s="37">
        <v>2010</v>
      </c>
      <c r="Q4" s="37">
        <v>2009</v>
      </c>
      <c r="R4" s="37">
        <v>2008</v>
      </c>
      <c r="S4" s="37">
        <v>2007</v>
      </c>
      <c r="T4" s="37">
        <v>2006</v>
      </c>
      <c r="U4" s="37">
        <v>2005</v>
      </c>
      <c r="V4" s="37"/>
      <c r="W4" s="37">
        <v>2016</v>
      </c>
      <c r="X4" s="37">
        <v>2015</v>
      </c>
      <c r="Y4" s="37">
        <v>2014</v>
      </c>
      <c r="Z4" s="37">
        <v>2013</v>
      </c>
      <c r="AA4" s="37">
        <v>2012</v>
      </c>
      <c r="AB4" s="37">
        <v>2011</v>
      </c>
      <c r="AC4" s="37">
        <v>2010</v>
      </c>
      <c r="AD4" s="37">
        <v>2009</v>
      </c>
      <c r="AE4" s="37">
        <v>2008</v>
      </c>
      <c r="AF4" s="37">
        <v>2007</v>
      </c>
      <c r="AG4" s="37">
        <v>2006</v>
      </c>
      <c r="AH4" s="37">
        <v>2005</v>
      </c>
      <c r="AI4" s="37"/>
      <c r="AJ4" s="37">
        <v>2016</v>
      </c>
      <c r="AK4" s="37">
        <v>2015</v>
      </c>
      <c r="AL4" s="37">
        <v>2014</v>
      </c>
      <c r="AM4" s="37">
        <v>2013</v>
      </c>
      <c r="AN4" s="37">
        <v>2012</v>
      </c>
      <c r="AO4" s="37">
        <v>2011</v>
      </c>
      <c r="AP4" s="37">
        <v>2010</v>
      </c>
      <c r="AQ4" s="37">
        <v>2009</v>
      </c>
      <c r="AR4" s="37">
        <v>2008</v>
      </c>
      <c r="AS4" s="37">
        <v>2007</v>
      </c>
      <c r="AT4" s="37">
        <v>2006</v>
      </c>
      <c r="AU4" s="37">
        <v>2005</v>
      </c>
    </row>
    <row r="5" spans="1:47">
      <c r="A5" s="1" t="s">
        <v>0</v>
      </c>
      <c r="B5" s="1" t="s">
        <v>1</v>
      </c>
      <c r="C5" s="1" t="s">
        <v>161</v>
      </c>
      <c r="D5" s="1" t="s">
        <v>162</v>
      </c>
      <c r="E5" s="1" t="s">
        <v>132</v>
      </c>
      <c r="F5" s="37" t="s">
        <v>169</v>
      </c>
      <c r="G5" s="37" t="s">
        <v>170</v>
      </c>
      <c r="H5" s="37" t="s">
        <v>175</v>
      </c>
      <c r="I5" s="37" t="s">
        <v>177</v>
      </c>
      <c r="J5" s="37" t="s">
        <v>107</v>
      </c>
      <c r="K5" s="37" t="s">
        <v>96</v>
      </c>
      <c r="L5" s="37" t="s">
        <v>97</v>
      </c>
      <c r="M5" s="37" t="s">
        <v>98</v>
      </c>
      <c r="N5" s="37" t="s">
        <v>99</v>
      </c>
      <c r="O5" s="37" t="s">
        <v>100</v>
      </c>
      <c r="P5" s="37" t="s">
        <v>101</v>
      </c>
      <c r="Q5" s="37" t="s">
        <v>102</v>
      </c>
      <c r="R5" s="37" t="s">
        <v>103</v>
      </c>
      <c r="S5" s="37" t="s">
        <v>104</v>
      </c>
      <c r="T5" s="37" t="s">
        <v>105</v>
      </c>
      <c r="U5" s="37" t="s">
        <v>176</v>
      </c>
      <c r="V5" s="37" t="s">
        <v>177</v>
      </c>
      <c r="W5" s="37" t="s">
        <v>107</v>
      </c>
      <c r="X5" s="37" t="s">
        <v>96</v>
      </c>
      <c r="Y5" s="37" t="s">
        <v>97</v>
      </c>
      <c r="Z5" s="37" t="s">
        <v>98</v>
      </c>
      <c r="AA5" s="37" t="s">
        <v>99</v>
      </c>
      <c r="AB5" s="37" t="s">
        <v>100</v>
      </c>
      <c r="AC5" s="37" t="s">
        <v>101</v>
      </c>
      <c r="AD5" s="37" t="s">
        <v>102</v>
      </c>
      <c r="AE5" s="37" t="s">
        <v>103</v>
      </c>
      <c r="AF5" s="37" t="s">
        <v>104</v>
      </c>
      <c r="AG5" s="37" t="s">
        <v>105</v>
      </c>
      <c r="AH5" s="37" t="s">
        <v>176</v>
      </c>
      <c r="AI5" s="37" t="s">
        <v>177</v>
      </c>
      <c r="AJ5" s="37" t="s">
        <v>107</v>
      </c>
      <c r="AK5" s="37" t="s">
        <v>96</v>
      </c>
      <c r="AL5" s="37" t="s">
        <v>97</v>
      </c>
      <c r="AM5" s="37" t="s">
        <v>98</v>
      </c>
      <c r="AN5" s="37" t="s">
        <v>99</v>
      </c>
      <c r="AO5" s="37" t="s">
        <v>100</v>
      </c>
      <c r="AP5" s="37" t="s">
        <v>101</v>
      </c>
      <c r="AQ5" s="37" t="s">
        <v>102</v>
      </c>
      <c r="AR5" s="37" t="s">
        <v>103</v>
      </c>
      <c r="AS5" s="37" t="s">
        <v>104</v>
      </c>
      <c r="AT5" s="37" t="s">
        <v>105</v>
      </c>
      <c r="AU5" s="37" t="s">
        <v>176</v>
      </c>
    </row>
    <row r="6" spans="1:47">
      <c r="A6" t="s">
        <v>74</v>
      </c>
      <c r="B6" t="s">
        <v>137</v>
      </c>
      <c r="C6" s="56">
        <v>31</v>
      </c>
      <c r="D6" s="56">
        <v>12</v>
      </c>
      <c r="E6" s="56">
        <v>2016</v>
      </c>
      <c r="F6" s="61" t="s">
        <v>174</v>
      </c>
      <c r="G6" s="61" t="s">
        <v>172</v>
      </c>
      <c r="H6" s="62">
        <f t="shared" ref="H6:H37" si="0">IF(F6=G6,1,0)</f>
        <v>0</v>
      </c>
      <c r="I6" s="65">
        <v>106.85</v>
      </c>
      <c r="J6" s="65">
        <v>106.85</v>
      </c>
      <c r="K6" s="63">
        <v>114.4</v>
      </c>
      <c r="L6" s="63">
        <v>93.86</v>
      </c>
      <c r="M6" s="63">
        <v>77.260000000000005</v>
      </c>
      <c r="N6" s="63">
        <v>65.739999999999995</v>
      </c>
      <c r="O6" s="63">
        <v>47.305</v>
      </c>
      <c r="P6" s="63">
        <v>42.8</v>
      </c>
      <c r="Q6" s="63">
        <v>36.395000000000003</v>
      </c>
      <c r="R6" s="63">
        <v>16.579999999999998</v>
      </c>
      <c r="S6" s="63">
        <v>35.75</v>
      </c>
      <c r="T6" s="63">
        <v>30.96</v>
      </c>
      <c r="U6" s="63">
        <v>22.93</v>
      </c>
      <c r="V6" s="65">
        <v>1.13992</v>
      </c>
      <c r="W6" s="65">
        <v>1.13992</v>
      </c>
      <c r="X6" s="63">
        <v>1.0865499999999999</v>
      </c>
      <c r="Y6" s="63">
        <v>1.21</v>
      </c>
      <c r="Z6" s="63">
        <v>1.3778999999999999</v>
      </c>
      <c r="AA6" s="63">
        <v>1.3185</v>
      </c>
      <c r="AB6" s="63">
        <v>1.2963</v>
      </c>
      <c r="AC6" s="63">
        <v>1.3391999999999999</v>
      </c>
      <c r="AD6" s="63">
        <v>1.4334</v>
      </c>
      <c r="AE6" s="63">
        <v>1.4180999999999999</v>
      </c>
      <c r="AF6" s="63">
        <v>1.4676</v>
      </c>
      <c r="AG6" s="63">
        <v>1.3181</v>
      </c>
      <c r="AH6" s="63">
        <v>1.1834</v>
      </c>
      <c r="AI6" s="64">
        <f t="shared" ref="AI6:AI37" si="1">I6*V6</f>
        <v>121.80045199999999</v>
      </c>
      <c r="AJ6" s="64">
        <f t="shared" ref="AJ6:AJ37" si="2">J6*W6</f>
        <v>121.80045199999999</v>
      </c>
      <c r="AK6" s="64">
        <f t="shared" ref="AK6:AK37" si="3">K6*X6</f>
        <v>124.30131999999999</v>
      </c>
      <c r="AL6" s="64">
        <f t="shared" ref="AL6:AL37" si="4">L6*Y6</f>
        <v>113.5706</v>
      </c>
      <c r="AM6" s="64">
        <f t="shared" ref="AM6:AM37" si="5">M6*Z6</f>
        <v>106.456554</v>
      </c>
      <c r="AN6" s="64">
        <f t="shared" ref="AN6:AN37" si="6">N6*AA6</f>
        <v>86.678189999999987</v>
      </c>
      <c r="AO6" s="64">
        <f t="shared" ref="AO6:AO37" si="7">O6*AB6</f>
        <v>61.321471500000001</v>
      </c>
      <c r="AP6" s="64">
        <f t="shared" ref="AP6:AP37" si="8">P6*AC6</f>
        <v>57.317759999999993</v>
      </c>
      <c r="AQ6" s="64">
        <f t="shared" ref="AQ6:AQ37" si="9">Q6*AD6</f>
        <v>52.168593000000001</v>
      </c>
      <c r="AR6" s="64">
        <f t="shared" ref="AR6:AR37" si="10">R6*AE6</f>
        <v>23.512097999999995</v>
      </c>
      <c r="AS6" s="64">
        <f t="shared" ref="AS6:AS37" si="11">S6*AF6</f>
        <v>52.466700000000003</v>
      </c>
      <c r="AT6" s="64">
        <f t="shared" ref="AT6:AT37" si="12">T6*AG6</f>
        <v>40.808376000000003</v>
      </c>
      <c r="AU6" s="64">
        <f t="shared" ref="AU6:AU37" si="13">U6*AH6</f>
        <v>27.135362000000001</v>
      </c>
    </row>
    <row r="7" spans="1:47">
      <c r="A7" t="s">
        <v>76</v>
      </c>
      <c r="B7" t="s">
        <v>188</v>
      </c>
      <c r="C7" s="56">
        <v>31</v>
      </c>
      <c r="D7" s="56">
        <v>12</v>
      </c>
      <c r="E7" s="56">
        <v>2016</v>
      </c>
      <c r="F7" s="61" t="s">
        <v>171</v>
      </c>
      <c r="G7" s="61" t="s">
        <v>171</v>
      </c>
      <c r="H7" s="62">
        <f t="shared" si="0"/>
        <v>1</v>
      </c>
      <c r="I7" s="65">
        <v>72720</v>
      </c>
      <c r="J7" s="65">
        <v>72720</v>
      </c>
      <c r="K7" s="63">
        <v>74620</v>
      </c>
      <c r="L7" s="63">
        <v>57160</v>
      </c>
      <c r="M7" s="63">
        <v>48100</v>
      </c>
      <c r="N7" s="63">
        <v>34515</v>
      </c>
      <c r="O7" s="63">
        <v>31390</v>
      </c>
      <c r="P7" s="63">
        <v>30100</v>
      </c>
      <c r="Q7" s="63">
        <v>25405</v>
      </c>
      <c r="R7" s="63">
        <v>22600</v>
      </c>
      <c r="S7" s="63">
        <v>39770</v>
      </c>
      <c r="T7" s="63">
        <v>30700</v>
      </c>
      <c r="U7" s="63">
        <v>21950</v>
      </c>
      <c r="V7" s="63">
        <v>1</v>
      </c>
      <c r="W7" s="63">
        <v>1</v>
      </c>
      <c r="X7" s="63">
        <v>1</v>
      </c>
      <c r="Y7" s="63">
        <v>1</v>
      </c>
      <c r="Z7" s="63">
        <v>1</v>
      </c>
      <c r="AA7" s="63">
        <v>1</v>
      </c>
      <c r="AB7" s="63">
        <v>1</v>
      </c>
      <c r="AC7" s="63">
        <v>1</v>
      </c>
      <c r="AD7" s="63">
        <v>1</v>
      </c>
      <c r="AE7" s="63">
        <v>1</v>
      </c>
      <c r="AF7" s="63">
        <v>1</v>
      </c>
      <c r="AG7" s="63">
        <v>1</v>
      </c>
      <c r="AH7" s="63">
        <v>1</v>
      </c>
      <c r="AI7" s="64">
        <f t="shared" si="1"/>
        <v>72720</v>
      </c>
      <c r="AJ7" s="64">
        <f t="shared" si="2"/>
        <v>72720</v>
      </c>
      <c r="AK7" s="64">
        <f t="shared" si="3"/>
        <v>74620</v>
      </c>
      <c r="AL7" s="64">
        <f t="shared" si="4"/>
        <v>57160</v>
      </c>
      <c r="AM7" s="64">
        <f t="shared" si="5"/>
        <v>48100</v>
      </c>
      <c r="AN7" s="64">
        <f t="shared" si="6"/>
        <v>34515</v>
      </c>
      <c r="AO7" s="64">
        <f t="shared" si="7"/>
        <v>31390</v>
      </c>
      <c r="AP7" s="64">
        <f t="shared" si="8"/>
        <v>30100</v>
      </c>
      <c r="AQ7" s="64">
        <f t="shared" si="9"/>
        <v>25405</v>
      </c>
      <c r="AR7" s="64">
        <f t="shared" si="10"/>
        <v>22600</v>
      </c>
      <c r="AS7" s="64">
        <f t="shared" si="11"/>
        <v>39770</v>
      </c>
      <c r="AT7" s="64">
        <f t="shared" si="12"/>
        <v>30700</v>
      </c>
      <c r="AU7" s="64">
        <f t="shared" si="13"/>
        <v>21950</v>
      </c>
    </row>
    <row r="8" spans="1:47">
      <c r="A8" t="s">
        <v>78</v>
      </c>
      <c r="B8" t="s">
        <v>159</v>
      </c>
      <c r="C8" s="56">
        <v>31</v>
      </c>
      <c r="D8" s="56">
        <v>12</v>
      </c>
      <c r="E8" s="56">
        <v>2016</v>
      </c>
      <c r="F8" s="61" t="s">
        <v>174</v>
      </c>
      <c r="G8" s="61" t="s">
        <v>171</v>
      </c>
      <c r="H8" s="62">
        <f t="shared" si="0"/>
        <v>0</v>
      </c>
      <c r="I8" s="65">
        <v>400.7</v>
      </c>
      <c r="J8" s="65">
        <v>400.7</v>
      </c>
      <c r="K8" s="63">
        <v>392.3</v>
      </c>
      <c r="L8" s="63">
        <v>320</v>
      </c>
      <c r="M8" s="63">
        <v>355.2</v>
      </c>
      <c r="N8" s="63">
        <v>366.6</v>
      </c>
      <c r="O8" s="63">
        <v>275</v>
      </c>
      <c r="P8" s="63">
        <v>273.5</v>
      </c>
      <c r="Q8" s="63">
        <v>290.7</v>
      </c>
      <c r="R8" s="63">
        <v>200.4</v>
      </c>
      <c r="S8" s="63">
        <v>288.5</v>
      </c>
      <c r="T8" s="63">
        <v>226.7</v>
      </c>
      <c r="U8" s="63">
        <v>163.5</v>
      </c>
      <c r="V8" s="65">
        <v>1.0486599999999999</v>
      </c>
      <c r="W8" s="65">
        <v>1.0486599999999999</v>
      </c>
      <c r="X8" s="63">
        <v>1.0002599999999999</v>
      </c>
      <c r="Y8" s="63">
        <v>1.0062</v>
      </c>
      <c r="Z8" s="63">
        <v>1.123</v>
      </c>
      <c r="AA8" s="63">
        <v>1.0922000000000001</v>
      </c>
      <c r="AB8" s="63">
        <v>1.0650999999999999</v>
      </c>
      <c r="AC8" s="63">
        <v>1.0703</v>
      </c>
      <c r="AD8" s="63">
        <v>0.96519999999999995</v>
      </c>
      <c r="AE8" s="63">
        <v>0.93340000000000001</v>
      </c>
      <c r="AF8" s="63">
        <v>0.88229999999999997</v>
      </c>
      <c r="AG8" s="63">
        <v>0.82069999999999999</v>
      </c>
      <c r="AH8" s="63">
        <v>0.76100000000000001</v>
      </c>
      <c r="AI8" s="64">
        <f t="shared" si="1"/>
        <v>420.19806199999994</v>
      </c>
      <c r="AJ8" s="64">
        <f t="shared" si="2"/>
        <v>420.19806199999994</v>
      </c>
      <c r="AK8" s="64">
        <f t="shared" si="3"/>
        <v>392.40199799999999</v>
      </c>
      <c r="AL8" s="64">
        <f t="shared" si="4"/>
        <v>321.98399999999998</v>
      </c>
      <c r="AM8" s="64">
        <f t="shared" si="5"/>
        <v>398.88959999999997</v>
      </c>
      <c r="AN8" s="64">
        <f t="shared" si="6"/>
        <v>400.40052000000003</v>
      </c>
      <c r="AO8" s="64">
        <f t="shared" si="7"/>
        <v>292.90249999999997</v>
      </c>
      <c r="AP8" s="64">
        <f t="shared" si="8"/>
        <v>292.72705000000002</v>
      </c>
      <c r="AQ8" s="64">
        <f t="shared" si="9"/>
        <v>280.58363999999995</v>
      </c>
      <c r="AR8" s="64">
        <f t="shared" si="10"/>
        <v>187.05336</v>
      </c>
      <c r="AS8" s="64">
        <f t="shared" si="11"/>
        <v>254.54354999999998</v>
      </c>
      <c r="AT8" s="64">
        <f t="shared" si="12"/>
        <v>186.05268999999998</v>
      </c>
      <c r="AU8" s="64">
        <f t="shared" si="13"/>
        <v>124.4235</v>
      </c>
    </row>
    <row r="9" spans="1:47">
      <c r="A9" t="s">
        <v>2</v>
      </c>
      <c r="B9" t="s">
        <v>3</v>
      </c>
      <c r="C9" s="56">
        <v>31</v>
      </c>
      <c r="D9" s="56">
        <v>12</v>
      </c>
      <c r="E9" s="56">
        <v>2016</v>
      </c>
      <c r="F9" s="61" t="s">
        <v>174</v>
      </c>
      <c r="G9" s="61" t="s">
        <v>171</v>
      </c>
      <c r="H9" s="62">
        <f t="shared" si="0"/>
        <v>0</v>
      </c>
      <c r="I9" s="65">
        <v>72</v>
      </c>
      <c r="J9" s="65">
        <v>72</v>
      </c>
      <c r="K9" s="63">
        <v>86.8</v>
      </c>
      <c r="L9" s="63">
        <v>92.35</v>
      </c>
      <c r="M9" s="63">
        <v>71.2</v>
      </c>
      <c r="N9" s="63">
        <v>57.45</v>
      </c>
      <c r="O9" s="63">
        <v>53.7</v>
      </c>
      <c r="P9" s="63">
        <v>54.95</v>
      </c>
      <c r="Q9" s="63">
        <v>56.5</v>
      </c>
      <c r="R9" s="63">
        <v>52.7</v>
      </c>
      <c r="S9" s="63">
        <v>62.1</v>
      </c>
      <c r="T9" s="63">
        <v>70.25</v>
      </c>
      <c r="U9" s="63">
        <v>69.05</v>
      </c>
      <c r="V9" s="65">
        <v>1.0486599999999999</v>
      </c>
      <c r="W9" s="65">
        <v>1.0486599999999999</v>
      </c>
      <c r="X9" s="63">
        <v>1.0002599999999999</v>
      </c>
      <c r="Y9" s="63">
        <v>1.0062</v>
      </c>
      <c r="Z9" s="63">
        <v>1.123</v>
      </c>
      <c r="AA9" s="63">
        <v>1.0922000000000001</v>
      </c>
      <c r="AB9" s="63">
        <v>1.0650999999999999</v>
      </c>
      <c r="AC9" s="63">
        <v>1.0703</v>
      </c>
      <c r="AD9" s="63">
        <v>0.96519999999999995</v>
      </c>
      <c r="AE9" s="63">
        <v>0.93340000000000001</v>
      </c>
      <c r="AF9" s="63">
        <v>0.88229999999999997</v>
      </c>
      <c r="AG9" s="63">
        <v>0.82069999999999999</v>
      </c>
      <c r="AH9" s="63">
        <v>0.76100000000000001</v>
      </c>
      <c r="AI9" s="64">
        <f t="shared" si="1"/>
        <v>75.503519999999995</v>
      </c>
      <c r="AJ9" s="64">
        <f t="shared" si="2"/>
        <v>75.503519999999995</v>
      </c>
      <c r="AK9" s="64">
        <f t="shared" si="3"/>
        <v>86.82256799999999</v>
      </c>
      <c r="AL9" s="64">
        <f t="shared" si="4"/>
        <v>92.922569999999993</v>
      </c>
      <c r="AM9" s="64">
        <f t="shared" si="5"/>
        <v>79.957599999999999</v>
      </c>
      <c r="AN9" s="64">
        <f t="shared" si="6"/>
        <v>62.746890000000008</v>
      </c>
      <c r="AO9" s="64">
        <f t="shared" si="7"/>
        <v>57.195869999999999</v>
      </c>
      <c r="AP9" s="64">
        <f t="shared" si="8"/>
        <v>58.812985000000005</v>
      </c>
      <c r="AQ9" s="64">
        <f t="shared" si="9"/>
        <v>54.533799999999999</v>
      </c>
      <c r="AR9" s="64">
        <f t="shared" si="10"/>
        <v>49.190180000000005</v>
      </c>
      <c r="AS9" s="64">
        <f t="shared" si="11"/>
        <v>54.79083</v>
      </c>
      <c r="AT9" s="64">
        <f t="shared" si="12"/>
        <v>57.654175000000002</v>
      </c>
      <c r="AU9" s="64">
        <f t="shared" si="13"/>
        <v>52.547049999999999</v>
      </c>
    </row>
    <row r="10" spans="1:47">
      <c r="A10" t="s">
        <v>4</v>
      </c>
      <c r="B10" t="s">
        <v>5</v>
      </c>
      <c r="C10" s="56">
        <v>31</v>
      </c>
      <c r="D10" s="56">
        <v>12</v>
      </c>
      <c r="E10" s="56">
        <v>2016</v>
      </c>
      <c r="F10" s="61" t="s">
        <v>171</v>
      </c>
      <c r="G10" s="61" t="s">
        <v>171</v>
      </c>
      <c r="H10" s="62">
        <f t="shared" si="0"/>
        <v>1</v>
      </c>
      <c r="I10" s="65">
        <v>243.4</v>
      </c>
      <c r="J10" s="65">
        <v>243.4</v>
      </c>
      <c r="K10" s="63">
        <v>276.39999999999998</v>
      </c>
      <c r="L10" s="63">
        <v>269.89999999999998</v>
      </c>
      <c r="M10" s="63">
        <v>249.2</v>
      </c>
      <c r="N10" s="63">
        <v>184</v>
      </c>
      <c r="O10" s="63">
        <v>159.19999999999999</v>
      </c>
      <c r="P10" s="63">
        <v>137</v>
      </c>
      <c r="Q10" s="63">
        <v>175.8</v>
      </c>
      <c r="R10" s="63">
        <v>162.5</v>
      </c>
      <c r="S10" s="63">
        <v>195.6</v>
      </c>
      <c r="T10" s="63">
        <v>218.5</v>
      </c>
      <c r="U10" s="63">
        <v>197.3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  <c r="AF10" s="63">
        <v>1</v>
      </c>
      <c r="AG10" s="63">
        <v>1</v>
      </c>
      <c r="AH10" s="63">
        <v>1</v>
      </c>
      <c r="AI10" s="64">
        <f t="shared" si="1"/>
        <v>243.4</v>
      </c>
      <c r="AJ10" s="64">
        <f t="shared" si="2"/>
        <v>243.4</v>
      </c>
      <c r="AK10" s="64">
        <f t="shared" si="3"/>
        <v>276.39999999999998</v>
      </c>
      <c r="AL10" s="64">
        <f t="shared" si="4"/>
        <v>269.89999999999998</v>
      </c>
      <c r="AM10" s="64">
        <f t="shared" si="5"/>
        <v>249.2</v>
      </c>
      <c r="AN10" s="64">
        <f t="shared" si="6"/>
        <v>184</v>
      </c>
      <c r="AO10" s="64">
        <f t="shared" si="7"/>
        <v>159.19999999999999</v>
      </c>
      <c r="AP10" s="64">
        <f t="shared" si="8"/>
        <v>137</v>
      </c>
      <c r="AQ10" s="64">
        <f t="shared" si="9"/>
        <v>175.8</v>
      </c>
      <c r="AR10" s="64">
        <f t="shared" si="10"/>
        <v>162.5</v>
      </c>
      <c r="AS10" s="64">
        <f t="shared" si="11"/>
        <v>195.6</v>
      </c>
      <c r="AT10" s="64">
        <f t="shared" si="12"/>
        <v>218.5</v>
      </c>
      <c r="AU10" s="64">
        <f t="shared" si="13"/>
        <v>197.3</v>
      </c>
    </row>
    <row r="11" spans="1:47">
      <c r="A11" t="s">
        <v>6</v>
      </c>
      <c r="B11" t="s">
        <v>7</v>
      </c>
      <c r="C11" s="56">
        <v>31</v>
      </c>
      <c r="D11" s="56">
        <v>12</v>
      </c>
      <c r="E11" s="56">
        <v>2016</v>
      </c>
      <c r="F11" s="61" t="s">
        <v>171</v>
      </c>
      <c r="G11" s="61" t="s">
        <v>171</v>
      </c>
      <c r="H11" s="62">
        <f t="shared" si="0"/>
        <v>1</v>
      </c>
      <c r="I11" s="65">
        <v>72.55</v>
      </c>
      <c r="J11" s="65">
        <v>72.55</v>
      </c>
      <c r="K11" s="63">
        <v>74.55</v>
      </c>
      <c r="L11" s="63">
        <v>72.95</v>
      </c>
      <c r="M11" s="63">
        <v>65.3</v>
      </c>
      <c r="N11" s="63">
        <v>59.6</v>
      </c>
      <c r="O11" s="63">
        <v>54</v>
      </c>
      <c r="P11" s="63">
        <v>54.75</v>
      </c>
      <c r="Q11" s="63">
        <v>50.2</v>
      </c>
      <c r="R11" s="63">
        <v>41.6</v>
      </c>
      <c r="S11" s="63">
        <v>52</v>
      </c>
      <c r="T11" s="63">
        <v>43.3</v>
      </c>
      <c r="U11" s="63">
        <v>39.299999999999997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  <c r="AF11" s="63">
        <v>1</v>
      </c>
      <c r="AG11" s="63">
        <v>1</v>
      </c>
      <c r="AH11" s="63">
        <v>1</v>
      </c>
      <c r="AI11" s="64">
        <f t="shared" si="1"/>
        <v>72.55</v>
      </c>
      <c r="AJ11" s="64">
        <f t="shared" si="2"/>
        <v>72.55</v>
      </c>
      <c r="AK11" s="64">
        <f t="shared" si="3"/>
        <v>74.55</v>
      </c>
      <c r="AL11" s="64">
        <f t="shared" si="4"/>
        <v>72.95</v>
      </c>
      <c r="AM11" s="64">
        <f t="shared" si="5"/>
        <v>65.3</v>
      </c>
      <c r="AN11" s="64">
        <f t="shared" si="6"/>
        <v>59.6</v>
      </c>
      <c r="AO11" s="64">
        <f t="shared" si="7"/>
        <v>54</v>
      </c>
      <c r="AP11" s="64">
        <f t="shared" si="8"/>
        <v>54.75</v>
      </c>
      <c r="AQ11" s="64">
        <f t="shared" si="9"/>
        <v>50.2</v>
      </c>
      <c r="AR11" s="64">
        <f t="shared" si="10"/>
        <v>41.6</v>
      </c>
      <c r="AS11" s="64">
        <f t="shared" si="11"/>
        <v>52</v>
      </c>
      <c r="AT11" s="64">
        <f t="shared" si="12"/>
        <v>43.3</v>
      </c>
      <c r="AU11" s="64">
        <f t="shared" si="13"/>
        <v>39.299999999999997</v>
      </c>
    </row>
    <row r="12" spans="1:47">
      <c r="A12" t="s">
        <v>8</v>
      </c>
      <c r="B12" t="s">
        <v>9</v>
      </c>
      <c r="C12" s="56">
        <v>31</v>
      </c>
      <c r="D12" s="56">
        <v>12</v>
      </c>
      <c r="E12" s="56">
        <v>2016</v>
      </c>
      <c r="F12" s="61" t="s">
        <v>172</v>
      </c>
      <c r="G12" s="61" t="s">
        <v>172</v>
      </c>
      <c r="H12" s="62">
        <f t="shared" si="0"/>
        <v>1</v>
      </c>
      <c r="I12" s="65">
        <v>76.88</v>
      </c>
      <c r="J12" s="65">
        <v>76.88</v>
      </c>
      <c r="K12" s="63">
        <v>84.16</v>
      </c>
      <c r="L12" s="63">
        <v>67.42</v>
      </c>
      <c r="M12" s="63">
        <v>73.64</v>
      </c>
      <c r="N12" s="63">
        <v>61.88</v>
      </c>
      <c r="O12" s="63">
        <v>43.82</v>
      </c>
      <c r="P12" s="63">
        <v>41.524999999999999</v>
      </c>
      <c r="Q12" s="63">
        <v>45.93</v>
      </c>
      <c r="R12" s="63">
        <v>42</v>
      </c>
      <c r="S12" s="63">
        <v>53</v>
      </c>
      <c r="T12" s="63">
        <v>49.12</v>
      </c>
      <c r="U12" s="63">
        <v>34.666699999999999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  <c r="AF12" s="63">
        <v>1</v>
      </c>
      <c r="AG12" s="63">
        <v>1</v>
      </c>
      <c r="AH12" s="63">
        <v>1</v>
      </c>
      <c r="AI12" s="64">
        <f t="shared" si="1"/>
        <v>76.88</v>
      </c>
      <c r="AJ12" s="64">
        <f t="shared" si="2"/>
        <v>76.88</v>
      </c>
      <c r="AK12" s="64">
        <f t="shared" si="3"/>
        <v>84.16</v>
      </c>
      <c r="AL12" s="64">
        <f t="shared" si="4"/>
        <v>67.42</v>
      </c>
      <c r="AM12" s="64">
        <f t="shared" si="5"/>
        <v>73.64</v>
      </c>
      <c r="AN12" s="64">
        <f t="shared" si="6"/>
        <v>61.88</v>
      </c>
      <c r="AO12" s="64">
        <f t="shared" si="7"/>
        <v>43.82</v>
      </c>
      <c r="AP12" s="64">
        <f t="shared" si="8"/>
        <v>41.524999999999999</v>
      </c>
      <c r="AQ12" s="64">
        <f t="shared" si="9"/>
        <v>45.93</v>
      </c>
      <c r="AR12" s="64">
        <f t="shared" si="10"/>
        <v>42</v>
      </c>
      <c r="AS12" s="64">
        <f t="shared" si="11"/>
        <v>53</v>
      </c>
      <c r="AT12" s="64">
        <f t="shared" si="12"/>
        <v>49.12</v>
      </c>
      <c r="AU12" s="64">
        <f t="shared" si="13"/>
        <v>34.666699999999999</v>
      </c>
    </row>
    <row r="13" spans="1:47">
      <c r="A13" t="s">
        <v>10</v>
      </c>
      <c r="B13" t="s">
        <v>11</v>
      </c>
      <c r="C13" s="56">
        <v>31</v>
      </c>
      <c r="D13" s="56">
        <v>12</v>
      </c>
      <c r="E13" s="56">
        <v>2016</v>
      </c>
      <c r="F13" s="61" t="s">
        <v>172</v>
      </c>
      <c r="G13" s="61" t="s">
        <v>172</v>
      </c>
      <c r="H13" s="62">
        <f t="shared" si="0"/>
        <v>1</v>
      </c>
      <c r="I13" s="65">
        <v>24.045000000000002</v>
      </c>
      <c r="J13" s="65">
        <v>24.045000000000002</v>
      </c>
      <c r="K13" s="63">
        <v>25.954999999999998</v>
      </c>
      <c r="L13" s="63">
        <v>27.045000000000002</v>
      </c>
      <c r="M13" s="63">
        <v>26.5</v>
      </c>
      <c r="N13" s="63">
        <v>16.600000000000001</v>
      </c>
      <c r="O13" s="63">
        <v>11.88</v>
      </c>
      <c r="P13" s="63">
        <v>12.7</v>
      </c>
      <c r="Q13" s="63">
        <v>13.484999999999999</v>
      </c>
      <c r="R13" s="63">
        <v>11.91</v>
      </c>
      <c r="S13" s="63">
        <v>23.51</v>
      </c>
      <c r="T13" s="63">
        <v>22.84</v>
      </c>
      <c r="U13" s="63">
        <v>20.48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  <c r="AF13" s="63">
        <v>1</v>
      </c>
      <c r="AG13" s="63">
        <v>1</v>
      </c>
      <c r="AH13" s="63">
        <v>1</v>
      </c>
      <c r="AI13" s="64">
        <f t="shared" si="1"/>
        <v>24.045000000000002</v>
      </c>
      <c r="AJ13" s="64">
        <f t="shared" si="2"/>
        <v>24.045000000000002</v>
      </c>
      <c r="AK13" s="64">
        <f t="shared" si="3"/>
        <v>25.954999999999998</v>
      </c>
      <c r="AL13" s="64">
        <f t="shared" si="4"/>
        <v>27.045000000000002</v>
      </c>
      <c r="AM13" s="64">
        <f t="shared" si="5"/>
        <v>26.5</v>
      </c>
      <c r="AN13" s="64">
        <f t="shared" si="6"/>
        <v>16.600000000000001</v>
      </c>
      <c r="AO13" s="64">
        <f t="shared" si="7"/>
        <v>11.88</v>
      </c>
      <c r="AP13" s="64">
        <f t="shared" si="8"/>
        <v>12.7</v>
      </c>
      <c r="AQ13" s="64">
        <f t="shared" si="9"/>
        <v>13.484999999999999</v>
      </c>
      <c r="AR13" s="64">
        <f t="shared" si="10"/>
        <v>11.91</v>
      </c>
      <c r="AS13" s="64">
        <f t="shared" si="11"/>
        <v>23.51</v>
      </c>
      <c r="AT13" s="64">
        <f t="shared" si="12"/>
        <v>22.84</v>
      </c>
      <c r="AU13" s="64">
        <f t="shared" si="13"/>
        <v>20.48</v>
      </c>
    </row>
    <row r="14" spans="1:47">
      <c r="A14" t="s">
        <v>12</v>
      </c>
      <c r="B14" t="s">
        <v>13</v>
      </c>
      <c r="C14" s="56">
        <v>31</v>
      </c>
      <c r="D14" s="56">
        <v>12</v>
      </c>
      <c r="E14" s="56">
        <v>2016</v>
      </c>
      <c r="F14" s="61" t="s">
        <v>172</v>
      </c>
      <c r="G14" s="61" t="s">
        <v>172</v>
      </c>
      <c r="H14" s="62">
        <f t="shared" si="0"/>
        <v>1</v>
      </c>
      <c r="I14" s="65">
        <v>15.105</v>
      </c>
      <c r="J14" s="65">
        <v>15.105</v>
      </c>
      <c r="K14" s="63">
        <v>16.690000000000001</v>
      </c>
      <c r="L14" s="63">
        <v>13.25</v>
      </c>
      <c r="M14" s="63">
        <v>12.43</v>
      </c>
      <c r="N14" s="63">
        <v>8.5950000000000006</v>
      </c>
      <c r="O14" s="63">
        <v>8.8650000000000002</v>
      </c>
      <c r="P14" s="63">
        <v>9.6549999999999994</v>
      </c>
      <c r="Q14" s="63">
        <v>10.29</v>
      </c>
      <c r="R14" s="63">
        <v>10.75</v>
      </c>
      <c r="S14" s="63">
        <v>15.02</v>
      </c>
      <c r="T14" s="63">
        <v>13.84</v>
      </c>
      <c r="U14" s="63">
        <v>14.08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  <c r="AF14" s="63">
        <v>1</v>
      </c>
      <c r="AG14" s="63">
        <v>1</v>
      </c>
      <c r="AH14" s="63">
        <v>1</v>
      </c>
      <c r="AI14" s="64">
        <f t="shared" si="1"/>
        <v>15.105</v>
      </c>
      <c r="AJ14" s="64">
        <f t="shared" si="2"/>
        <v>15.105</v>
      </c>
      <c r="AK14" s="64">
        <f t="shared" si="3"/>
        <v>16.690000000000001</v>
      </c>
      <c r="AL14" s="64">
        <f t="shared" si="4"/>
        <v>13.25</v>
      </c>
      <c r="AM14" s="64">
        <f t="shared" si="5"/>
        <v>12.43</v>
      </c>
      <c r="AN14" s="64">
        <f t="shared" si="6"/>
        <v>8.5950000000000006</v>
      </c>
      <c r="AO14" s="64">
        <f t="shared" si="7"/>
        <v>8.8650000000000002</v>
      </c>
      <c r="AP14" s="64">
        <f t="shared" si="8"/>
        <v>9.6549999999999994</v>
      </c>
      <c r="AQ14" s="64">
        <f t="shared" si="9"/>
        <v>10.29</v>
      </c>
      <c r="AR14" s="64">
        <f t="shared" si="10"/>
        <v>10.75</v>
      </c>
      <c r="AS14" s="64">
        <f t="shared" si="11"/>
        <v>15.02</v>
      </c>
      <c r="AT14" s="64">
        <f t="shared" si="12"/>
        <v>13.84</v>
      </c>
      <c r="AU14" s="64">
        <f t="shared" si="13"/>
        <v>14.08</v>
      </c>
    </row>
    <row r="15" spans="1:47">
      <c r="A15" s="55" t="s">
        <v>312</v>
      </c>
      <c r="B15" s="55" t="s">
        <v>313</v>
      </c>
      <c r="C15" s="56">
        <v>31</v>
      </c>
      <c r="D15" s="56">
        <v>12</v>
      </c>
      <c r="E15" s="56">
        <v>2016</v>
      </c>
      <c r="F15" s="83" t="s">
        <v>172</v>
      </c>
      <c r="G15" s="83" t="s">
        <v>172</v>
      </c>
      <c r="H15" s="62">
        <f t="shared" si="0"/>
        <v>1</v>
      </c>
      <c r="I15" s="65">
        <v>63.36</v>
      </c>
      <c r="J15" s="65">
        <v>63.36</v>
      </c>
      <c r="K15" s="63">
        <v>65.97</v>
      </c>
      <c r="L15" s="63">
        <v>43.16</v>
      </c>
      <c r="M15" s="63">
        <v>37.200000000000003</v>
      </c>
      <c r="N15" s="63">
        <v>29.033300000000001</v>
      </c>
      <c r="O15" s="63">
        <v>23.826699999999999</v>
      </c>
      <c r="P15" s="63">
        <v>20.916699999999999</v>
      </c>
      <c r="Q15" s="63">
        <v>14.4833</v>
      </c>
      <c r="R15" s="63">
        <v>12.076700000000001</v>
      </c>
      <c r="S15" s="63">
        <v>18.666699999999999</v>
      </c>
      <c r="T15" s="63">
        <v>16.8567</v>
      </c>
      <c r="U15" s="63">
        <v>11.777799999999999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  <c r="AF15" s="63">
        <v>1</v>
      </c>
      <c r="AG15" s="63">
        <v>1</v>
      </c>
      <c r="AH15" s="63">
        <v>1</v>
      </c>
      <c r="AI15" s="64">
        <f t="shared" si="1"/>
        <v>63.36</v>
      </c>
      <c r="AJ15" s="64">
        <f t="shared" si="2"/>
        <v>63.36</v>
      </c>
      <c r="AK15" s="64">
        <f t="shared" si="3"/>
        <v>65.97</v>
      </c>
      <c r="AL15" s="64">
        <f t="shared" si="4"/>
        <v>43.16</v>
      </c>
      <c r="AM15" s="64">
        <f t="shared" si="5"/>
        <v>37.200000000000003</v>
      </c>
      <c r="AN15" s="64">
        <f t="shared" si="6"/>
        <v>29.033300000000001</v>
      </c>
      <c r="AO15" s="64">
        <f t="shared" si="7"/>
        <v>23.826699999999999</v>
      </c>
      <c r="AP15" s="64">
        <f t="shared" si="8"/>
        <v>20.916699999999999</v>
      </c>
      <c r="AQ15" s="64">
        <f t="shared" si="9"/>
        <v>14.4833</v>
      </c>
      <c r="AR15" s="64">
        <f t="shared" si="10"/>
        <v>12.076700000000001</v>
      </c>
      <c r="AS15" s="64">
        <f t="shared" si="11"/>
        <v>18.666699999999999</v>
      </c>
      <c r="AT15" s="64">
        <f t="shared" si="12"/>
        <v>16.8567</v>
      </c>
      <c r="AU15" s="64">
        <f t="shared" si="13"/>
        <v>11.777799999999999</v>
      </c>
    </row>
    <row r="16" spans="1:47">
      <c r="A16" t="s">
        <v>79</v>
      </c>
      <c r="B16" t="s">
        <v>167</v>
      </c>
      <c r="C16" s="56">
        <v>31</v>
      </c>
      <c r="D16" s="56">
        <v>12</v>
      </c>
      <c r="E16" s="56">
        <v>2016</v>
      </c>
      <c r="F16" s="61" t="s">
        <v>172</v>
      </c>
      <c r="G16" s="61" t="s">
        <v>172</v>
      </c>
      <c r="H16" s="62">
        <f t="shared" si="0"/>
        <v>1</v>
      </c>
      <c r="I16" s="65">
        <v>98.35</v>
      </c>
      <c r="J16" s="65">
        <v>98.35</v>
      </c>
      <c r="K16" s="63">
        <v>103.2</v>
      </c>
      <c r="L16" s="63">
        <v>89.42</v>
      </c>
      <c r="M16" s="63">
        <v>84.31</v>
      </c>
      <c r="N16" s="63">
        <v>62.2</v>
      </c>
      <c r="O16" s="63">
        <v>44.59</v>
      </c>
      <c r="P16" s="63">
        <v>46.534999999999997</v>
      </c>
      <c r="Q16" s="63">
        <v>36.43</v>
      </c>
      <c r="R16" s="63">
        <v>22.59</v>
      </c>
      <c r="S16" s="63">
        <v>38.43</v>
      </c>
      <c r="T16" s="63">
        <v>37.159999999999997</v>
      </c>
      <c r="U16" s="63">
        <v>28.333300000000001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  <c r="AF16" s="63">
        <v>1</v>
      </c>
      <c r="AG16" s="63">
        <v>1</v>
      </c>
      <c r="AH16" s="63">
        <v>1</v>
      </c>
      <c r="AI16" s="64">
        <f t="shared" si="1"/>
        <v>98.35</v>
      </c>
      <c r="AJ16" s="64">
        <f t="shared" si="2"/>
        <v>98.35</v>
      </c>
      <c r="AK16" s="64">
        <f t="shared" si="3"/>
        <v>103.2</v>
      </c>
      <c r="AL16" s="64">
        <f t="shared" si="4"/>
        <v>89.42</v>
      </c>
      <c r="AM16" s="64">
        <f t="shared" si="5"/>
        <v>84.31</v>
      </c>
      <c r="AN16" s="64">
        <f t="shared" si="6"/>
        <v>62.2</v>
      </c>
      <c r="AO16" s="64">
        <f t="shared" si="7"/>
        <v>44.59</v>
      </c>
      <c r="AP16" s="64">
        <f t="shared" si="8"/>
        <v>46.534999999999997</v>
      </c>
      <c r="AQ16" s="64">
        <f t="shared" si="9"/>
        <v>36.43</v>
      </c>
      <c r="AR16" s="64">
        <f t="shared" si="10"/>
        <v>22.59</v>
      </c>
      <c r="AS16" s="64">
        <f t="shared" si="11"/>
        <v>38.43</v>
      </c>
      <c r="AT16" s="64">
        <f t="shared" si="12"/>
        <v>37.159999999999997</v>
      </c>
      <c r="AU16" s="64">
        <f t="shared" si="13"/>
        <v>28.333300000000001</v>
      </c>
    </row>
    <row r="17" spans="1:47">
      <c r="A17" t="s">
        <v>266</v>
      </c>
      <c r="B17" t="s">
        <v>272</v>
      </c>
      <c r="C17" s="56">
        <v>31</v>
      </c>
      <c r="D17" s="56">
        <v>12</v>
      </c>
      <c r="E17" s="56">
        <v>2016</v>
      </c>
      <c r="F17" s="61" t="s">
        <v>172</v>
      </c>
      <c r="G17" s="61" t="s">
        <v>172</v>
      </c>
      <c r="H17" s="62">
        <f t="shared" si="0"/>
        <v>1</v>
      </c>
      <c r="I17" s="65">
        <v>121.45</v>
      </c>
      <c r="J17" s="65">
        <v>121.45</v>
      </c>
      <c r="K17" s="63">
        <v>133.9</v>
      </c>
      <c r="L17" s="63">
        <v>154.19999999999999</v>
      </c>
      <c r="M17" s="63">
        <v>152.05000000000001</v>
      </c>
      <c r="N17" s="63">
        <v>132</v>
      </c>
      <c r="O17" s="63">
        <v>114.95</v>
      </c>
      <c r="P17" s="63">
        <v>113.55</v>
      </c>
      <c r="Q17" s="63">
        <v>84.16</v>
      </c>
      <c r="R17" s="63">
        <v>59.85</v>
      </c>
      <c r="S17" s="63">
        <v>90.45</v>
      </c>
      <c r="T17" s="63">
        <v>78.260000000000005</v>
      </c>
      <c r="U17" s="63">
        <v>65.77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  <c r="AF17" s="63">
        <v>1</v>
      </c>
      <c r="AG17" s="63">
        <v>1</v>
      </c>
      <c r="AH17" s="63">
        <v>1</v>
      </c>
      <c r="AI17" s="64">
        <f t="shared" si="1"/>
        <v>121.45</v>
      </c>
      <c r="AJ17" s="64">
        <f t="shared" si="2"/>
        <v>121.45</v>
      </c>
      <c r="AK17" s="64">
        <f t="shared" si="3"/>
        <v>133.9</v>
      </c>
      <c r="AL17" s="64">
        <f t="shared" si="4"/>
        <v>154.19999999999999</v>
      </c>
      <c r="AM17" s="64">
        <f t="shared" si="5"/>
        <v>152.05000000000001</v>
      </c>
      <c r="AN17" s="64">
        <f t="shared" si="6"/>
        <v>132</v>
      </c>
      <c r="AO17" s="64">
        <f t="shared" si="7"/>
        <v>114.95</v>
      </c>
      <c r="AP17" s="64">
        <f t="shared" si="8"/>
        <v>113.55</v>
      </c>
      <c r="AQ17" s="64">
        <f t="shared" si="9"/>
        <v>84.16</v>
      </c>
      <c r="AR17" s="64">
        <f t="shared" si="10"/>
        <v>59.85</v>
      </c>
      <c r="AS17" s="64">
        <f t="shared" si="11"/>
        <v>90.45</v>
      </c>
      <c r="AT17" s="64">
        <f t="shared" si="12"/>
        <v>78.260000000000005</v>
      </c>
      <c r="AU17" s="64">
        <f t="shared" si="13"/>
        <v>65.77</v>
      </c>
    </row>
    <row r="18" spans="1:47">
      <c r="A18" t="s">
        <v>14</v>
      </c>
      <c r="B18" t="s">
        <v>15</v>
      </c>
      <c r="C18" s="56">
        <v>31</v>
      </c>
      <c r="D18" s="56">
        <v>12</v>
      </c>
      <c r="E18" s="56">
        <v>2016</v>
      </c>
      <c r="F18" s="61" t="s">
        <v>172</v>
      </c>
      <c r="G18" s="61" t="s">
        <v>172</v>
      </c>
      <c r="H18" s="62">
        <f t="shared" si="0"/>
        <v>1</v>
      </c>
      <c r="I18" s="65">
        <v>67.510000000000005</v>
      </c>
      <c r="J18" s="65">
        <v>67.510000000000005</v>
      </c>
      <c r="K18" s="63">
        <v>73.38</v>
      </c>
      <c r="L18" s="63">
        <v>58.26</v>
      </c>
      <c r="M18" s="63">
        <v>62.31</v>
      </c>
      <c r="N18" s="63">
        <v>60.69</v>
      </c>
      <c r="O18" s="63">
        <v>40.85</v>
      </c>
      <c r="P18" s="63">
        <v>38.1</v>
      </c>
      <c r="Q18" s="63">
        <v>33</v>
      </c>
      <c r="R18" s="63">
        <v>25.24</v>
      </c>
      <c r="S18" s="63">
        <v>35.53</v>
      </c>
      <c r="T18" s="63">
        <v>40.26</v>
      </c>
      <c r="U18" s="63">
        <v>38.29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  <c r="AF18" s="63">
        <v>1</v>
      </c>
      <c r="AG18" s="63">
        <v>1</v>
      </c>
      <c r="AH18" s="63">
        <v>1</v>
      </c>
      <c r="AI18" s="64">
        <f t="shared" si="1"/>
        <v>67.510000000000005</v>
      </c>
      <c r="AJ18" s="64">
        <f t="shared" si="2"/>
        <v>67.510000000000005</v>
      </c>
      <c r="AK18" s="64">
        <f t="shared" si="3"/>
        <v>73.38</v>
      </c>
      <c r="AL18" s="64">
        <f t="shared" si="4"/>
        <v>58.26</v>
      </c>
      <c r="AM18" s="64">
        <f t="shared" si="5"/>
        <v>62.31</v>
      </c>
      <c r="AN18" s="64">
        <f t="shared" si="6"/>
        <v>60.69</v>
      </c>
      <c r="AO18" s="64">
        <f t="shared" si="7"/>
        <v>40.85</v>
      </c>
      <c r="AP18" s="64">
        <f t="shared" si="8"/>
        <v>38.1</v>
      </c>
      <c r="AQ18" s="64">
        <f t="shared" si="9"/>
        <v>33</v>
      </c>
      <c r="AR18" s="64">
        <f t="shared" si="10"/>
        <v>25.24</v>
      </c>
      <c r="AS18" s="64">
        <f t="shared" si="11"/>
        <v>35.53</v>
      </c>
      <c r="AT18" s="64">
        <f t="shared" si="12"/>
        <v>40.26</v>
      </c>
      <c r="AU18" s="64">
        <f t="shared" si="13"/>
        <v>38.29</v>
      </c>
    </row>
    <row r="19" spans="1:47">
      <c r="A19" t="s">
        <v>16</v>
      </c>
      <c r="B19" t="s">
        <v>17</v>
      </c>
      <c r="C19" s="56">
        <v>30</v>
      </c>
      <c r="D19" s="56">
        <v>9</v>
      </c>
      <c r="E19" s="56">
        <v>2016</v>
      </c>
      <c r="F19" s="61" t="s">
        <v>172</v>
      </c>
      <c r="G19" s="61" t="s">
        <v>172</v>
      </c>
      <c r="H19" s="62">
        <f t="shared" si="0"/>
        <v>1</v>
      </c>
      <c r="I19" s="65">
        <v>89.25</v>
      </c>
      <c r="J19" s="65">
        <v>89.25</v>
      </c>
      <c r="K19" s="63">
        <v>79.94</v>
      </c>
      <c r="L19" s="63">
        <v>94.37</v>
      </c>
      <c r="M19" s="63">
        <v>89.06</v>
      </c>
      <c r="N19" s="63">
        <v>77.61</v>
      </c>
      <c r="O19" s="63">
        <v>68.12</v>
      </c>
      <c r="P19" s="63">
        <v>77.430000000000007</v>
      </c>
      <c r="Q19" s="63">
        <v>63.28</v>
      </c>
      <c r="R19" s="63">
        <v>65.75</v>
      </c>
      <c r="S19" s="63">
        <v>96.42</v>
      </c>
      <c r="T19" s="63">
        <v>68.8</v>
      </c>
      <c r="U19" s="63">
        <v>64.099999999999994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  <c r="AF19" s="63">
        <v>1</v>
      </c>
      <c r="AG19" s="63">
        <v>1</v>
      </c>
      <c r="AH19" s="63">
        <v>1</v>
      </c>
      <c r="AI19" s="64">
        <f t="shared" si="1"/>
        <v>89.25</v>
      </c>
      <c r="AJ19" s="64">
        <f t="shared" si="2"/>
        <v>89.25</v>
      </c>
      <c r="AK19" s="64">
        <f t="shared" si="3"/>
        <v>79.94</v>
      </c>
      <c r="AL19" s="64">
        <f t="shared" si="4"/>
        <v>94.37</v>
      </c>
      <c r="AM19" s="64">
        <f t="shared" si="5"/>
        <v>89.06</v>
      </c>
      <c r="AN19" s="64">
        <f t="shared" si="6"/>
        <v>77.61</v>
      </c>
      <c r="AO19" s="64">
        <f t="shared" si="7"/>
        <v>68.12</v>
      </c>
      <c r="AP19" s="64">
        <f t="shared" si="8"/>
        <v>77.430000000000007</v>
      </c>
      <c r="AQ19" s="64">
        <f t="shared" si="9"/>
        <v>63.28</v>
      </c>
      <c r="AR19" s="64">
        <f t="shared" si="10"/>
        <v>65.75</v>
      </c>
      <c r="AS19" s="64">
        <f t="shared" si="11"/>
        <v>96.42</v>
      </c>
      <c r="AT19" s="64">
        <f t="shared" si="12"/>
        <v>68.8</v>
      </c>
      <c r="AU19" s="64">
        <f t="shared" si="13"/>
        <v>64.099999999999994</v>
      </c>
    </row>
    <row r="20" spans="1:47">
      <c r="A20" t="s">
        <v>18</v>
      </c>
      <c r="B20" t="s">
        <v>19</v>
      </c>
      <c r="C20" s="56">
        <v>31</v>
      </c>
      <c r="D20" s="56">
        <v>12</v>
      </c>
      <c r="E20" s="56">
        <v>2016</v>
      </c>
      <c r="F20" s="61" t="s">
        <v>172</v>
      </c>
      <c r="G20" s="61" t="s">
        <v>172</v>
      </c>
      <c r="H20" s="62">
        <f t="shared" si="0"/>
        <v>1</v>
      </c>
      <c r="I20" s="65">
        <v>138.9</v>
      </c>
      <c r="J20" s="65">
        <v>138.9</v>
      </c>
      <c r="K20" s="63">
        <v>163.55000000000001</v>
      </c>
      <c r="L20" s="63">
        <v>137.35</v>
      </c>
      <c r="M20" s="63">
        <v>130.35</v>
      </c>
      <c r="N20" s="63">
        <v>104.8</v>
      </c>
      <c r="O20" s="63">
        <v>73.91</v>
      </c>
      <c r="P20" s="63">
        <v>88.93</v>
      </c>
      <c r="Q20" s="63">
        <v>87.15</v>
      </c>
      <c r="R20" s="63">
        <v>75</v>
      </c>
      <c r="S20" s="63">
        <v>147.94999999999999</v>
      </c>
      <c r="T20" s="63">
        <v>154.76</v>
      </c>
      <c r="U20" s="63">
        <v>127.94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  <c r="AF20" s="63">
        <v>1</v>
      </c>
      <c r="AG20" s="63">
        <v>1</v>
      </c>
      <c r="AH20" s="63">
        <v>1</v>
      </c>
      <c r="AI20" s="64">
        <f t="shared" si="1"/>
        <v>138.9</v>
      </c>
      <c r="AJ20" s="64">
        <f t="shared" si="2"/>
        <v>138.9</v>
      </c>
      <c r="AK20" s="64">
        <f t="shared" si="3"/>
        <v>163.55000000000001</v>
      </c>
      <c r="AL20" s="64">
        <f t="shared" si="4"/>
        <v>137.35</v>
      </c>
      <c r="AM20" s="64">
        <f t="shared" si="5"/>
        <v>130.35</v>
      </c>
      <c r="AN20" s="64">
        <f t="shared" si="6"/>
        <v>104.8</v>
      </c>
      <c r="AO20" s="64">
        <f t="shared" si="7"/>
        <v>73.91</v>
      </c>
      <c r="AP20" s="64">
        <f t="shared" si="8"/>
        <v>88.93</v>
      </c>
      <c r="AQ20" s="64">
        <f t="shared" si="9"/>
        <v>87.15</v>
      </c>
      <c r="AR20" s="64">
        <f t="shared" si="10"/>
        <v>75</v>
      </c>
      <c r="AS20" s="64">
        <f t="shared" si="11"/>
        <v>147.94999999999999</v>
      </c>
      <c r="AT20" s="64">
        <f t="shared" si="12"/>
        <v>154.76</v>
      </c>
      <c r="AU20" s="64">
        <f t="shared" si="13"/>
        <v>127.94</v>
      </c>
    </row>
    <row r="21" spans="1:47">
      <c r="A21" t="s">
        <v>20</v>
      </c>
      <c r="B21" t="s">
        <v>21</v>
      </c>
      <c r="C21" s="56">
        <v>31</v>
      </c>
      <c r="D21" s="56">
        <v>12</v>
      </c>
      <c r="E21" s="56">
        <v>2016</v>
      </c>
      <c r="F21" s="61" t="s">
        <v>172</v>
      </c>
      <c r="G21" s="61" t="s">
        <v>172</v>
      </c>
      <c r="H21" s="62">
        <f t="shared" si="0"/>
        <v>1</v>
      </c>
      <c r="I21" s="65">
        <v>174.8</v>
      </c>
      <c r="J21" s="65">
        <v>174.8</v>
      </c>
      <c r="K21" s="63">
        <v>184.55</v>
      </c>
      <c r="L21" s="63">
        <v>165.75</v>
      </c>
      <c r="M21" s="63">
        <v>160.15</v>
      </c>
      <c r="N21" s="63">
        <v>136</v>
      </c>
      <c r="O21" s="63">
        <v>94.78</v>
      </c>
      <c r="P21" s="63">
        <v>113.45</v>
      </c>
      <c r="Q21" s="63">
        <v>108.67</v>
      </c>
      <c r="R21" s="63">
        <v>111</v>
      </c>
      <c r="S21" s="63">
        <v>132.94</v>
      </c>
      <c r="T21" s="63">
        <v>130.41999999999999</v>
      </c>
      <c r="U21" s="63">
        <v>114.38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  <c r="AF21" s="63">
        <v>1</v>
      </c>
      <c r="AG21" s="63">
        <v>1</v>
      </c>
      <c r="AH21" s="63">
        <v>1</v>
      </c>
      <c r="AI21" s="64">
        <f t="shared" si="1"/>
        <v>174.8</v>
      </c>
      <c r="AJ21" s="64">
        <f t="shared" si="2"/>
        <v>174.8</v>
      </c>
      <c r="AK21" s="64">
        <f t="shared" si="3"/>
        <v>184.55</v>
      </c>
      <c r="AL21" s="64">
        <f t="shared" si="4"/>
        <v>165.75</v>
      </c>
      <c r="AM21" s="64">
        <f t="shared" si="5"/>
        <v>160.15</v>
      </c>
      <c r="AN21" s="64">
        <f t="shared" si="6"/>
        <v>136</v>
      </c>
      <c r="AO21" s="64">
        <f t="shared" si="7"/>
        <v>94.78</v>
      </c>
      <c r="AP21" s="64">
        <f t="shared" si="8"/>
        <v>113.45</v>
      </c>
      <c r="AQ21" s="64">
        <f t="shared" si="9"/>
        <v>108.67</v>
      </c>
      <c r="AR21" s="64">
        <f t="shared" si="10"/>
        <v>111</v>
      </c>
      <c r="AS21" s="64">
        <f t="shared" si="11"/>
        <v>132.94</v>
      </c>
      <c r="AT21" s="64">
        <f t="shared" si="12"/>
        <v>130.41999999999999</v>
      </c>
      <c r="AU21" s="64">
        <f t="shared" si="13"/>
        <v>114.38</v>
      </c>
    </row>
    <row r="22" spans="1:47">
      <c r="A22" t="s">
        <v>22</v>
      </c>
      <c r="B22" t="s">
        <v>23</v>
      </c>
      <c r="C22" s="56">
        <v>31</v>
      </c>
      <c r="D22" s="56">
        <v>12</v>
      </c>
      <c r="E22" s="56">
        <v>2016</v>
      </c>
      <c r="F22" s="61" t="s">
        <v>172</v>
      </c>
      <c r="G22" s="61" t="s">
        <v>172</v>
      </c>
      <c r="H22" s="62">
        <f t="shared" si="0"/>
        <v>1</v>
      </c>
      <c r="I22" s="65">
        <v>63.09</v>
      </c>
      <c r="J22" s="65">
        <v>63.09</v>
      </c>
      <c r="K22" s="63">
        <v>70.72</v>
      </c>
      <c r="L22" s="63">
        <v>69.88</v>
      </c>
      <c r="M22" s="63">
        <v>77.489999999999995</v>
      </c>
      <c r="N22" s="63">
        <v>71.150000000000006</v>
      </c>
      <c r="O22" s="63">
        <v>53.89</v>
      </c>
      <c r="P22" s="63">
        <v>59.7</v>
      </c>
      <c r="Q22" s="63">
        <v>43.46</v>
      </c>
      <c r="R22" s="63">
        <v>27.73</v>
      </c>
      <c r="S22" s="63">
        <v>50.704999999999998</v>
      </c>
      <c r="T22" s="63">
        <v>36.924999999999997</v>
      </c>
      <c r="U22" s="63">
        <v>32.354999999999997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  <c r="AF22" s="63">
        <v>1</v>
      </c>
      <c r="AG22" s="63">
        <v>1</v>
      </c>
      <c r="AH22" s="63">
        <v>1</v>
      </c>
      <c r="AI22" s="64">
        <f t="shared" si="1"/>
        <v>63.09</v>
      </c>
      <c r="AJ22" s="64">
        <f t="shared" si="2"/>
        <v>63.09</v>
      </c>
      <c r="AK22" s="64">
        <f t="shared" si="3"/>
        <v>70.72</v>
      </c>
      <c r="AL22" s="64">
        <f t="shared" si="4"/>
        <v>69.88</v>
      </c>
      <c r="AM22" s="64">
        <f t="shared" si="5"/>
        <v>77.489999999999995</v>
      </c>
      <c r="AN22" s="64">
        <f t="shared" si="6"/>
        <v>71.150000000000006</v>
      </c>
      <c r="AO22" s="64">
        <f t="shared" si="7"/>
        <v>53.89</v>
      </c>
      <c r="AP22" s="64">
        <f t="shared" si="8"/>
        <v>59.7</v>
      </c>
      <c r="AQ22" s="64">
        <f t="shared" si="9"/>
        <v>43.46</v>
      </c>
      <c r="AR22" s="64">
        <f t="shared" si="10"/>
        <v>27.73</v>
      </c>
      <c r="AS22" s="64">
        <f t="shared" si="11"/>
        <v>50.704999999999998</v>
      </c>
      <c r="AT22" s="64">
        <f t="shared" si="12"/>
        <v>36.924999999999997</v>
      </c>
      <c r="AU22" s="64">
        <f t="shared" si="13"/>
        <v>32.354999999999997</v>
      </c>
    </row>
    <row r="23" spans="1:47">
      <c r="A23" t="s">
        <v>24</v>
      </c>
      <c r="B23" t="s">
        <v>25</v>
      </c>
      <c r="C23" s="56">
        <v>31</v>
      </c>
      <c r="D23" s="56">
        <v>12</v>
      </c>
      <c r="E23" s="56">
        <v>2016</v>
      </c>
      <c r="F23" s="61" t="s">
        <v>172</v>
      </c>
      <c r="G23" s="61" t="s">
        <v>172</v>
      </c>
      <c r="H23" s="62">
        <f t="shared" si="0"/>
        <v>1</v>
      </c>
      <c r="I23" s="65">
        <v>101.75</v>
      </c>
      <c r="J23" s="65">
        <v>101.75</v>
      </c>
      <c r="K23" s="63">
        <v>115.8</v>
      </c>
      <c r="L23" s="63">
        <v>113</v>
      </c>
      <c r="M23" s="63">
        <v>101.95</v>
      </c>
      <c r="N23" s="63">
        <v>71.89</v>
      </c>
      <c r="O23" s="63">
        <v>49.4</v>
      </c>
      <c r="P23" s="63">
        <v>55.3</v>
      </c>
      <c r="Q23" s="63">
        <v>55.96</v>
      </c>
      <c r="R23" s="63">
        <v>41.55</v>
      </c>
      <c r="S23" s="63">
        <v>62.53</v>
      </c>
      <c r="T23" s="63">
        <v>40.659999999999997</v>
      </c>
      <c r="U23" s="63">
        <v>35.29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  <c r="AF23" s="63">
        <v>1</v>
      </c>
      <c r="AG23" s="63">
        <v>1</v>
      </c>
      <c r="AH23" s="63">
        <v>1</v>
      </c>
      <c r="AI23" s="64">
        <f t="shared" si="1"/>
        <v>101.75</v>
      </c>
      <c r="AJ23" s="64">
        <f t="shared" si="2"/>
        <v>101.75</v>
      </c>
      <c r="AK23" s="64">
        <f t="shared" si="3"/>
        <v>115.8</v>
      </c>
      <c r="AL23" s="64">
        <f t="shared" si="4"/>
        <v>113</v>
      </c>
      <c r="AM23" s="64">
        <f t="shared" si="5"/>
        <v>101.95</v>
      </c>
      <c r="AN23" s="64">
        <f t="shared" si="6"/>
        <v>71.89</v>
      </c>
      <c r="AO23" s="64">
        <f t="shared" si="7"/>
        <v>49.4</v>
      </c>
      <c r="AP23" s="64">
        <f t="shared" si="8"/>
        <v>55.3</v>
      </c>
      <c r="AQ23" s="64">
        <f t="shared" si="9"/>
        <v>55.96</v>
      </c>
      <c r="AR23" s="64">
        <f t="shared" si="10"/>
        <v>41.55</v>
      </c>
      <c r="AS23" s="64">
        <f t="shared" si="11"/>
        <v>62.53</v>
      </c>
      <c r="AT23" s="64">
        <f t="shared" si="12"/>
        <v>40.659999999999997</v>
      </c>
      <c r="AU23" s="64">
        <f t="shared" si="13"/>
        <v>35.29</v>
      </c>
    </row>
    <row r="24" spans="1:47">
      <c r="A24" t="s">
        <v>268</v>
      </c>
      <c r="B24" t="s">
        <v>274</v>
      </c>
      <c r="C24" s="56">
        <v>31</v>
      </c>
      <c r="D24" s="56">
        <v>12</v>
      </c>
      <c r="E24" s="56">
        <v>2016</v>
      </c>
      <c r="F24" s="83" t="s">
        <v>276</v>
      </c>
      <c r="G24" s="83" t="s">
        <v>276</v>
      </c>
      <c r="H24" s="62">
        <f t="shared" si="0"/>
        <v>1</v>
      </c>
      <c r="I24" s="65">
        <v>367.8</v>
      </c>
      <c r="J24" s="65">
        <v>367.8</v>
      </c>
      <c r="K24" s="63">
        <v>399.9</v>
      </c>
      <c r="L24" s="63">
        <v>260.25</v>
      </c>
      <c r="M24" s="63">
        <v>198.75</v>
      </c>
      <c r="N24" s="63">
        <v>188.25</v>
      </c>
      <c r="O24" s="63">
        <v>132.6</v>
      </c>
      <c r="P24" s="63">
        <v>126.75</v>
      </c>
      <c r="Q24" s="63">
        <v>66.415000000000006</v>
      </c>
      <c r="R24" s="63">
        <v>55.219000000000001</v>
      </c>
      <c r="S24" s="63">
        <v>66.05</v>
      </c>
      <c r="T24" s="63">
        <v>47.23</v>
      </c>
      <c r="U24" s="63">
        <v>35.590000000000003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  <c r="AF24" s="63">
        <v>1</v>
      </c>
      <c r="AG24" s="63">
        <v>1</v>
      </c>
      <c r="AH24" s="63">
        <v>1</v>
      </c>
      <c r="AI24" s="64">
        <f t="shared" si="1"/>
        <v>367.8</v>
      </c>
      <c r="AJ24" s="64">
        <f t="shared" si="2"/>
        <v>367.8</v>
      </c>
      <c r="AK24" s="64">
        <f t="shared" si="3"/>
        <v>399.9</v>
      </c>
      <c r="AL24" s="64">
        <f t="shared" si="4"/>
        <v>260.25</v>
      </c>
      <c r="AM24" s="64">
        <f t="shared" si="5"/>
        <v>198.75</v>
      </c>
      <c r="AN24" s="64">
        <f t="shared" si="6"/>
        <v>188.25</v>
      </c>
      <c r="AO24" s="64">
        <f t="shared" si="7"/>
        <v>132.6</v>
      </c>
      <c r="AP24" s="64">
        <f t="shared" si="8"/>
        <v>126.75</v>
      </c>
      <c r="AQ24" s="64">
        <f t="shared" si="9"/>
        <v>66.415000000000006</v>
      </c>
      <c r="AR24" s="64">
        <f t="shared" si="10"/>
        <v>55.219000000000001</v>
      </c>
      <c r="AS24" s="64">
        <f t="shared" si="11"/>
        <v>66.05</v>
      </c>
      <c r="AT24" s="64">
        <f t="shared" si="12"/>
        <v>47.23</v>
      </c>
      <c r="AU24" s="64">
        <f t="shared" si="13"/>
        <v>35.590000000000003</v>
      </c>
    </row>
    <row r="25" spans="1:47">
      <c r="A25" t="s">
        <v>26</v>
      </c>
      <c r="B25" t="s">
        <v>27</v>
      </c>
      <c r="C25" s="56">
        <v>31</v>
      </c>
      <c r="D25" s="56">
        <v>12</v>
      </c>
      <c r="E25" s="56">
        <v>2016</v>
      </c>
      <c r="F25" s="61" t="s">
        <v>172</v>
      </c>
      <c r="G25" s="61" t="s">
        <v>172</v>
      </c>
      <c r="H25" s="62">
        <f t="shared" si="0"/>
        <v>1</v>
      </c>
      <c r="I25" s="65">
        <v>9.3309999999999995</v>
      </c>
      <c r="J25" s="65">
        <v>9.3309999999999995</v>
      </c>
      <c r="K25" s="63">
        <v>10.404999999999999</v>
      </c>
      <c r="L25" s="63">
        <v>11.92</v>
      </c>
      <c r="M25" s="63">
        <v>11.835000000000001</v>
      </c>
      <c r="N25" s="63">
        <v>10.19</v>
      </c>
      <c r="O25" s="63">
        <v>13.385</v>
      </c>
      <c r="P25" s="63">
        <v>16.965</v>
      </c>
      <c r="Q25" s="63">
        <v>19.52</v>
      </c>
      <c r="R25" s="63">
        <v>15.85</v>
      </c>
      <c r="S25" s="63">
        <v>22.22</v>
      </c>
      <c r="T25" s="63">
        <v>16.12</v>
      </c>
      <c r="U25" s="63">
        <v>12.71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  <c r="AF25" s="63">
        <v>1</v>
      </c>
      <c r="AG25" s="63">
        <v>1</v>
      </c>
      <c r="AH25" s="63">
        <v>1</v>
      </c>
      <c r="AI25" s="64">
        <f t="shared" si="1"/>
        <v>9.3309999999999995</v>
      </c>
      <c r="AJ25" s="64">
        <f t="shared" si="2"/>
        <v>9.3309999999999995</v>
      </c>
      <c r="AK25" s="64">
        <f t="shared" si="3"/>
        <v>10.404999999999999</v>
      </c>
      <c r="AL25" s="64">
        <f t="shared" si="4"/>
        <v>11.92</v>
      </c>
      <c r="AM25" s="64">
        <f t="shared" si="5"/>
        <v>11.835000000000001</v>
      </c>
      <c r="AN25" s="64">
        <f t="shared" si="6"/>
        <v>10.19</v>
      </c>
      <c r="AO25" s="64">
        <f t="shared" si="7"/>
        <v>13.385</v>
      </c>
      <c r="AP25" s="64">
        <f t="shared" si="8"/>
        <v>16.965</v>
      </c>
      <c r="AQ25" s="64">
        <f t="shared" si="9"/>
        <v>19.52</v>
      </c>
      <c r="AR25" s="64">
        <f t="shared" si="10"/>
        <v>15.85</v>
      </c>
      <c r="AS25" s="64">
        <f t="shared" si="11"/>
        <v>22.22</v>
      </c>
      <c r="AT25" s="64">
        <f t="shared" si="12"/>
        <v>16.12</v>
      </c>
      <c r="AU25" s="64">
        <f t="shared" si="13"/>
        <v>12.71</v>
      </c>
    </row>
    <row r="26" spans="1:47">
      <c r="A26" t="s">
        <v>81</v>
      </c>
      <c r="B26" t="s">
        <v>189</v>
      </c>
      <c r="C26" s="56">
        <v>31</v>
      </c>
      <c r="D26" s="56">
        <v>12</v>
      </c>
      <c r="E26" s="56">
        <v>2016</v>
      </c>
      <c r="F26" s="61" t="s">
        <v>172</v>
      </c>
      <c r="G26" s="61" t="s">
        <v>172</v>
      </c>
      <c r="H26" s="62">
        <f t="shared" si="0"/>
        <v>1</v>
      </c>
      <c r="I26" s="65">
        <v>154.69999999999999</v>
      </c>
      <c r="J26" s="65">
        <v>154.69999999999999</v>
      </c>
      <c r="K26" s="63">
        <v>155.30000000000001</v>
      </c>
      <c r="L26" s="63">
        <v>139.30000000000001</v>
      </c>
      <c r="M26" s="63">
        <v>127.7</v>
      </c>
      <c r="N26" s="63">
        <v>104.9</v>
      </c>
      <c r="O26" s="63">
        <v>80.7</v>
      </c>
      <c r="P26" s="63">
        <v>83.08</v>
      </c>
      <c r="Q26" s="63">
        <v>78</v>
      </c>
      <c r="R26" s="63">
        <v>62.3</v>
      </c>
      <c r="S26" s="63">
        <v>97.98</v>
      </c>
      <c r="T26" s="63">
        <v>75.900000000000006</v>
      </c>
      <c r="U26" s="63">
        <v>62.8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  <c r="AF26" s="63">
        <v>1</v>
      </c>
      <c r="AG26" s="63">
        <v>1</v>
      </c>
      <c r="AH26" s="63">
        <v>1</v>
      </c>
      <c r="AI26" s="64">
        <f t="shared" si="1"/>
        <v>154.69999999999999</v>
      </c>
      <c r="AJ26" s="64">
        <f t="shared" si="2"/>
        <v>154.69999999999999</v>
      </c>
      <c r="AK26" s="64">
        <f t="shared" si="3"/>
        <v>155.30000000000001</v>
      </c>
      <c r="AL26" s="64">
        <f t="shared" si="4"/>
        <v>139.30000000000001</v>
      </c>
      <c r="AM26" s="64">
        <f t="shared" si="5"/>
        <v>127.7</v>
      </c>
      <c r="AN26" s="64">
        <f t="shared" si="6"/>
        <v>104.9</v>
      </c>
      <c r="AO26" s="64">
        <f t="shared" si="7"/>
        <v>80.7</v>
      </c>
      <c r="AP26" s="64">
        <f t="shared" si="8"/>
        <v>83.08</v>
      </c>
      <c r="AQ26" s="64">
        <f t="shared" si="9"/>
        <v>78</v>
      </c>
      <c r="AR26" s="64">
        <f t="shared" si="10"/>
        <v>62.3</v>
      </c>
      <c r="AS26" s="64">
        <f t="shared" si="11"/>
        <v>97.98</v>
      </c>
      <c r="AT26" s="64">
        <f t="shared" si="12"/>
        <v>75.900000000000006</v>
      </c>
      <c r="AU26" s="64">
        <f t="shared" si="13"/>
        <v>62.8</v>
      </c>
    </row>
    <row r="27" spans="1:47">
      <c r="A27" t="s">
        <v>82</v>
      </c>
      <c r="B27" t="s">
        <v>190</v>
      </c>
      <c r="C27" s="56">
        <v>31</v>
      </c>
      <c r="D27" s="56">
        <v>12</v>
      </c>
      <c r="E27" s="56">
        <v>2016</v>
      </c>
      <c r="F27" s="61" t="s">
        <v>172</v>
      </c>
      <c r="G27" s="61" t="s">
        <v>172</v>
      </c>
      <c r="H27" s="62">
        <f t="shared" si="0"/>
        <v>1</v>
      </c>
      <c r="I27" s="65">
        <v>74.569999999999993</v>
      </c>
      <c r="J27" s="65">
        <v>74.569999999999993</v>
      </c>
      <c r="K27" s="63">
        <v>78.599999999999994</v>
      </c>
      <c r="L27" s="63">
        <v>75.66</v>
      </c>
      <c r="M27" s="63">
        <v>77.12</v>
      </c>
      <c r="N27" s="63">
        <v>71.39</v>
      </c>
      <c r="O27" s="63">
        <v>56.75</v>
      </c>
      <c r="P27" s="63">
        <v>47.85</v>
      </c>
      <c r="Q27" s="63">
        <v>55.06</v>
      </c>
      <c r="R27" s="63">
        <v>45.4</v>
      </c>
      <c r="S27" s="63">
        <v>62.98</v>
      </c>
      <c r="T27" s="63">
        <v>69.95</v>
      </c>
      <c r="U27" s="63">
        <v>74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  <c r="AF27" s="63">
        <v>1</v>
      </c>
      <c r="AG27" s="63">
        <v>1</v>
      </c>
      <c r="AH27" s="63">
        <v>1</v>
      </c>
      <c r="AI27" s="64">
        <f t="shared" si="1"/>
        <v>74.569999999999993</v>
      </c>
      <c r="AJ27" s="64">
        <f t="shared" si="2"/>
        <v>74.569999999999993</v>
      </c>
      <c r="AK27" s="64">
        <f t="shared" si="3"/>
        <v>78.599999999999994</v>
      </c>
      <c r="AL27" s="64">
        <f t="shared" si="4"/>
        <v>75.66</v>
      </c>
      <c r="AM27" s="64">
        <f t="shared" si="5"/>
        <v>77.12</v>
      </c>
      <c r="AN27" s="64">
        <f t="shared" si="6"/>
        <v>71.39</v>
      </c>
      <c r="AO27" s="64">
        <f t="shared" si="7"/>
        <v>56.75</v>
      </c>
      <c r="AP27" s="64">
        <f t="shared" si="8"/>
        <v>47.85</v>
      </c>
      <c r="AQ27" s="64">
        <f t="shared" si="9"/>
        <v>55.06</v>
      </c>
      <c r="AR27" s="64">
        <f t="shared" si="10"/>
        <v>45.4</v>
      </c>
      <c r="AS27" s="64">
        <f t="shared" si="11"/>
        <v>62.98</v>
      </c>
      <c r="AT27" s="64">
        <f t="shared" si="12"/>
        <v>69.95</v>
      </c>
      <c r="AU27" s="64">
        <f t="shared" si="13"/>
        <v>74</v>
      </c>
    </row>
    <row r="28" spans="1:47">
      <c r="A28" t="s">
        <v>28</v>
      </c>
      <c r="B28" t="s">
        <v>29</v>
      </c>
      <c r="C28" s="56">
        <v>31</v>
      </c>
      <c r="D28" s="56">
        <v>12</v>
      </c>
      <c r="E28" s="56">
        <v>2016</v>
      </c>
      <c r="F28" s="61" t="s">
        <v>172</v>
      </c>
      <c r="G28" s="61" t="s">
        <v>172</v>
      </c>
      <c r="H28" s="62">
        <f t="shared" si="0"/>
        <v>1</v>
      </c>
      <c r="I28" s="65">
        <v>61.26</v>
      </c>
      <c r="J28" s="65">
        <v>61.26</v>
      </c>
      <c r="K28" s="63">
        <v>62.28</v>
      </c>
      <c r="L28" s="63">
        <v>54.45</v>
      </c>
      <c r="M28" s="63">
        <v>52.32</v>
      </c>
      <c r="N28" s="63">
        <v>49.905000000000001</v>
      </c>
      <c r="O28" s="63">
        <v>48.57</v>
      </c>
      <c r="P28" s="63">
        <v>47.02</v>
      </c>
      <c r="Q28" s="63">
        <v>42.83</v>
      </c>
      <c r="R28" s="63">
        <v>43.18</v>
      </c>
      <c r="S28" s="63">
        <v>61.4</v>
      </c>
      <c r="T28" s="63">
        <v>57.4</v>
      </c>
      <c r="U28" s="63">
        <v>44.125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  <c r="AF28" s="63">
        <v>1</v>
      </c>
      <c r="AG28" s="63">
        <v>1</v>
      </c>
      <c r="AH28" s="63">
        <v>1</v>
      </c>
      <c r="AI28" s="64">
        <f t="shared" si="1"/>
        <v>61.26</v>
      </c>
      <c r="AJ28" s="64">
        <f t="shared" si="2"/>
        <v>61.26</v>
      </c>
      <c r="AK28" s="64">
        <f t="shared" si="3"/>
        <v>62.28</v>
      </c>
      <c r="AL28" s="64">
        <f t="shared" si="4"/>
        <v>54.45</v>
      </c>
      <c r="AM28" s="64">
        <f t="shared" si="5"/>
        <v>52.32</v>
      </c>
      <c r="AN28" s="64">
        <f t="shared" si="6"/>
        <v>49.905000000000001</v>
      </c>
      <c r="AO28" s="64">
        <f t="shared" si="7"/>
        <v>48.57</v>
      </c>
      <c r="AP28" s="64">
        <f t="shared" si="8"/>
        <v>47.02</v>
      </c>
      <c r="AQ28" s="64">
        <f t="shared" si="9"/>
        <v>42.83</v>
      </c>
      <c r="AR28" s="64">
        <f t="shared" si="10"/>
        <v>43.18</v>
      </c>
      <c r="AS28" s="64">
        <f t="shared" si="11"/>
        <v>61.4</v>
      </c>
      <c r="AT28" s="64">
        <f t="shared" si="12"/>
        <v>57.4</v>
      </c>
      <c r="AU28" s="64">
        <f t="shared" si="13"/>
        <v>44.125</v>
      </c>
    </row>
    <row r="29" spans="1:47">
      <c r="A29" s="52" t="s">
        <v>320</v>
      </c>
      <c r="B29" t="s">
        <v>322</v>
      </c>
      <c r="C29" s="56">
        <v>31</v>
      </c>
      <c r="D29" s="56">
        <v>8</v>
      </c>
      <c r="E29" s="56">
        <v>2016</v>
      </c>
      <c r="F29" s="83" t="s">
        <v>172</v>
      </c>
      <c r="G29" s="83" t="s">
        <v>172</v>
      </c>
      <c r="H29" s="62">
        <f t="shared" si="0"/>
        <v>1</v>
      </c>
      <c r="I29" s="65">
        <v>94.28</v>
      </c>
      <c r="J29" s="65">
        <v>94.28</v>
      </c>
      <c r="K29" s="63">
        <v>78.430000000000007</v>
      </c>
      <c r="L29" s="63">
        <v>74.97</v>
      </c>
      <c r="M29" s="63">
        <v>66.77</v>
      </c>
      <c r="N29" s="63">
        <v>62.87</v>
      </c>
      <c r="O29" s="63">
        <v>51.82</v>
      </c>
      <c r="P29" s="63">
        <v>45.344999999999999</v>
      </c>
      <c r="Q29" s="63">
        <v>40.18</v>
      </c>
      <c r="R29" s="63">
        <v>46.26</v>
      </c>
      <c r="S29" s="63">
        <v>48.38</v>
      </c>
      <c r="T29" s="63">
        <v>41.61</v>
      </c>
      <c r="U29" s="63">
        <v>28.18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  <c r="AF29" s="63">
        <v>1</v>
      </c>
      <c r="AG29" s="63">
        <v>1</v>
      </c>
      <c r="AH29" s="63">
        <v>1</v>
      </c>
      <c r="AI29" s="64">
        <f t="shared" si="1"/>
        <v>94.28</v>
      </c>
      <c r="AJ29" s="64">
        <f t="shared" si="2"/>
        <v>94.28</v>
      </c>
      <c r="AK29" s="64">
        <f t="shared" si="3"/>
        <v>78.430000000000007</v>
      </c>
      <c r="AL29" s="64">
        <f t="shared" si="4"/>
        <v>74.97</v>
      </c>
      <c r="AM29" s="64">
        <f t="shared" si="5"/>
        <v>66.77</v>
      </c>
      <c r="AN29" s="64">
        <f t="shared" si="6"/>
        <v>62.87</v>
      </c>
      <c r="AO29" s="64">
        <f t="shared" si="7"/>
        <v>51.82</v>
      </c>
      <c r="AP29" s="64">
        <f t="shared" si="8"/>
        <v>45.344999999999999</v>
      </c>
      <c r="AQ29" s="64">
        <f t="shared" si="9"/>
        <v>40.18</v>
      </c>
      <c r="AR29" s="64">
        <f t="shared" si="10"/>
        <v>46.26</v>
      </c>
      <c r="AS29" s="64">
        <f t="shared" si="11"/>
        <v>48.38</v>
      </c>
      <c r="AT29" s="64">
        <f t="shared" si="12"/>
        <v>41.61</v>
      </c>
      <c r="AU29" s="64">
        <f t="shared" si="13"/>
        <v>28.18</v>
      </c>
    </row>
    <row r="30" spans="1:47">
      <c r="A30" t="s">
        <v>83</v>
      </c>
      <c r="B30" t="s">
        <v>191</v>
      </c>
      <c r="C30" s="56">
        <v>30</v>
      </c>
      <c r="D30" s="56">
        <v>6</v>
      </c>
      <c r="E30" s="56">
        <v>2016</v>
      </c>
      <c r="F30" s="61" t="s">
        <v>173</v>
      </c>
      <c r="G30" s="61" t="s">
        <v>173</v>
      </c>
      <c r="H30" s="62">
        <f t="shared" si="0"/>
        <v>1</v>
      </c>
      <c r="I30" s="65">
        <v>19.12</v>
      </c>
      <c r="J30" s="65">
        <v>19.12</v>
      </c>
      <c r="K30" s="63">
        <v>18.41</v>
      </c>
      <c r="L30" s="63">
        <v>18.66</v>
      </c>
      <c r="M30" s="63">
        <v>18.8</v>
      </c>
      <c r="N30" s="63">
        <v>16.420000000000002</v>
      </c>
      <c r="O30" s="63">
        <v>12.73</v>
      </c>
      <c r="P30" s="63">
        <v>10.6</v>
      </c>
      <c r="Q30" s="63">
        <v>8.7149999999999999</v>
      </c>
      <c r="R30" s="63">
        <v>9.24</v>
      </c>
      <c r="S30" s="63">
        <v>10.37</v>
      </c>
      <c r="T30" s="63">
        <v>9.0950000000000006</v>
      </c>
      <c r="U30" s="63">
        <v>8.23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  <c r="AF30" s="63">
        <v>1</v>
      </c>
      <c r="AG30" s="63">
        <v>1</v>
      </c>
      <c r="AH30" s="63">
        <v>1</v>
      </c>
      <c r="AI30" s="64">
        <f t="shared" si="1"/>
        <v>19.12</v>
      </c>
      <c r="AJ30" s="64">
        <f t="shared" si="2"/>
        <v>19.12</v>
      </c>
      <c r="AK30" s="64">
        <f t="shared" si="3"/>
        <v>18.41</v>
      </c>
      <c r="AL30" s="64">
        <f t="shared" si="4"/>
        <v>18.66</v>
      </c>
      <c r="AM30" s="64">
        <f t="shared" si="5"/>
        <v>18.8</v>
      </c>
      <c r="AN30" s="64">
        <f t="shared" si="6"/>
        <v>16.420000000000002</v>
      </c>
      <c r="AO30" s="64">
        <f t="shared" si="7"/>
        <v>12.73</v>
      </c>
      <c r="AP30" s="64">
        <f t="shared" si="8"/>
        <v>10.6</v>
      </c>
      <c r="AQ30" s="64">
        <f t="shared" si="9"/>
        <v>8.7149999999999999</v>
      </c>
      <c r="AR30" s="64">
        <f t="shared" si="10"/>
        <v>9.24</v>
      </c>
      <c r="AS30" s="64">
        <f t="shared" si="11"/>
        <v>10.37</v>
      </c>
      <c r="AT30" s="64">
        <f t="shared" si="12"/>
        <v>9.0950000000000006</v>
      </c>
      <c r="AU30" s="64">
        <f t="shared" si="13"/>
        <v>8.23</v>
      </c>
    </row>
    <row r="31" spans="1:47">
      <c r="A31" t="s">
        <v>30</v>
      </c>
      <c r="B31" t="s">
        <v>31</v>
      </c>
      <c r="C31" s="56">
        <v>31</v>
      </c>
      <c r="D31" s="56">
        <v>12</v>
      </c>
      <c r="E31" s="56">
        <v>2016</v>
      </c>
      <c r="F31" s="61" t="s">
        <v>173</v>
      </c>
      <c r="G31" s="61" t="s">
        <v>173</v>
      </c>
      <c r="H31" s="62">
        <f t="shared" si="0"/>
        <v>1</v>
      </c>
      <c r="I31" s="65">
        <v>41.9</v>
      </c>
      <c r="J31" s="65">
        <v>41.9</v>
      </c>
      <c r="K31" s="63">
        <v>37.71</v>
      </c>
      <c r="L31" s="63">
        <v>35</v>
      </c>
      <c r="M31" s="63">
        <v>32.380000000000003</v>
      </c>
      <c r="N31" s="63">
        <v>31.21</v>
      </c>
      <c r="O31" s="63">
        <v>30.555</v>
      </c>
      <c r="P31" s="63">
        <v>24.635000000000002</v>
      </c>
      <c r="Q31" s="63">
        <v>20.164999999999999</v>
      </c>
      <c r="R31" s="63">
        <v>18</v>
      </c>
      <c r="S31" s="63">
        <v>19.649999999999999</v>
      </c>
      <c r="T31" s="63">
        <v>14.29</v>
      </c>
      <c r="U31" s="63">
        <v>13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  <c r="AF31" s="63">
        <v>1</v>
      </c>
      <c r="AG31" s="63">
        <v>1</v>
      </c>
      <c r="AH31" s="63">
        <v>1</v>
      </c>
      <c r="AI31" s="64">
        <f t="shared" si="1"/>
        <v>41.9</v>
      </c>
      <c r="AJ31" s="64">
        <f t="shared" si="2"/>
        <v>41.9</v>
      </c>
      <c r="AK31" s="64">
        <f t="shared" si="3"/>
        <v>37.71</v>
      </c>
      <c r="AL31" s="64">
        <f t="shared" si="4"/>
        <v>35</v>
      </c>
      <c r="AM31" s="64">
        <f t="shared" si="5"/>
        <v>32.380000000000003</v>
      </c>
      <c r="AN31" s="64">
        <f t="shared" si="6"/>
        <v>31.21</v>
      </c>
      <c r="AO31" s="64">
        <f t="shared" si="7"/>
        <v>30.555</v>
      </c>
      <c r="AP31" s="64">
        <f t="shared" si="8"/>
        <v>24.635000000000002</v>
      </c>
      <c r="AQ31" s="64">
        <f t="shared" si="9"/>
        <v>20.164999999999999</v>
      </c>
      <c r="AR31" s="64">
        <f t="shared" si="10"/>
        <v>18</v>
      </c>
      <c r="AS31" s="64">
        <f t="shared" si="11"/>
        <v>19.649999999999999</v>
      </c>
      <c r="AT31" s="64">
        <f t="shared" si="12"/>
        <v>14.29</v>
      </c>
      <c r="AU31" s="64">
        <f t="shared" si="13"/>
        <v>13</v>
      </c>
    </row>
    <row r="32" spans="1:47">
      <c r="A32" t="s">
        <v>32</v>
      </c>
      <c r="B32" t="s">
        <v>33</v>
      </c>
      <c r="C32" s="56">
        <v>30</v>
      </c>
      <c r="D32" s="56">
        <v>9</v>
      </c>
      <c r="E32" s="56">
        <v>2016</v>
      </c>
      <c r="F32" s="61" t="s">
        <v>173</v>
      </c>
      <c r="G32" s="61" t="s">
        <v>173</v>
      </c>
      <c r="H32" s="62">
        <f t="shared" si="0"/>
        <v>1</v>
      </c>
      <c r="I32" s="65">
        <v>38.5</v>
      </c>
      <c r="J32" s="65">
        <v>38.5</v>
      </c>
      <c r="K32" s="63">
        <v>34.130000000000003</v>
      </c>
      <c r="L32" s="63">
        <v>26.64</v>
      </c>
      <c r="M32" s="63">
        <v>22.87</v>
      </c>
      <c r="N32" s="63">
        <v>22.92</v>
      </c>
      <c r="O32" s="63">
        <v>21.74</v>
      </c>
      <c r="P32" s="63">
        <v>18.97</v>
      </c>
      <c r="Q32" s="63">
        <v>18.079999999999998</v>
      </c>
      <c r="R32" s="63">
        <v>17.97</v>
      </c>
      <c r="S32" s="63">
        <v>22.41</v>
      </c>
      <c r="T32" s="63">
        <v>17.8</v>
      </c>
      <c r="U32" s="63">
        <v>16.239999999999998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  <c r="AF32" s="63">
        <v>1</v>
      </c>
      <c r="AG32" s="63">
        <v>1</v>
      </c>
      <c r="AH32" s="63">
        <v>1</v>
      </c>
      <c r="AI32" s="64">
        <f t="shared" si="1"/>
        <v>38.5</v>
      </c>
      <c r="AJ32" s="64">
        <f t="shared" si="2"/>
        <v>38.5</v>
      </c>
      <c r="AK32" s="64">
        <f t="shared" si="3"/>
        <v>34.130000000000003</v>
      </c>
      <c r="AL32" s="64">
        <f t="shared" si="4"/>
        <v>26.64</v>
      </c>
      <c r="AM32" s="64">
        <f t="shared" si="5"/>
        <v>22.87</v>
      </c>
      <c r="AN32" s="64">
        <f t="shared" si="6"/>
        <v>22.92</v>
      </c>
      <c r="AO32" s="64">
        <f t="shared" si="7"/>
        <v>21.74</v>
      </c>
      <c r="AP32" s="64">
        <f t="shared" si="8"/>
        <v>18.97</v>
      </c>
      <c r="AQ32" s="64">
        <f t="shared" si="9"/>
        <v>18.079999999999998</v>
      </c>
      <c r="AR32" s="64">
        <f t="shared" si="10"/>
        <v>17.97</v>
      </c>
      <c r="AS32" s="64">
        <f t="shared" si="11"/>
        <v>22.41</v>
      </c>
      <c r="AT32" s="64">
        <f t="shared" si="12"/>
        <v>17.8</v>
      </c>
      <c r="AU32" s="64">
        <f t="shared" si="13"/>
        <v>16.239999999999998</v>
      </c>
    </row>
    <row r="33" spans="1:47">
      <c r="A33" t="s">
        <v>85</v>
      </c>
      <c r="B33" t="s">
        <v>192</v>
      </c>
      <c r="C33" s="56">
        <v>31</v>
      </c>
      <c r="D33" s="56">
        <v>3</v>
      </c>
      <c r="E33" s="56">
        <v>2016</v>
      </c>
      <c r="F33" s="61" t="s">
        <v>174</v>
      </c>
      <c r="G33" s="61" t="s">
        <v>173</v>
      </c>
      <c r="H33" s="62">
        <f t="shared" si="0"/>
        <v>0</v>
      </c>
      <c r="I33" s="65">
        <v>42.17</v>
      </c>
      <c r="J33" s="63">
        <v>42.56</v>
      </c>
      <c r="K33" s="63">
        <v>35.4</v>
      </c>
      <c r="L33" s="63">
        <v>29.95</v>
      </c>
      <c r="M33" s="63">
        <v>34.64</v>
      </c>
      <c r="N33" s="63">
        <v>25.094999999999999</v>
      </c>
      <c r="O33" s="63">
        <v>22.074999999999999</v>
      </c>
      <c r="P33" s="63">
        <v>19.32</v>
      </c>
      <c r="Q33" s="63">
        <v>10.37</v>
      </c>
      <c r="R33" s="63">
        <v>11.04</v>
      </c>
      <c r="S33" s="63">
        <v>11.15</v>
      </c>
      <c r="T33" s="63">
        <v>11.36</v>
      </c>
      <c r="U33" s="63">
        <v>8.2850000000000001</v>
      </c>
      <c r="V33" s="65">
        <v>1.4126000000000001</v>
      </c>
      <c r="W33" s="63">
        <v>1.4367000000000001</v>
      </c>
      <c r="X33" s="63">
        <v>1.4846999999999999</v>
      </c>
      <c r="Y33" s="63">
        <v>1.6639999999999999</v>
      </c>
      <c r="Z33" s="63">
        <v>1.5198</v>
      </c>
      <c r="AA33" s="63">
        <v>1.6011</v>
      </c>
      <c r="AB33" s="63">
        <v>1.6032999999999999</v>
      </c>
      <c r="AC33" s="63">
        <v>1.5182</v>
      </c>
      <c r="AD33" s="63">
        <v>1.4340999999999999</v>
      </c>
      <c r="AE33" s="63">
        <v>1.9847999999999999</v>
      </c>
      <c r="AF33" s="63">
        <v>1.9679</v>
      </c>
      <c r="AG33" s="63">
        <v>1.7374000000000001</v>
      </c>
      <c r="AH33" s="63">
        <v>1.8794</v>
      </c>
      <c r="AI33" s="64">
        <f t="shared" si="1"/>
        <v>59.569342000000006</v>
      </c>
      <c r="AJ33" s="64">
        <f t="shared" si="2"/>
        <v>61.145952000000008</v>
      </c>
      <c r="AK33" s="64">
        <f t="shared" si="3"/>
        <v>52.558379999999993</v>
      </c>
      <c r="AL33" s="64">
        <f t="shared" si="4"/>
        <v>49.836799999999997</v>
      </c>
      <c r="AM33" s="64">
        <f t="shared" si="5"/>
        <v>52.645872000000004</v>
      </c>
      <c r="AN33" s="64">
        <f t="shared" si="6"/>
        <v>40.179604499999996</v>
      </c>
      <c r="AO33" s="64">
        <f t="shared" si="7"/>
        <v>35.392847499999995</v>
      </c>
      <c r="AP33" s="64">
        <f t="shared" si="8"/>
        <v>29.331624000000001</v>
      </c>
      <c r="AQ33" s="64">
        <f t="shared" si="9"/>
        <v>14.871616999999999</v>
      </c>
      <c r="AR33" s="64">
        <f t="shared" si="10"/>
        <v>21.912191999999997</v>
      </c>
      <c r="AS33" s="64">
        <f t="shared" si="11"/>
        <v>21.942084999999999</v>
      </c>
      <c r="AT33" s="64">
        <f t="shared" si="12"/>
        <v>19.736864000000001</v>
      </c>
      <c r="AU33" s="64">
        <f t="shared" si="13"/>
        <v>15.570829</v>
      </c>
    </row>
    <row r="34" spans="1:47">
      <c r="A34" t="s">
        <v>87</v>
      </c>
      <c r="B34" t="s">
        <v>193</v>
      </c>
      <c r="C34" s="56">
        <v>31</v>
      </c>
      <c r="D34" s="56">
        <v>12</v>
      </c>
      <c r="E34" s="56">
        <v>2016</v>
      </c>
      <c r="F34" s="61" t="s">
        <v>173</v>
      </c>
      <c r="G34" s="61" t="s">
        <v>173</v>
      </c>
      <c r="H34" s="62">
        <f t="shared" si="0"/>
        <v>1</v>
      </c>
      <c r="I34" s="65">
        <v>67.78</v>
      </c>
      <c r="J34" s="65">
        <v>67.78</v>
      </c>
      <c r="K34" s="63">
        <v>62.81</v>
      </c>
      <c r="L34" s="63">
        <v>52.1</v>
      </c>
      <c r="M34" s="63">
        <v>46.586129999999997</v>
      </c>
      <c r="N34" s="63">
        <v>37.702399999999997</v>
      </c>
      <c r="O34" s="63">
        <v>30.908390000000001</v>
      </c>
      <c r="P34" s="63">
        <v>34.261659999999999</v>
      </c>
      <c r="Q34" s="63">
        <v>32.619039999999998</v>
      </c>
      <c r="R34" s="63">
        <v>25.057179999999999</v>
      </c>
      <c r="S34" s="63">
        <v>28.322970000000002</v>
      </c>
      <c r="T34" s="63">
        <v>22.685590000000001</v>
      </c>
      <c r="U34" s="63">
        <v>18.661670000000001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  <c r="AF34" s="63">
        <v>1</v>
      </c>
      <c r="AG34" s="63">
        <v>1</v>
      </c>
      <c r="AH34" s="63">
        <v>1</v>
      </c>
      <c r="AI34" s="64">
        <f t="shared" si="1"/>
        <v>67.78</v>
      </c>
      <c r="AJ34" s="64">
        <f t="shared" si="2"/>
        <v>67.78</v>
      </c>
      <c r="AK34" s="64">
        <f t="shared" si="3"/>
        <v>62.81</v>
      </c>
      <c r="AL34" s="64">
        <f t="shared" si="4"/>
        <v>52.1</v>
      </c>
      <c r="AM34" s="64">
        <f t="shared" si="5"/>
        <v>46.586129999999997</v>
      </c>
      <c r="AN34" s="64">
        <f t="shared" si="6"/>
        <v>37.702399999999997</v>
      </c>
      <c r="AO34" s="64">
        <f t="shared" si="7"/>
        <v>30.908390000000001</v>
      </c>
      <c r="AP34" s="64">
        <f t="shared" si="8"/>
        <v>34.261659999999999</v>
      </c>
      <c r="AQ34" s="64">
        <f t="shared" si="9"/>
        <v>32.619039999999998</v>
      </c>
      <c r="AR34" s="64">
        <f t="shared" si="10"/>
        <v>25.057179999999999</v>
      </c>
      <c r="AS34" s="64">
        <f t="shared" si="11"/>
        <v>28.322970000000002</v>
      </c>
      <c r="AT34" s="64">
        <f t="shared" si="12"/>
        <v>22.685590000000001</v>
      </c>
      <c r="AU34" s="64">
        <f t="shared" si="13"/>
        <v>18.661670000000001</v>
      </c>
    </row>
    <row r="35" spans="1:47">
      <c r="A35" t="s">
        <v>34</v>
      </c>
      <c r="B35" t="s">
        <v>35</v>
      </c>
      <c r="C35" s="56">
        <v>31</v>
      </c>
      <c r="D35" s="56">
        <v>3</v>
      </c>
      <c r="E35" s="56">
        <v>2016</v>
      </c>
      <c r="F35" s="61" t="s">
        <v>173</v>
      </c>
      <c r="G35" s="61" t="s">
        <v>173</v>
      </c>
      <c r="H35" s="62">
        <f t="shared" si="0"/>
        <v>1</v>
      </c>
      <c r="I35" s="65">
        <v>2.2749999999999999</v>
      </c>
      <c r="J35" s="63">
        <v>2.2120000000000002</v>
      </c>
      <c r="K35" s="63">
        <v>2.2044999999999999</v>
      </c>
      <c r="L35" s="63">
        <v>2.2029999999999998</v>
      </c>
      <c r="M35" s="63">
        <v>1.8660000000000001</v>
      </c>
      <c r="N35" s="63">
        <v>1.722</v>
      </c>
      <c r="O35" s="63">
        <v>1.7649999999999999</v>
      </c>
      <c r="P35" s="63">
        <v>1.52</v>
      </c>
      <c r="Q35" s="63">
        <v>1.2275</v>
      </c>
      <c r="R35" s="63">
        <v>1.5089999999999999</v>
      </c>
      <c r="S35" s="63">
        <v>1.355</v>
      </c>
      <c r="T35" s="63">
        <v>1.2050000000000001</v>
      </c>
      <c r="U35" s="63">
        <v>1.405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  <c r="AF35" s="63">
        <v>1</v>
      </c>
      <c r="AG35" s="63">
        <v>1</v>
      </c>
      <c r="AH35" s="63">
        <v>1</v>
      </c>
      <c r="AI35" s="64">
        <f t="shared" si="1"/>
        <v>2.2749999999999999</v>
      </c>
      <c r="AJ35" s="64">
        <f t="shared" si="2"/>
        <v>2.2120000000000002</v>
      </c>
      <c r="AK35" s="64">
        <f t="shared" si="3"/>
        <v>2.2044999999999999</v>
      </c>
      <c r="AL35" s="64">
        <f t="shared" si="4"/>
        <v>2.2029999999999998</v>
      </c>
      <c r="AM35" s="64">
        <f t="shared" si="5"/>
        <v>1.8660000000000001</v>
      </c>
      <c r="AN35" s="64">
        <f t="shared" si="6"/>
        <v>1.722</v>
      </c>
      <c r="AO35" s="64">
        <f t="shared" si="7"/>
        <v>1.7649999999999999</v>
      </c>
      <c r="AP35" s="64">
        <f t="shared" si="8"/>
        <v>1.52</v>
      </c>
      <c r="AQ35" s="64">
        <f t="shared" si="9"/>
        <v>1.2275</v>
      </c>
      <c r="AR35" s="64">
        <f t="shared" si="10"/>
        <v>1.5089999999999999</v>
      </c>
      <c r="AS35" s="64">
        <f t="shared" si="11"/>
        <v>1.355</v>
      </c>
      <c r="AT35" s="64">
        <f t="shared" si="12"/>
        <v>1.2050000000000001</v>
      </c>
      <c r="AU35" s="64">
        <f t="shared" si="13"/>
        <v>1.405</v>
      </c>
    </row>
    <row r="36" spans="1:47">
      <c r="A36" s="55" t="s">
        <v>277</v>
      </c>
      <c r="B36" s="55" t="s">
        <v>278</v>
      </c>
      <c r="C36" s="56">
        <v>31</v>
      </c>
      <c r="D36" s="56">
        <v>8</v>
      </c>
      <c r="E36" s="56">
        <v>2016</v>
      </c>
      <c r="F36" s="61" t="s">
        <v>174</v>
      </c>
      <c r="G36" s="61" t="s">
        <v>174</v>
      </c>
      <c r="H36" s="62">
        <f t="shared" si="0"/>
        <v>1</v>
      </c>
      <c r="I36" s="65">
        <v>112.83</v>
      </c>
      <c r="J36" s="65">
        <v>112.83</v>
      </c>
      <c r="K36" s="63">
        <v>94.27</v>
      </c>
      <c r="L36" s="63">
        <v>81.06</v>
      </c>
      <c r="M36" s="63">
        <v>72.25</v>
      </c>
      <c r="N36" s="63">
        <v>61.6</v>
      </c>
      <c r="O36" s="63">
        <v>53.59</v>
      </c>
      <c r="P36" s="63">
        <v>36.6</v>
      </c>
      <c r="Q36" s="63">
        <v>33</v>
      </c>
      <c r="R36" s="63">
        <v>41.36</v>
      </c>
      <c r="S36" s="63">
        <v>41.21</v>
      </c>
      <c r="T36" s="63">
        <v>29.66</v>
      </c>
      <c r="U36" s="63">
        <v>24.4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  <c r="AF36" s="63">
        <v>1</v>
      </c>
      <c r="AG36" s="63">
        <v>1</v>
      </c>
      <c r="AH36" s="63">
        <v>1</v>
      </c>
      <c r="AI36" s="64">
        <f t="shared" si="1"/>
        <v>112.83</v>
      </c>
      <c r="AJ36" s="64">
        <f t="shared" si="2"/>
        <v>112.83</v>
      </c>
      <c r="AK36" s="64">
        <f t="shared" si="3"/>
        <v>94.27</v>
      </c>
      <c r="AL36" s="64">
        <f t="shared" si="4"/>
        <v>81.06</v>
      </c>
      <c r="AM36" s="64">
        <f t="shared" si="5"/>
        <v>72.25</v>
      </c>
      <c r="AN36" s="64">
        <f t="shared" si="6"/>
        <v>61.6</v>
      </c>
      <c r="AO36" s="64">
        <f t="shared" si="7"/>
        <v>53.59</v>
      </c>
      <c r="AP36" s="64">
        <f t="shared" si="8"/>
        <v>36.6</v>
      </c>
      <c r="AQ36" s="64">
        <f t="shared" si="9"/>
        <v>33</v>
      </c>
      <c r="AR36" s="64">
        <f t="shared" si="10"/>
        <v>41.36</v>
      </c>
      <c r="AS36" s="64">
        <f t="shared" si="11"/>
        <v>41.21</v>
      </c>
      <c r="AT36" s="64">
        <f t="shared" si="12"/>
        <v>29.66</v>
      </c>
      <c r="AU36" s="64">
        <f t="shared" si="13"/>
        <v>24.4</v>
      </c>
    </row>
    <row r="37" spans="1:47">
      <c r="A37" s="38" t="s">
        <v>252</v>
      </c>
      <c r="B37" s="38" t="s">
        <v>261</v>
      </c>
      <c r="C37" s="56">
        <v>30</v>
      </c>
      <c r="D37" s="56">
        <v>4</v>
      </c>
      <c r="E37" s="56">
        <v>2016</v>
      </c>
      <c r="F37" s="61" t="s">
        <v>174</v>
      </c>
      <c r="G37" s="61" t="s">
        <v>174</v>
      </c>
      <c r="H37" s="62">
        <f t="shared" si="0"/>
        <v>1</v>
      </c>
      <c r="I37" s="65">
        <v>76.37</v>
      </c>
      <c r="J37" s="65">
        <v>76.37</v>
      </c>
      <c r="K37" s="63">
        <v>74.45</v>
      </c>
      <c r="L37" s="63">
        <v>58.82</v>
      </c>
      <c r="M37" s="63">
        <v>46.7</v>
      </c>
      <c r="N37" s="63">
        <v>38.200000000000003</v>
      </c>
      <c r="O37" s="63">
        <v>41.75</v>
      </c>
      <c r="P37" s="63">
        <v>43.69</v>
      </c>
      <c r="Q37" s="63">
        <v>32</v>
      </c>
      <c r="R37" s="63">
        <v>48.68</v>
      </c>
      <c r="S37" s="63">
        <v>52.97</v>
      </c>
      <c r="T37" s="63">
        <v>50.12</v>
      </c>
      <c r="U37" s="63">
        <v>40.4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  <c r="AF37" s="63">
        <v>1</v>
      </c>
      <c r="AG37" s="63">
        <v>1</v>
      </c>
      <c r="AH37" s="63">
        <v>1</v>
      </c>
      <c r="AI37" s="64">
        <f t="shared" si="1"/>
        <v>76.37</v>
      </c>
      <c r="AJ37" s="64">
        <f t="shared" si="2"/>
        <v>76.37</v>
      </c>
      <c r="AK37" s="64">
        <f t="shared" si="3"/>
        <v>74.45</v>
      </c>
      <c r="AL37" s="64">
        <f t="shared" si="4"/>
        <v>58.82</v>
      </c>
      <c r="AM37" s="64">
        <f t="shared" si="5"/>
        <v>46.7</v>
      </c>
      <c r="AN37" s="64">
        <f t="shared" si="6"/>
        <v>38.200000000000003</v>
      </c>
      <c r="AO37" s="64">
        <f t="shared" si="7"/>
        <v>41.75</v>
      </c>
      <c r="AP37" s="64">
        <f t="shared" si="8"/>
        <v>43.69</v>
      </c>
      <c r="AQ37" s="64">
        <f t="shared" si="9"/>
        <v>32</v>
      </c>
      <c r="AR37" s="64">
        <f t="shared" si="10"/>
        <v>48.68</v>
      </c>
      <c r="AS37" s="64">
        <f t="shared" si="11"/>
        <v>52.97</v>
      </c>
      <c r="AT37" s="64">
        <f t="shared" si="12"/>
        <v>50.12</v>
      </c>
      <c r="AU37" s="64">
        <f t="shared" si="13"/>
        <v>40.4</v>
      </c>
    </row>
    <row r="38" spans="1:47">
      <c r="A38" t="s">
        <v>36</v>
      </c>
      <c r="B38" t="s">
        <v>37</v>
      </c>
      <c r="C38" s="56">
        <v>31</v>
      </c>
      <c r="D38" s="56">
        <v>12</v>
      </c>
      <c r="E38" s="56">
        <v>2016</v>
      </c>
      <c r="F38" s="61" t="s">
        <v>172</v>
      </c>
      <c r="G38" s="61" t="s">
        <v>172</v>
      </c>
      <c r="H38" s="62">
        <f t="shared" ref="H38:H69" si="14">IF(F38=G38,1,0)</f>
        <v>1</v>
      </c>
      <c r="I38" s="65">
        <v>39.475000000000001</v>
      </c>
      <c r="J38" s="65">
        <v>39.475000000000001</v>
      </c>
      <c r="K38" s="63">
        <v>40.104999999999997</v>
      </c>
      <c r="L38" s="63">
        <v>32.64</v>
      </c>
      <c r="M38" s="63">
        <v>29.274999999999999</v>
      </c>
      <c r="N38" s="63">
        <v>28.835000000000001</v>
      </c>
      <c r="O38" s="63">
        <v>26.57</v>
      </c>
      <c r="P38" s="63">
        <v>23.3</v>
      </c>
      <c r="Q38" s="63">
        <v>22.75</v>
      </c>
      <c r="R38" s="63">
        <v>17.34</v>
      </c>
      <c r="S38" s="63">
        <v>25.15</v>
      </c>
      <c r="T38" s="63">
        <v>20.7</v>
      </c>
      <c r="U38" s="63">
        <v>19.283000000000001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  <c r="AF38" s="63">
        <v>1</v>
      </c>
      <c r="AG38" s="63">
        <v>1</v>
      </c>
      <c r="AH38" s="63">
        <v>1</v>
      </c>
      <c r="AI38" s="64">
        <f t="shared" ref="AI38:AI69" si="15">I38*V38</f>
        <v>39.475000000000001</v>
      </c>
      <c r="AJ38" s="64">
        <f t="shared" ref="AJ38:AJ69" si="16">J38*W38</f>
        <v>39.475000000000001</v>
      </c>
      <c r="AK38" s="64">
        <f t="shared" ref="AK38:AK69" si="17">K38*X38</f>
        <v>40.104999999999997</v>
      </c>
      <c r="AL38" s="64">
        <f t="shared" ref="AL38:AL69" si="18">L38*Y38</f>
        <v>32.64</v>
      </c>
      <c r="AM38" s="64">
        <f t="shared" ref="AM38:AM69" si="19">M38*Z38</f>
        <v>29.274999999999999</v>
      </c>
      <c r="AN38" s="64">
        <f t="shared" ref="AN38:AN69" si="20">N38*AA38</f>
        <v>28.835000000000001</v>
      </c>
      <c r="AO38" s="64">
        <f t="shared" ref="AO38:AO69" si="21">O38*AB38</f>
        <v>26.57</v>
      </c>
      <c r="AP38" s="64">
        <f t="shared" ref="AP38:AP69" si="22">P38*AC38</f>
        <v>23.3</v>
      </c>
      <c r="AQ38" s="64">
        <f t="shared" ref="AQ38:AQ69" si="23">Q38*AD38</f>
        <v>22.75</v>
      </c>
      <c r="AR38" s="64">
        <f t="shared" ref="AR38:AR69" si="24">R38*AE38</f>
        <v>17.34</v>
      </c>
      <c r="AS38" s="64">
        <f t="shared" ref="AS38:AS69" si="25">S38*AF38</f>
        <v>25.15</v>
      </c>
      <c r="AT38" s="64">
        <f t="shared" ref="AT38:AT69" si="26">T38*AG38</f>
        <v>20.7</v>
      </c>
      <c r="AU38" s="64">
        <f t="shared" ref="AU38:AU69" si="27">U38*AH38</f>
        <v>19.283000000000001</v>
      </c>
    </row>
    <row r="39" spans="1:47">
      <c r="A39" t="s">
        <v>38</v>
      </c>
      <c r="B39" t="s">
        <v>39</v>
      </c>
      <c r="C39" s="56">
        <v>31</v>
      </c>
      <c r="D39" s="56">
        <v>12</v>
      </c>
      <c r="E39" s="56">
        <v>2016</v>
      </c>
      <c r="F39" s="61" t="s">
        <v>174</v>
      </c>
      <c r="G39" s="61" t="s">
        <v>174</v>
      </c>
      <c r="H39" s="62">
        <f t="shared" si="14"/>
        <v>1</v>
      </c>
      <c r="I39" s="65">
        <v>38.5</v>
      </c>
      <c r="J39" s="65">
        <v>38.5</v>
      </c>
      <c r="K39" s="63">
        <v>34.409999999999997</v>
      </c>
      <c r="L39" s="63">
        <v>33.590000000000003</v>
      </c>
      <c r="M39" s="63">
        <v>35.159999999999997</v>
      </c>
      <c r="N39" s="63">
        <v>33.71</v>
      </c>
      <c r="O39" s="63">
        <v>30.24</v>
      </c>
      <c r="P39" s="63">
        <v>29.38</v>
      </c>
      <c r="Q39" s="63">
        <v>28.03</v>
      </c>
      <c r="R39" s="63">
        <v>28.5</v>
      </c>
      <c r="S39" s="63">
        <v>41.56</v>
      </c>
      <c r="T39" s="63">
        <v>35.75</v>
      </c>
      <c r="U39" s="63">
        <v>24.49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  <c r="AF39" s="63">
        <v>1</v>
      </c>
      <c r="AG39" s="63">
        <v>1</v>
      </c>
      <c r="AH39" s="63">
        <v>1</v>
      </c>
      <c r="AI39" s="64">
        <f t="shared" si="15"/>
        <v>38.5</v>
      </c>
      <c r="AJ39" s="64">
        <f t="shared" si="16"/>
        <v>38.5</v>
      </c>
      <c r="AK39" s="64">
        <f t="shared" si="17"/>
        <v>34.409999999999997</v>
      </c>
      <c r="AL39" s="64">
        <f t="shared" si="18"/>
        <v>33.590000000000003</v>
      </c>
      <c r="AM39" s="64">
        <f t="shared" si="19"/>
        <v>35.159999999999997</v>
      </c>
      <c r="AN39" s="64">
        <f t="shared" si="20"/>
        <v>33.71</v>
      </c>
      <c r="AO39" s="64">
        <f t="shared" si="21"/>
        <v>30.24</v>
      </c>
      <c r="AP39" s="64">
        <f t="shared" si="22"/>
        <v>29.38</v>
      </c>
      <c r="AQ39" s="64">
        <f t="shared" si="23"/>
        <v>28.03</v>
      </c>
      <c r="AR39" s="64">
        <f t="shared" si="24"/>
        <v>28.5</v>
      </c>
      <c r="AS39" s="64">
        <f t="shared" si="25"/>
        <v>41.56</v>
      </c>
      <c r="AT39" s="64">
        <f t="shared" si="26"/>
        <v>35.75</v>
      </c>
      <c r="AU39" s="64">
        <f t="shared" si="27"/>
        <v>24.49</v>
      </c>
    </row>
    <row r="40" spans="1:47">
      <c r="A40" t="s">
        <v>318</v>
      </c>
      <c r="B40" t="s">
        <v>319</v>
      </c>
      <c r="C40" s="56">
        <v>31</v>
      </c>
      <c r="D40" s="56">
        <v>12</v>
      </c>
      <c r="E40" s="56">
        <v>2016</v>
      </c>
      <c r="F40" s="83" t="s">
        <v>174</v>
      </c>
      <c r="G40" s="83" t="s">
        <v>174</v>
      </c>
      <c r="H40" s="62">
        <f t="shared" si="14"/>
        <v>1</v>
      </c>
      <c r="I40" s="65">
        <v>759.47</v>
      </c>
      <c r="J40" s="65">
        <v>759.47</v>
      </c>
      <c r="K40" s="63">
        <v>778.01</v>
      </c>
      <c r="L40" s="63">
        <v>530.66</v>
      </c>
      <c r="M40" s="63">
        <v>560.35500000000002</v>
      </c>
      <c r="N40" s="63">
        <v>353.69</v>
      </c>
      <c r="O40" s="63">
        <v>322.95</v>
      </c>
      <c r="P40" s="63">
        <v>296.99</v>
      </c>
      <c r="Q40" s="63">
        <v>309.99</v>
      </c>
      <c r="R40" s="63">
        <v>153.82</v>
      </c>
      <c r="S40" s="63">
        <v>345.74</v>
      </c>
      <c r="T40" s="63">
        <v>230.24</v>
      </c>
      <c r="U40" s="63">
        <v>212.94499999999999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  <c r="AF40" s="63">
        <v>1</v>
      </c>
      <c r="AG40" s="63">
        <v>1</v>
      </c>
      <c r="AH40" s="63">
        <v>1</v>
      </c>
      <c r="AI40" s="64">
        <f t="shared" si="15"/>
        <v>759.47</v>
      </c>
      <c r="AJ40" s="64">
        <f t="shared" si="16"/>
        <v>759.47</v>
      </c>
      <c r="AK40" s="64">
        <f t="shared" si="17"/>
        <v>778.01</v>
      </c>
      <c r="AL40" s="64">
        <f t="shared" si="18"/>
        <v>530.66</v>
      </c>
      <c r="AM40" s="64">
        <f t="shared" si="19"/>
        <v>560.35500000000002</v>
      </c>
      <c r="AN40" s="64">
        <f t="shared" si="20"/>
        <v>353.69</v>
      </c>
      <c r="AO40" s="64">
        <f t="shared" si="21"/>
        <v>322.95</v>
      </c>
      <c r="AP40" s="64">
        <f t="shared" si="22"/>
        <v>296.99</v>
      </c>
      <c r="AQ40" s="64">
        <f t="shared" si="23"/>
        <v>309.99</v>
      </c>
      <c r="AR40" s="64">
        <f t="shared" si="24"/>
        <v>153.82</v>
      </c>
      <c r="AS40" s="64">
        <f t="shared" si="25"/>
        <v>345.74</v>
      </c>
      <c r="AT40" s="64">
        <f t="shared" si="26"/>
        <v>230.24</v>
      </c>
      <c r="AU40" s="64">
        <f t="shared" si="27"/>
        <v>212.94499999999999</v>
      </c>
    </row>
    <row r="41" spans="1:47">
      <c r="A41" t="s">
        <v>89</v>
      </c>
      <c r="B41" t="s">
        <v>138</v>
      </c>
      <c r="C41" s="56">
        <v>31</v>
      </c>
      <c r="D41" s="56">
        <v>12</v>
      </c>
      <c r="E41" s="56">
        <v>2016</v>
      </c>
      <c r="F41" s="61" t="s">
        <v>174</v>
      </c>
      <c r="G41" s="61" t="s">
        <v>174</v>
      </c>
      <c r="H41" s="62">
        <f t="shared" si="14"/>
        <v>1</v>
      </c>
      <c r="I41" s="65">
        <v>63.8</v>
      </c>
      <c r="J41" s="65">
        <v>63.8</v>
      </c>
      <c r="K41" s="63">
        <v>58.21</v>
      </c>
      <c r="L41" s="63">
        <v>49.27</v>
      </c>
      <c r="M41" s="63">
        <v>38.39</v>
      </c>
      <c r="N41" s="63">
        <v>31.44</v>
      </c>
      <c r="O41" s="63">
        <v>29.65</v>
      </c>
      <c r="P41" s="63">
        <v>24.62</v>
      </c>
      <c r="Q41" s="63">
        <v>19.63</v>
      </c>
      <c r="R41" s="67">
        <v>9.3239999999999998</v>
      </c>
      <c r="S41" s="67">
        <v>23.975999999999999</v>
      </c>
      <c r="T41" s="67">
        <v>22.499000000000002</v>
      </c>
      <c r="U41" s="67">
        <v>18.056000000000001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  <c r="AF41" s="63">
        <v>1</v>
      </c>
      <c r="AG41" s="63">
        <v>1</v>
      </c>
      <c r="AH41" s="63">
        <v>1</v>
      </c>
      <c r="AI41" s="64">
        <f t="shared" si="15"/>
        <v>63.8</v>
      </c>
      <c r="AJ41" s="64">
        <f t="shared" si="16"/>
        <v>63.8</v>
      </c>
      <c r="AK41" s="64">
        <f t="shared" si="17"/>
        <v>58.21</v>
      </c>
      <c r="AL41" s="64">
        <f t="shared" si="18"/>
        <v>49.27</v>
      </c>
      <c r="AM41" s="64">
        <f t="shared" si="19"/>
        <v>38.39</v>
      </c>
      <c r="AN41" s="64">
        <f t="shared" si="20"/>
        <v>31.44</v>
      </c>
      <c r="AO41" s="64">
        <f t="shared" si="21"/>
        <v>29.65</v>
      </c>
      <c r="AP41" s="64">
        <f t="shared" si="22"/>
        <v>24.62</v>
      </c>
      <c r="AQ41" s="64">
        <f t="shared" si="23"/>
        <v>19.63</v>
      </c>
      <c r="AR41" s="64">
        <f t="shared" si="24"/>
        <v>9.3239999999999998</v>
      </c>
      <c r="AS41" s="64">
        <f t="shared" si="25"/>
        <v>23.975999999999999</v>
      </c>
      <c r="AT41" s="64">
        <f t="shared" si="26"/>
        <v>22.499000000000002</v>
      </c>
      <c r="AU41" s="64">
        <f t="shared" si="27"/>
        <v>18.056000000000001</v>
      </c>
    </row>
    <row r="42" spans="1:47">
      <c r="A42" t="s">
        <v>91</v>
      </c>
      <c r="B42" t="s">
        <v>194</v>
      </c>
      <c r="C42" s="56">
        <v>31</v>
      </c>
      <c r="D42" s="56">
        <v>12</v>
      </c>
      <c r="E42" s="56">
        <v>2016</v>
      </c>
      <c r="F42" s="61" t="s">
        <v>174</v>
      </c>
      <c r="G42" s="61" t="s">
        <v>174</v>
      </c>
      <c r="H42" s="62">
        <f t="shared" si="14"/>
        <v>1</v>
      </c>
      <c r="I42" s="65">
        <v>331.6</v>
      </c>
      <c r="J42" s="65">
        <v>331.6</v>
      </c>
      <c r="K42" s="63">
        <v>340.52</v>
      </c>
      <c r="L42" s="63">
        <v>357.56</v>
      </c>
      <c r="M42" s="63">
        <v>316.47000000000003</v>
      </c>
      <c r="N42" s="63">
        <v>206.71</v>
      </c>
      <c r="O42" s="63">
        <v>178.24</v>
      </c>
      <c r="P42" s="63">
        <v>190.58</v>
      </c>
      <c r="Q42" s="63">
        <v>232.2</v>
      </c>
      <c r="R42" s="63">
        <v>134.15</v>
      </c>
      <c r="S42" s="63">
        <v>216.8</v>
      </c>
      <c r="T42" s="63">
        <v>152.35</v>
      </c>
      <c r="U42" s="63">
        <v>107.99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  <c r="AF42" s="63">
        <v>1</v>
      </c>
      <c r="AG42" s="63">
        <v>1</v>
      </c>
      <c r="AH42" s="63">
        <v>1</v>
      </c>
      <c r="AI42" s="64">
        <f t="shared" si="15"/>
        <v>331.6</v>
      </c>
      <c r="AJ42" s="64">
        <f t="shared" si="16"/>
        <v>331.6</v>
      </c>
      <c r="AK42" s="64">
        <f t="shared" si="17"/>
        <v>340.52</v>
      </c>
      <c r="AL42" s="64">
        <f t="shared" si="18"/>
        <v>357.56</v>
      </c>
      <c r="AM42" s="64">
        <f t="shared" si="19"/>
        <v>316.47000000000003</v>
      </c>
      <c r="AN42" s="64">
        <f t="shared" si="20"/>
        <v>206.71</v>
      </c>
      <c r="AO42" s="64">
        <f t="shared" si="21"/>
        <v>178.24</v>
      </c>
      <c r="AP42" s="64">
        <f t="shared" si="22"/>
        <v>190.58</v>
      </c>
      <c r="AQ42" s="64">
        <f t="shared" si="23"/>
        <v>232.2</v>
      </c>
      <c r="AR42" s="64">
        <f t="shared" si="24"/>
        <v>134.15</v>
      </c>
      <c r="AS42" s="64">
        <f t="shared" si="25"/>
        <v>216.8</v>
      </c>
      <c r="AT42" s="64">
        <f t="shared" si="26"/>
        <v>152.35</v>
      </c>
      <c r="AU42" s="64">
        <f t="shared" si="27"/>
        <v>107.99</v>
      </c>
    </row>
    <row r="43" spans="1:47">
      <c r="A43" t="s">
        <v>267</v>
      </c>
      <c r="B43" t="s">
        <v>273</v>
      </c>
      <c r="C43" s="56">
        <v>31</v>
      </c>
      <c r="D43" s="56">
        <v>12</v>
      </c>
      <c r="E43" s="56">
        <v>2016</v>
      </c>
      <c r="F43" s="61" t="s">
        <v>174</v>
      </c>
      <c r="G43" s="61" t="s">
        <v>174</v>
      </c>
      <c r="H43" s="62">
        <f t="shared" si="14"/>
        <v>1</v>
      </c>
      <c r="I43" s="65">
        <v>101.47</v>
      </c>
      <c r="J43" s="65">
        <v>101.47</v>
      </c>
      <c r="K43" s="63">
        <v>97.77</v>
      </c>
      <c r="L43" s="63">
        <v>96.31</v>
      </c>
      <c r="M43" s="63">
        <v>71.569999999999993</v>
      </c>
      <c r="N43" s="63">
        <v>48.35</v>
      </c>
      <c r="O43" s="63">
        <v>40.78</v>
      </c>
      <c r="P43" s="63">
        <v>34.770000000000003</v>
      </c>
      <c r="Q43" s="63">
        <v>32.21</v>
      </c>
      <c r="R43" s="63">
        <v>28.74</v>
      </c>
      <c r="S43" s="63">
        <v>39.75</v>
      </c>
      <c r="T43" s="63">
        <v>30.91</v>
      </c>
      <c r="U43" s="63">
        <v>26.37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  <c r="AF43" s="63">
        <v>1</v>
      </c>
      <c r="AG43" s="63">
        <v>1</v>
      </c>
      <c r="AH43" s="63">
        <v>1</v>
      </c>
      <c r="AI43" s="64">
        <f t="shared" si="15"/>
        <v>101.47</v>
      </c>
      <c r="AJ43" s="64">
        <f t="shared" si="16"/>
        <v>101.47</v>
      </c>
      <c r="AK43" s="64">
        <f t="shared" si="17"/>
        <v>97.77</v>
      </c>
      <c r="AL43" s="64">
        <f t="shared" si="18"/>
        <v>96.31</v>
      </c>
      <c r="AM43" s="64">
        <f t="shared" si="19"/>
        <v>71.569999999999993</v>
      </c>
      <c r="AN43" s="64">
        <f t="shared" si="20"/>
        <v>48.35</v>
      </c>
      <c r="AO43" s="64">
        <f t="shared" si="21"/>
        <v>40.78</v>
      </c>
      <c r="AP43" s="64">
        <f t="shared" si="22"/>
        <v>34.770000000000003</v>
      </c>
      <c r="AQ43" s="64">
        <f t="shared" si="23"/>
        <v>32.21</v>
      </c>
      <c r="AR43" s="64">
        <f t="shared" si="24"/>
        <v>28.74</v>
      </c>
      <c r="AS43" s="64">
        <f t="shared" si="25"/>
        <v>39.75</v>
      </c>
      <c r="AT43" s="64">
        <f t="shared" si="26"/>
        <v>30.91</v>
      </c>
      <c r="AU43" s="64">
        <f t="shared" si="27"/>
        <v>26.37</v>
      </c>
    </row>
    <row r="44" spans="1:47">
      <c r="A44" t="s">
        <v>279</v>
      </c>
      <c r="B44" s="55" t="s">
        <v>280</v>
      </c>
      <c r="C44" s="56">
        <v>31</v>
      </c>
      <c r="D44" s="56">
        <v>7</v>
      </c>
      <c r="E44" s="56">
        <v>2016</v>
      </c>
      <c r="F44" s="61" t="s">
        <v>174</v>
      </c>
      <c r="G44" s="61" t="s">
        <v>174</v>
      </c>
      <c r="H44" s="62">
        <f t="shared" si="14"/>
        <v>1</v>
      </c>
      <c r="I44" s="65">
        <v>27.69</v>
      </c>
      <c r="J44" s="65">
        <v>27.69</v>
      </c>
      <c r="K44" s="63">
        <v>28.42</v>
      </c>
      <c r="L44" s="63">
        <v>25.23</v>
      </c>
      <c r="M44" s="63">
        <v>25.59</v>
      </c>
      <c r="N44" s="63">
        <v>15.95</v>
      </c>
      <c r="O44" s="63">
        <v>15.97</v>
      </c>
      <c r="P44" s="63">
        <v>23.07</v>
      </c>
      <c r="Q44" s="63">
        <v>22.01</v>
      </c>
      <c r="R44" s="63">
        <v>21.99</v>
      </c>
      <c r="S44" s="63">
        <v>28.91</v>
      </c>
      <c r="T44" s="63">
        <v>17.88</v>
      </c>
      <c r="U44" s="63">
        <v>19.149999999999999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  <c r="AF44" s="63">
        <v>1</v>
      </c>
      <c r="AG44" s="63">
        <v>1</v>
      </c>
      <c r="AH44" s="63">
        <v>1</v>
      </c>
      <c r="AI44" s="64">
        <f t="shared" si="15"/>
        <v>27.69</v>
      </c>
      <c r="AJ44" s="64">
        <f t="shared" si="16"/>
        <v>27.69</v>
      </c>
      <c r="AK44" s="64">
        <f t="shared" si="17"/>
        <v>28.42</v>
      </c>
      <c r="AL44" s="64">
        <f t="shared" si="18"/>
        <v>25.23</v>
      </c>
      <c r="AM44" s="64">
        <f t="shared" si="19"/>
        <v>25.59</v>
      </c>
      <c r="AN44" s="64">
        <f t="shared" si="20"/>
        <v>15.95</v>
      </c>
      <c r="AO44" s="64">
        <f t="shared" si="21"/>
        <v>15.97</v>
      </c>
      <c r="AP44" s="64">
        <f t="shared" si="22"/>
        <v>23.07</v>
      </c>
      <c r="AQ44" s="64">
        <f t="shared" si="23"/>
        <v>22.01</v>
      </c>
      <c r="AR44" s="64">
        <f t="shared" si="24"/>
        <v>21.99</v>
      </c>
      <c r="AS44" s="64">
        <f t="shared" si="25"/>
        <v>28.91</v>
      </c>
      <c r="AT44" s="64">
        <f t="shared" si="26"/>
        <v>17.88</v>
      </c>
      <c r="AU44" s="64">
        <f t="shared" si="27"/>
        <v>19.149999999999999</v>
      </c>
    </row>
    <row r="45" spans="1:47">
      <c r="A45" t="s">
        <v>40</v>
      </c>
      <c r="B45" t="s">
        <v>41</v>
      </c>
      <c r="C45" s="56">
        <v>31</v>
      </c>
      <c r="D45" s="56">
        <v>12</v>
      </c>
      <c r="E45" s="56">
        <v>2016</v>
      </c>
      <c r="F45" s="61" t="s">
        <v>174</v>
      </c>
      <c r="G45" s="61" t="s">
        <v>174</v>
      </c>
      <c r="H45" s="62">
        <f t="shared" si="14"/>
        <v>1</v>
      </c>
      <c r="I45" s="65">
        <v>46.87</v>
      </c>
      <c r="J45" s="65">
        <v>46.87</v>
      </c>
      <c r="K45" s="63">
        <v>42.96</v>
      </c>
      <c r="L45" s="63">
        <v>42.22</v>
      </c>
      <c r="M45" s="63">
        <v>41.31</v>
      </c>
      <c r="N45" s="63">
        <v>36.25</v>
      </c>
      <c r="O45" s="63">
        <v>34.984999999999999</v>
      </c>
      <c r="P45" s="63">
        <v>32.884999999999998</v>
      </c>
      <c r="Q45" s="63">
        <v>28.5</v>
      </c>
      <c r="R45" s="63">
        <v>22.635000000000002</v>
      </c>
      <c r="S45" s="63">
        <v>30.684999999999999</v>
      </c>
      <c r="T45" s="63">
        <v>24.2</v>
      </c>
      <c r="U45" s="63">
        <v>20.155000000000001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  <c r="AF45" s="63">
        <v>1</v>
      </c>
      <c r="AG45" s="63">
        <v>1</v>
      </c>
      <c r="AH45" s="63">
        <v>1</v>
      </c>
      <c r="AI45" s="64">
        <f t="shared" si="15"/>
        <v>46.87</v>
      </c>
      <c r="AJ45" s="64">
        <f t="shared" si="16"/>
        <v>46.87</v>
      </c>
      <c r="AK45" s="64">
        <f t="shared" si="17"/>
        <v>42.96</v>
      </c>
      <c r="AL45" s="64">
        <f t="shared" si="18"/>
        <v>42.22</v>
      </c>
      <c r="AM45" s="64">
        <f t="shared" si="19"/>
        <v>41.31</v>
      </c>
      <c r="AN45" s="64">
        <f t="shared" si="20"/>
        <v>36.25</v>
      </c>
      <c r="AO45" s="64">
        <f t="shared" si="21"/>
        <v>34.984999999999999</v>
      </c>
      <c r="AP45" s="64">
        <f t="shared" si="22"/>
        <v>32.884999999999998</v>
      </c>
      <c r="AQ45" s="64">
        <f t="shared" si="23"/>
        <v>28.5</v>
      </c>
      <c r="AR45" s="64">
        <f t="shared" si="24"/>
        <v>22.635000000000002</v>
      </c>
      <c r="AS45" s="64">
        <f t="shared" si="25"/>
        <v>30.684999999999999</v>
      </c>
      <c r="AT45" s="64">
        <f t="shared" si="26"/>
        <v>24.2</v>
      </c>
      <c r="AU45" s="64">
        <f t="shared" si="27"/>
        <v>20.155000000000001</v>
      </c>
    </row>
    <row r="46" spans="1:47">
      <c r="A46" t="s">
        <v>42</v>
      </c>
      <c r="B46" t="s">
        <v>43</v>
      </c>
      <c r="C46" s="56">
        <v>31</v>
      </c>
      <c r="D46" s="56">
        <v>12</v>
      </c>
      <c r="E46" s="56">
        <v>2016</v>
      </c>
      <c r="F46" s="61" t="s">
        <v>174</v>
      </c>
      <c r="G46" s="61" t="s">
        <v>174</v>
      </c>
      <c r="H46" s="62">
        <f t="shared" si="14"/>
        <v>1</v>
      </c>
      <c r="I46" s="65">
        <v>71.069999999999993</v>
      </c>
      <c r="J46" s="65">
        <v>71.069999999999993</v>
      </c>
      <c r="K46" s="63">
        <v>66.62</v>
      </c>
      <c r="L46" s="63">
        <v>69.19</v>
      </c>
      <c r="M46" s="63">
        <v>65.209999999999994</v>
      </c>
      <c r="N46" s="63">
        <v>52.27</v>
      </c>
      <c r="O46" s="63">
        <v>46.195</v>
      </c>
      <c r="P46" s="63">
        <v>40.185000000000002</v>
      </c>
      <c r="Q46" s="63">
        <v>41.075000000000003</v>
      </c>
      <c r="R46" s="63">
        <v>34.270000000000003</v>
      </c>
      <c r="S46" s="63">
        <v>38.979999999999997</v>
      </c>
      <c r="T46" s="63">
        <v>32.659999999999997</v>
      </c>
      <c r="U46" s="63">
        <v>27.64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  <c r="AF46" s="63">
        <v>1</v>
      </c>
      <c r="AG46" s="63">
        <v>1</v>
      </c>
      <c r="AH46" s="63">
        <v>1</v>
      </c>
      <c r="AI46" s="64">
        <f t="shared" si="15"/>
        <v>71.069999999999993</v>
      </c>
      <c r="AJ46" s="64">
        <f t="shared" si="16"/>
        <v>71.069999999999993</v>
      </c>
      <c r="AK46" s="64">
        <f t="shared" si="17"/>
        <v>66.62</v>
      </c>
      <c r="AL46" s="64">
        <f t="shared" si="18"/>
        <v>69.19</v>
      </c>
      <c r="AM46" s="64">
        <f t="shared" si="19"/>
        <v>65.209999999999994</v>
      </c>
      <c r="AN46" s="64">
        <f t="shared" si="20"/>
        <v>52.27</v>
      </c>
      <c r="AO46" s="64">
        <f t="shared" si="21"/>
        <v>46.195</v>
      </c>
      <c r="AP46" s="64">
        <f t="shared" si="22"/>
        <v>40.185000000000002</v>
      </c>
      <c r="AQ46" s="64">
        <f t="shared" si="23"/>
        <v>41.075000000000003</v>
      </c>
      <c r="AR46" s="64">
        <f t="shared" si="24"/>
        <v>34.270000000000003</v>
      </c>
      <c r="AS46" s="64">
        <f t="shared" si="25"/>
        <v>38.979999999999997</v>
      </c>
      <c r="AT46" s="64">
        <f t="shared" si="26"/>
        <v>32.659999999999997</v>
      </c>
      <c r="AU46" s="64">
        <f t="shared" si="27"/>
        <v>27.64</v>
      </c>
    </row>
    <row r="47" spans="1:47">
      <c r="A47" t="s">
        <v>44</v>
      </c>
      <c r="B47" t="s">
        <v>45</v>
      </c>
      <c r="C47" s="56">
        <v>31</v>
      </c>
      <c r="D47" s="56">
        <v>12</v>
      </c>
      <c r="E47" s="56">
        <v>2016</v>
      </c>
      <c r="F47" s="61" t="s">
        <v>174</v>
      </c>
      <c r="G47" s="61" t="s">
        <v>174</v>
      </c>
      <c r="H47" s="62">
        <f t="shared" si="14"/>
        <v>1</v>
      </c>
      <c r="I47" s="65">
        <v>30.79</v>
      </c>
      <c r="J47" s="65">
        <v>30.79</v>
      </c>
      <c r="K47" s="63">
        <v>31.15</v>
      </c>
      <c r="L47" s="63">
        <v>25.27</v>
      </c>
      <c r="M47" s="63">
        <v>28.03</v>
      </c>
      <c r="N47" s="63">
        <v>20.99</v>
      </c>
      <c r="O47" s="63">
        <v>17.91</v>
      </c>
      <c r="P47" s="63">
        <v>18.29</v>
      </c>
      <c r="Q47" s="63">
        <v>15.13</v>
      </c>
      <c r="R47" s="63">
        <v>16.2</v>
      </c>
      <c r="S47" s="63">
        <v>37.07</v>
      </c>
      <c r="T47" s="63">
        <v>37.341999999999999</v>
      </c>
      <c r="U47" s="63">
        <v>35.049999999999997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  <c r="AF47" s="63">
        <v>1</v>
      </c>
      <c r="AG47" s="63">
        <v>1</v>
      </c>
      <c r="AH47" s="63">
        <v>1</v>
      </c>
      <c r="AI47" s="64">
        <f t="shared" si="15"/>
        <v>30.79</v>
      </c>
      <c r="AJ47" s="64">
        <f t="shared" si="16"/>
        <v>30.79</v>
      </c>
      <c r="AK47" s="64">
        <f t="shared" si="17"/>
        <v>31.15</v>
      </c>
      <c r="AL47" s="64">
        <f t="shared" si="18"/>
        <v>25.27</v>
      </c>
      <c r="AM47" s="64">
        <f t="shared" si="19"/>
        <v>28.03</v>
      </c>
      <c r="AN47" s="64">
        <f t="shared" si="20"/>
        <v>20.99</v>
      </c>
      <c r="AO47" s="64">
        <f t="shared" si="21"/>
        <v>17.91</v>
      </c>
      <c r="AP47" s="64">
        <f t="shared" si="22"/>
        <v>18.29</v>
      </c>
      <c r="AQ47" s="64">
        <f t="shared" si="23"/>
        <v>15.13</v>
      </c>
      <c r="AR47" s="64">
        <f t="shared" si="24"/>
        <v>16.2</v>
      </c>
      <c r="AS47" s="64">
        <f t="shared" si="25"/>
        <v>37.07</v>
      </c>
      <c r="AT47" s="64">
        <f t="shared" si="26"/>
        <v>37.341999999999999</v>
      </c>
      <c r="AU47" s="64">
        <f t="shared" si="27"/>
        <v>35.049999999999997</v>
      </c>
    </row>
    <row r="48" spans="1:47">
      <c r="A48" s="52" t="s">
        <v>92</v>
      </c>
      <c r="B48" t="s">
        <v>195</v>
      </c>
      <c r="C48" s="56">
        <v>31</v>
      </c>
      <c r="D48" s="56">
        <v>5</v>
      </c>
      <c r="E48" s="56">
        <v>2016</v>
      </c>
      <c r="F48" s="61" t="s">
        <v>174</v>
      </c>
      <c r="G48" s="61" t="s">
        <v>174</v>
      </c>
      <c r="H48" s="62">
        <f t="shared" si="14"/>
        <v>1</v>
      </c>
      <c r="I48" s="65">
        <v>63.3</v>
      </c>
      <c r="J48" s="65">
        <v>63.3</v>
      </c>
      <c r="K48" s="63">
        <v>56.15</v>
      </c>
      <c r="L48" s="63">
        <v>54.93</v>
      </c>
      <c r="M48" s="63">
        <v>47.08</v>
      </c>
      <c r="N48" s="63">
        <v>38.325000000000003</v>
      </c>
      <c r="O48" s="63">
        <v>39.770000000000003</v>
      </c>
      <c r="P48" s="63">
        <v>35.615000000000002</v>
      </c>
      <c r="Q48" s="63">
        <v>25.59</v>
      </c>
      <c r="R48" s="63">
        <v>31.6</v>
      </c>
      <c r="S48" s="63">
        <v>30.6</v>
      </c>
      <c r="T48" s="63">
        <v>25.945</v>
      </c>
      <c r="U48" s="63">
        <v>24.75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  <c r="AF48" s="63">
        <v>1</v>
      </c>
      <c r="AG48" s="63">
        <v>1</v>
      </c>
      <c r="AH48" s="63">
        <v>1</v>
      </c>
      <c r="AI48" s="64">
        <f t="shared" si="15"/>
        <v>63.3</v>
      </c>
      <c r="AJ48" s="64">
        <f t="shared" si="16"/>
        <v>63.3</v>
      </c>
      <c r="AK48" s="64">
        <f t="shared" si="17"/>
        <v>56.15</v>
      </c>
      <c r="AL48" s="64">
        <f t="shared" si="18"/>
        <v>54.93</v>
      </c>
      <c r="AM48" s="64">
        <f t="shared" si="19"/>
        <v>47.08</v>
      </c>
      <c r="AN48" s="64">
        <f t="shared" si="20"/>
        <v>38.325000000000003</v>
      </c>
      <c r="AO48" s="64">
        <f t="shared" si="21"/>
        <v>39.770000000000003</v>
      </c>
      <c r="AP48" s="64">
        <f t="shared" si="22"/>
        <v>35.615000000000002</v>
      </c>
      <c r="AQ48" s="64">
        <f t="shared" si="23"/>
        <v>25.59</v>
      </c>
      <c r="AR48" s="64">
        <f t="shared" si="24"/>
        <v>31.6</v>
      </c>
      <c r="AS48" s="64">
        <f t="shared" si="25"/>
        <v>30.6</v>
      </c>
      <c r="AT48" s="64">
        <f t="shared" si="26"/>
        <v>25.945</v>
      </c>
      <c r="AU48" s="64">
        <f t="shared" si="27"/>
        <v>24.75</v>
      </c>
    </row>
    <row r="49" spans="1:47">
      <c r="A49" t="s">
        <v>323</v>
      </c>
      <c r="B49" t="s">
        <v>325</v>
      </c>
      <c r="C49" s="56">
        <v>31</v>
      </c>
      <c r="D49" s="56">
        <v>12</v>
      </c>
      <c r="E49" s="56">
        <v>2016</v>
      </c>
      <c r="F49" s="61" t="s">
        <v>174</v>
      </c>
      <c r="G49" s="61" t="s">
        <v>174</v>
      </c>
      <c r="H49" s="62">
        <f t="shared" si="14"/>
        <v>1</v>
      </c>
      <c r="I49" s="65">
        <v>91.81</v>
      </c>
      <c r="J49" s="65">
        <v>91.81</v>
      </c>
      <c r="K49" s="63">
        <v>89.27</v>
      </c>
      <c r="L49" s="63">
        <v>103.93</v>
      </c>
      <c r="M49" s="63">
        <v>97.23</v>
      </c>
      <c r="N49" s="63">
        <v>72.22</v>
      </c>
      <c r="O49" s="63">
        <v>61.78</v>
      </c>
      <c r="P49" s="63">
        <v>47.15</v>
      </c>
      <c r="Q49" s="63">
        <v>35.79</v>
      </c>
      <c r="R49" s="63">
        <v>34.74</v>
      </c>
      <c r="S49" s="63">
        <v>39.4</v>
      </c>
      <c r="T49" s="63">
        <v>49.93</v>
      </c>
      <c r="U49" s="63">
        <v>56.13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  <c r="AF49" s="63">
        <v>1</v>
      </c>
      <c r="AG49" s="63">
        <v>1</v>
      </c>
      <c r="AH49" s="63">
        <v>1</v>
      </c>
      <c r="AI49" s="64">
        <f t="shared" si="15"/>
        <v>91.81</v>
      </c>
      <c r="AJ49" s="64">
        <f t="shared" si="16"/>
        <v>91.81</v>
      </c>
      <c r="AK49" s="64">
        <f t="shared" si="17"/>
        <v>89.27</v>
      </c>
      <c r="AL49" s="64">
        <f t="shared" si="18"/>
        <v>103.93</v>
      </c>
      <c r="AM49" s="64">
        <f t="shared" si="19"/>
        <v>97.23</v>
      </c>
      <c r="AN49" s="64">
        <f t="shared" si="20"/>
        <v>72.22</v>
      </c>
      <c r="AO49" s="64">
        <f t="shared" si="21"/>
        <v>61.78</v>
      </c>
      <c r="AP49" s="64">
        <f t="shared" si="22"/>
        <v>47.15</v>
      </c>
      <c r="AQ49" s="64">
        <f t="shared" si="23"/>
        <v>35.79</v>
      </c>
      <c r="AR49" s="64">
        <f t="shared" si="24"/>
        <v>34.74</v>
      </c>
      <c r="AS49" s="64">
        <f t="shared" si="25"/>
        <v>39.4</v>
      </c>
      <c r="AT49" s="64">
        <f t="shared" si="26"/>
        <v>49.93</v>
      </c>
      <c r="AU49" s="64">
        <f t="shared" si="27"/>
        <v>56.13</v>
      </c>
    </row>
    <row r="50" spans="1:47">
      <c r="A50" t="s">
        <v>46</v>
      </c>
      <c r="B50" t="s">
        <v>47</v>
      </c>
      <c r="C50" s="56">
        <v>31</v>
      </c>
      <c r="D50" s="56">
        <v>12</v>
      </c>
      <c r="E50" s="56">
        <v>2016</v>
      </c>
      <c r="F50" s="61" t="s">
        <v>174</v>
      </c>
      <c r="G50" s="61" t="s">
        <v>174</v>
      </c>
      <c r="H50" s="62">
        <f t="shared" si="14"/>
        <v>1</v>
      </c>
      <c r="I50" s="65">
        <v>149.35</v>
      </c>
      <c r="J50" s="65">
        <v>149.35</v>
      </c>
      <c r="K50" s="63">
        <v>137.62</v>
      </c>
      <c r="L50" s="63">
        <v>160.44</v>
      </c>
      <c r="M50" s="63">
        <v>187.57</v>
      </c>
      <c r="N50" s="63">
        <v>191.55</v>
      </c>
      <c r="O50" s="63">
        <v>183.88</v>
      </c>
      <c r="P50" s="63">
        <v>146.76</v>
      </c>
      <c r="Q50" s="63">
        <v>130.9</v>
      </c>
      <c r="R50" s="63">
        <v>84.16</v>
      </c>
      <c r="S50" s="63">
        <v>108.1</v>
      </c>
      <c r="T50" s="63">
        <v>97.33</v>
      </c>
      <c r="U50" s="63">
        <v>82.2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  <c r="AF50" s="63">
        <v>1</v>
      </c>
      <c r="AG50" s="63">
        <v>1</v>
      </c>
      <c r="AH50" s="63">
        <v>1</v>
      </c>
      <c r="AI50" s="64">
        <f t="shared" si="15"/>
        <v>149.35</v>
      </c>
      <c r="AJ50" s="64">
        <f t="shared" si="16"/>
        <v>149.35</v>
      </c>
      <c r="AK50" s="64">
        <f t="shared" si="17"/>
        <v>137.62</v>
      </c>
      <c r="AL50" s="64">
        <f t="shared" si="18"/>
        <v>160.44</v>
      </c>
      <c r="AM50" s="64">
        <f t="shared" si="19"/>
        <v>187.57</v>
      </c>
      <c r="AN50" s="64">
        <f t="shared" si="20"/>
        <v>191.55</v>
      </c>
      <c r="AO50" s="64">
        <f t="shared" si="21"/>
        <v>183.88</v>
      </c>
      <c r="AP50" s="64">
        <f t="shared" si="22"/>
        <v>146.76</v>
      </c>
      <c r="AQ50" s="64">
        <f t="shared" si="23"/>
        <v>130.9</v>
      </c>
      <c r="AR50" s="64">
        <f t="shared" si="24"/>
        <v>84.16</v>
      </c>
      <c r="AS50" s="64">
        <f t="shared" si="25"/>
        <v>108.1</v>
      </c>
      <c r="AT50" s="64">
        <f t="shared" si="26"/>
        <v>97.33</v>
      </c>
      <c r="AU50" s="64">
        <f t="shared" si="27"/>
        <v>82.2</v>
      </c>
    </row>
    <row r="51" spans="1:47">
      <c r="A51" t="s">
        <v>48</v>
      </c>
      <c r="B51" t="s">
        <v>49</v>
      </c>
      <c r="C51" s="56">
        <v>31</v>
      </c>
      <c r="D51" s="56">
        <v>12</v>
      </c>
      <c r="E51" s="56">
        <v>2016</v>
      </c>
      <c r="F51" s="61" t="s">
        <v>174</v>
      </c>
      <c r="G51" s="61" t="s">
        <v>174</v>
      </c>
      <c r="H51" s="62">
        <f t="shared" si="14"/>
        <v>1</v>
      </c>
      <c r="I51" s="65">
        <v>109.1</v>
      </c>
      <c r="J51" s="65">
        <v>109.1</v>
      </c>
      <c r="K51" s="63">
        <v>102.72</v>
      </c>
      <c r="L51" s="63">
        <v>104.57</v>
      </c>
      <c r="M51" s="63">
        <v>91.55</v>
      </c>
      <c r="N51" s="63">
        <v>70.099999999999994</v>
      </c>
      <c r="O51" s="63">
        <v>65.58</v>
      </c>
      <c r="P51" s="63">
        <v>61.85</v>
      </c>
      <c r="Q51" s="63">
        <v>64.41</v>
      </c>
      <c r="R51" s="63">
        <v>59.83</v>
      </c>
      <c r="S51" s="63">
        <v>66.7</v>
      </c>
      <c r="T51" s="63">
        <v>66.08</v>
      </c>
      <c r="U51" s="63">
        <v>60.1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  <c r="AF51" s="63">
        <v>1</v>
      </c>
      <c r="AG51" s="63">
        <v>1</v>
      </c>
      <c r="AH51" s="63">
        <v>1</v>
      </c>
      <c r="AI51" s="64">
        <f t="shared" si="15"/>
        <v>109.1</v>
      </c>
      <c r="AJ51" s="64">
        <f t="shared" si="16"/>
        <v>109.1</v>
      </c>
      <c r="AK51" s="64">
        <f t="shared" si="17"/>
        <v>102.72</v>
      </c>
      <c r="AL51" s="64">
        <f t="shared" si="18"/>
        <v>104.57</v>
      </c>
      <c r="AM51" s="64">
        <f t="shared" si="19"/>
        <v>91.55</v>
      </c>
      <c r="AN51" s="64">
        <f t="shared" si="20"/>
        <v>70.099999999999994</v>
      </c>
      <c r="AO51" s="64">
        <f t="shared" si="21"/>
        <v>65.58</v>
      </c>
      <c r="AP51" s="64">
        <f t="shared" si="22"/>
        <v>61.85</v>
      </c>
      <c r="AQ51" s="64">
        <f t="shared" si="23"/>
        <v>64.41</v>
      </c>
      <c r="AR51" s="64">
        <f t="shared" si="24"/>
        <v>59.83</v>
      </c>
      <c r="AS51" s="64">
        <f t="shared" si="25"/>
        <v>66.7</v>
      </c>
      <c r="AT51" s="64">
        <f t="shared" si="26"/>
        <v>66.08</v>
      </c>
      <c r="AU51" s="64">
        <f t="shared" si="27"/>
        <v>60.1</v>
      </c>
    </row>
    <row r="52" spans="1:47">
      <c r="A52" s="38" t="s">
        <v>254</v>
      </c>
      <c r="B52" s="38" t="s">
        <v>262</v>
      </c>
      <c r="C52" s="56">
        <v>31</v>
      </c>
      <c r="D52" s="56">
        <v>12</v>
      </c>
      <c r="E52" s="56">
        <v>2016</v>
      </c>
      <c r="F52" s="61" t="s">
        <v>174</v>
      </c>
      <c r="G52" s="61" t="s">
        <v>174</v>
      </c>
      <c r="H52" s="62">
        <f t="shared" si="14"/>
        <v>1</v>
      </c>
      <c r="I52" s="65">
        <v>77.25</v>
      </c>
      <c r="J52" s="65">
        <v>77.25</v>
      </c>
      <c r="K52" s="63">
        <v>72.27</v>
      </c>
      <c r="L52" s="63">
        <v>65.44</v>
      </c>
      <c r="M52" s="63">
        <v>61.07</v>
      </c>
      <c r="N52" s="63">
        <v>55.85</v>
      </c>
      <c r="O52" s="63">
        <v>50.57</v>
      </c>
      <c r="P52" s="63">
        <v>51.08</v>
      </c>
      <c r="Q52" s="63">
        <v>53.2</v>
      </c>
      <c r="R52" s="63">
        <v>43.85</v>
      </c>
      <c r="S52" s="63">
        <v>52.43</v>
      </c>
      <c r="T52" s="63">
        <v>50.14</v>
      </c>
      <c r="U52" s="63">
        <v>43.77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  <c r="AF52" s="63">
        <v>1</v>
      </c>
      <c r="AG52" s="63">
        <v>1</v>
      </c>
      <c r="AH52" s="63">
        <v>1</v>
      </c>
      <c r="AI52" s="64">
        <f t="shared" si="15"/>
        <v>77.25</v>
      </c>
      <c r="AJ52" s="64">
        <f t="shared" si="16"/>
        <v>77.25</v>
      </c>
      <c r="AK52" s="64">
        <f t="shared" si="17"/>
        <v>72.27</v>
      </c>
      <c r="AL52" s="64">
        <f t="shared" si="18"/>
        <v>65.44</v>
      </c>
      <c r="AM52" s="64">
        <f t="shared" si="19"/>
        <v>61.07</v>
      </c>
      <c r="AN52" s="64">
        <f t="shared" si="20"/>
        <v>55.85</v>
      </c>
      <c r="AO52" s="64">
        <f t="shared" si="21"/>
        <v>50.57</v>
      </c>
      <c r="AP52" s="64">
        <f t="shared" si="22"/>
        <v>51.08</v>
      </c>
      <c r="AQ52" s="64">
        <f t="shared" si="23"/>
        <v>53.2</v>
      </c>
      <c r="AR52" s="64">
        <f t="shared" si="24"/>
        <v>43.85</v>
      </c>
      <c r="AS52" s="64">
        <f t="shared" si="25"/>
        <v>52.43</v>
      </c>
      <c r="AT52" s="64">
        <f t="shared" si="26"/>
        <v>50.14</v>
      </c>
      <c r="AU52" s="64">
        <f t="shared" si="27"/>
        <v>43.77</v>
      </c>
    </row>
    <row r="53" spans="1:47">
      <c r="A53" t="s">
        <v>94</v>
      </c>
      <c r="B53" t="s">
        <v>165</v>
      </c>
      <c r="C53" s="56">
        <v>31</v>
      </c>
      <c r="D53" s="56">
        <v>12</v>
      </c>
      <c r="E53" s="56">
        <v>2016</v>
      </c>
      <c r="F53" s="61" t="s">
        <v>174</v>
      </c>
      <c r="G53" s="61" t="s">
        <v>174</v>
      </c>
      <c r="H53" s="62">
        <f t="shared" si="14"/>
        <v>1</v>
      </c>
      <c r="I53" s="65">
        <v>137.49</v>
      </c>
      <c r="J53" s="65">
        <v>137.49</v>
      </c>
      <c r="K53" s="63">
        <v>127.3</v>
      </c>
      <c r="L53" s="63">
        <v>115.54</v>
      </c>
      <c r="M53" s="63">
        <v>104.46</v>
      </c>
      <c r="N53" s="63">
        <v>84.43</v>
      </c>
      <c r="O53" s="63">
        <v>73.56</v>
      </c>
      <c r="P53" s="63">
        <v>63.04</v>
      </c>
      <c r="Q53" s="63">
        <v>63.71</v>
      </c>
      <c r="R53" s="63">
        <v>52.74</v>
      </c>
      <c r="S53" s="63">
        <v>69.34</v>
      </c>
      <c r="T53" s="63">
        <v>67.95</v>
      </c>
      <c r="U53" s="63">
        <v>60.65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  <c r="AF53" s="63">
        <v>1</v>
      </c>
      <c r="AG53" s="63">
        <v>1</v>
      </c>
      <c r="AH53" s="63">
        <v>1</v>
      </c>
      <c r="AI53" s="64">
        <f t="shared" si="15"/>
        <v>137.49</v>
      </c>
      <c r="AJ53" s="64">
        <f t="shared" si="16"/>
        <v>137.49</v>
      </c>
      <c r="AK53" s="64">
        <f t="shared" si="17"/>
        <v>127.3</v>
      </c>
      <c r="AL53" s="64">
        <f t="shared" si="18"/>
        <v>115.54</v>
      </c>
      <c r="AM53" s="64">
        <f t="shared" si="19"/>
        <v>104.46</v>
      </c>
      <c r="AN53" s="64">
        <f t="shared" si="20"/>
        <v>84.43</v>
      </c>
      <c r="AO53" s="64">
        <f t="shared" si="21"/>
        <v>73.56</v>
      </c>
      <c r="AP53" s="64">
        <f t="shared" si="22"/>
        <v>63.04</v>
      </c>
      <c r="AQ53" s="64">
        <f t="shared" si="23"/>
        <v>63.71</v>
      </c>
      <c r="AR53" s="64">
        <f t="shared" si="24"/>
        <v>52.74</v>
      </c>
      <c r="AS53" s="64">
        <f t="shared" si="25"/>
        <v>69.34</v>
      </c>
      <c r="AT53" s="64">
        <f t="shared" si="26"/>
        <v>67.95</v>
      </c>
      <c r="AU53" s="64">
        <f t="shared" si="27"/>
        <v>60.65</v>
      </c>
    </row>
    <row r="54" spans="1:47">
      <c r="A54" t="s">
        <v>314</v>
      </c>
      <c r="B54" t="s">
        <v>315</v>
      </c>
      <c r="C54" s="78">
        <v>31</v>
      </c>
      <c r="D54" s="78">
        <v>12</v>
      </c>
      <c r="E54" s="56">
        <v>2016</v>
      </c>
      <c r="F54" s="61" t="s">
        <v>174</v>
      </c>
      <c r="G54" s="61" t="s">
        <v>174</v>
      </c>
      <c r="H54" s="62">
        <f t="shared" si="14"/>
        <v>1</v>
      </c>
      <c r="I54" s="65">
        <v>78.47</v>
      </c>
      <c r="J54" s="65">
        <v>78.47</v>
      </c>
      <c r="K54" s="63">
        <v>72.760000000000005</v>
      </c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  <c r="AF54" s="63">
        <v>1</v>
      </c>
      <c r="AG54" s="63">
        <v>1</v>
      </c>
      <c r="AH54" s="63">
        <v>1</v>
      </c>
      <c r="AI54" s="64">
        <f t="shared" si="15"/>
        <v>78.47</v>
      </c>
      <c r="AJ54" s="64">
        <f t="shared" si="16"/>
        <v>78.47</v>
      </c>
      <c r="AK54" s="64">
        <f t="shared" si="17"/>
        <v>72.760000000000005</v>
      </c>
      <c r="AL54" s="64">
        <f t="shared" si="18"/>
        <v>0</v>
      </c>
      <c r="AM54" s="64">
        <f t="shared" si="19"/>
        <v>0</v>
      </c>
      <c r="AN54" s="64">
        <f t="shared" si="20"/>
        <v>0</v>
      </c>
      <c r="AO54" s="64">
        <f t="shared" si="21"/>
        <v>0</v>
      </c>
      <c r="AP54" s="64">
        <f t="shared" si="22"/>
        <v>0</v>
      </c>
      <c r="AQ54" s="64">
        <f t="shared" si="23"/>
        <v>0</v>
      </c>
      <c r="AR54" s="64">
        <f t="shared" si="24"/>
        <v>0</v>
      </c>
      <c r="AS54" s="64">
        <f t="shared" si="25"/>
        <v>0</v>
      </c>
      <c r="AT54" s="64">
        <f t="shared" si="26"/>
        <v>0</v>
      </c>
      <c r="AU54" s="64">
        <f t="shared" si="27"/>
        <v>0</v>
      </c>
    </row>
    <row r="55" spans="1:47">
      <c r="A55" s="55" t="s">
        <v>256</v>
      </c>
      <c r="B55" s="55" t="s">
        <v>263</v>
      </c>
      <c r="C55" s="56">
        <v>31</v>
      </c>
      <c r="D55" s="56">
        <v>12</v>
      </c>
      <c r="E55" s="56">
        <v>2016</v>
      </c>
      <c r="F55" s="61" t="s">
        <v>174</v>
      </c>
      <c r="G55" s="61" t="s">
        <v>174</v>
      </c>
      <c r="H55" s="62">
        <f t="shared" si="14"/>
        <v>1</v>
      </c>
      <c r="I55" s="65">
        <v>93.79</v>
      </c>
      <c r="J55" s="65">
        <v>93.79</v>
      </c>
      <c r="K55" s="63">
        <v>97.36</v>
      </c>
      <c r="L55" s="63">
        <v>86.16</v>
      </c>
      <c r="M55" s="63">
        <v>83.546000000000006</v>
      </c>
      <c r="N55" s="63">
        <v>49.128</v>
      </c>
      <c r="O55" s="63">
        <v>37.281999999999996</v>
      </c>
      <c r="P55" s="63">
        <v>22.411000000000001</v>
      </c>
      <c r="Q55" s="63">
        <v>25.597999999999999</v>
      </c>
      <c r="R55" s="63">
        <v>14.292999999999999</v>
      </c>
      <c r="S55" s="63">
        <v>21.52</v>
      </c>
      <c r="T55" s="63"/>
      <c r="U55" s="63"/>
      <c r="V55" s="63">
        <v>1</v>
      </c>
      <c r="W55" s="63">
        <v>1</v>
      </c>
      <c r="X55" s="63">
        <v>1</v>
      </c>
      <c r="Y55" s="63">
        <v>1</v>
      </c>
      <c r="Z55" s="63">
        <v>1</v>
      </c>
      <c r="AA55" s="63">
        <v>1</v>
      </c>
      <c r="AB55" s="63">
        <v>1</v>
      </c>
      <c r="AC55" s="63">
        <v>1</v>
      </c>
      <c r="AD55" s="63">
        <v>1</v>
      </c>
      <c r="AE55" s="63">
        <v>1</v>
      </c>
      <c r="AF55" s="63">
        <v>1</v>
      </c>
      <c r="AG55" s="63">
        <v>1</v>
      </c>
      <c r="AH55" s="63">
        <v>1</v>
      </c>
      <c r="AI55" s="64">
        <f t="shared" si="15"/>
        <v>93.79</v>
      </c>
      <c r="AJ55" s="64">
        <f t="shared" si="16"/>
        <v>93.79</v>
      </c>
      <c r="AK55" s="64">
        <f t="shared" si="17"/>
        <v>97.36</v>
      </c>
      <c r="AL55" s="64">
        <f t="shared" si="18"/>
        <v>86.16</v>
      </c>
      <c r="AM55" s="64">
        <f t="shared" si="19"/>
        <v>83.546000000000006</v>
      </c>
      <c r="AN55" s="64">
        <f t="shared" si="20"/>
        <v>49.128</v>
      </c>
      <c r="AO55" s="64">
        <f t="shared" si="21"/>
        <v>37.281999999999996</v>
      </c>
      <c r="AP55" s="64">
        <f t="shared" si="22"/>
        <v>22.411000000000001</v>
      </c>
      <c r="AQ55" s="64">
        <f t="shared" si="23"/>
        <v>25.597999999999999</v>
      </c>
      <c r="AR55" s="64">
        <f t="shared" si="24"/>
        <v>14.292999999999999</v>
      </c>
      <c r="AS55" s="64">
        <f t="shared" si="25"/>
        <v>21.52</v>
      </c>
      <c r="AT55" s="64">
        <f t="shared" si="26"/>
        <v>0</v>
      </c>
      <c r="AU55" s="64">
        <f t="shared" si="27"/>
        <v>0</v>
      </c>
    </row>
    <row r="56" spans="1:47">
      <c r="A56" t="s">
        <v>50</v>
      </c>
      <c r="B56" t="s">
        <v>51</v>
      </c>
      <c r="C56" s="56">
        <v>31</v>
      </c>
      <c r="D56" s="56">
        <v>12</v>
      </c>
      <c r="E56" s="56">
        <v>2016</v>
      </c>
      <c r="F56" s="61" t="s">
        <v>174</v>
      </c>
      <c r="G56" s="61" t="s">
        <v>174</v>
      </c>
      <c r="H56" s="62">
        <f t="shared" si="14"/>
        <v>1</v>
      </c>
      <c r="I56" s="65">
        <v>127.96</v>
      </c>
      <c r="J56" s="65">
        <v>127.96</v>
      </c>
      <c r="K56" s="63">
        <v>118.14</v>
      </c>
      <c r="L56" s="63">
        <v>93.7</v>
      </c>
      <c r="M56" s="63">
        <v>97.03</v>
      </c>
      <c r="N56" s="63">
        <v>88.21</v>
      </c>
      <c r="O56" s="63">
        <v>100.33</v>
      </c>
      <c r="P56" s="63">
        <v>76.760000000000005</v>
      </c>
      <c r="Q56" s="63">
        <v>62.44</v>
      </c>
      <c r="R56" s="63">
        <v>62.19</v>
      </c>
      <c r="S56" s="63">
        <v>58.91</v>
      </c>
      <c r="T56" s="63">
        <v>44.4</v>
      </c>
      <c r="U56" s="63">
        <v>33.72</v>
      </c>
      <c r="V56" s="63">
        <v>1</v>
      </c>
      <c r="W56" s="63">
        <v>1</v>
      </c>
      <c r="X56" s="63">
        <v>1</v>
      </c>
      <c r="Y56" s="63">
        <v>1</v>
      </c>
      <c r="Z56" s="63">
        <v>1</v>
      </c>
      <c r="AA56" s="63">
        <v>1</v>
      </c>
      <c r="AB56" s="63">
        <v>1</v>
      </c>
      <c r="AC56" s="63">
        <v>1</v>
      </c>
      <c r="AD56" s="63">
        <v>1</v>
      </c>
      <c r="AE56" s="63">
        <v>1</v>
      </c>
      <c r="AF56" s="63">
        <v>1</v>
      </c>
      <c r="AG56" s="63">
        <v>1</v>
      </c>
      <c r="AH56" s="63">
        <v>1</v>
      </c>
      <c r="AI56" s="64">
        <f t="shared" si="15"/>
        <v>127.96</v>
      </c>
      <c r="AJ56" s="64">
        <f t="shared" si="16"/>
        <v>127.96</v>
      </c>
      <c r="AK56" s="64">
        <f t="shared" si="17"/>
        <v>118.14</v>
      </c>
      <c r="AL56" s="64">
        <f t="shared" si="18"/>
        <v>93.7</v>
      </c>
      <c r="AM56" s="64">
        <f t="shared" si="19"/>
        <v>97.03</v>
      </c>
      <c r="AN56" s="64">
        <f t="shared" si="20"/>
        <v>88.21</v>
      </c>
      <c r="AO56" s="64">
        <f t="shared" si="21"/>
        <v>100.33</v>
      </c>
      <c r="AP56" s="64">
        <f t="shared" si="22"/>
        <v>76.760000000000005</v>
      </c>
      <c r="AQ56" s="64">
        <f t="shared" si="23"/>
        <v>62.44</v>
      </c>
      <c r="AR56" s="64">
        <f t="shared" si="24"/>
        <v>62.19</v>
      </c>
      <c r="AS56" s="64">
        <f t="shared" si="25"/>
        <v>58.91</v>
      </c>
      <c r="AT56" s="64">
        <f t="shared" si="26"/>
        <v>44.4</v>
      </c>
      <c r="AU56" s="64">
        <f t="shared" si="27"/>
        <v>33.72</v>
      </c>
    </row>
    <row r="57" spans="1:47">
      <c r="A57" t="s">
        <v>52</v>
      </c>
      <c r="B57" t="s">
        <v>53</v>
      </c>
      <c r="C57" s="56">
        <v>31</v>
      </c>
      <c r="D57" s="56">
        <v>12</v>
      </c>
      <c r="E57" s="56">
        <v>2016</v>
      </c>
      <c r="F57" s="61" t="s">
        <v>174</v>
      </c>
      <c r="G57" s="61" t="s">
        <v>174</v>
      </c>
      <c r="H57" s="62">
        <f t="shared" si="14"/>
        <v>1</v>
      </c>
      <c r="I57" s="65">
        <v>55.36</v>
      </c>
      <c r="J57" s="65">
        <v>55.36</v>
      </c>
      <c r="K57" s="63">
        <v>52.82</v>
      </c>
      <c r="L57" s="63">
        <v>56.79</v>
      </c>
      <c r="M57" s="63">
        <v>50.05</v>
      </c>
      <c r="N57" s="63">
        <v>40.94</v>
      </c>
      <c r="O57" s="63">
        <v>37.700000000000003</v>
      </c>
      <c r="P57" s="63">
        <v>36.04</v>
      </c>
      <c r="Q57" s="63">
        <v>36.54</v>
      </c>
      <c r="R57" s="63">
        <v>30.4</v>
      </c>
      <c r="S57" s="63">
        <v>58.11</v>
      </c>
      <c r="T57" s="63">
        <v>43.59</v>
      </c>
      <c r="U57" s="63">
        <v>31.81</v>
      </c>
      <c r="V57" s="63">
        <v>1</v>
      </c>
      <c r="W57" s="63">
        <v>1</v>
      </c>
      <c r="X57" s="63">
        <v>1</v>
      </c>
      <c r="Y57" s="63">
        <v>1</v>
      </c>
      <c r="Z57" s="63">
        <v>1</v>
      </c>
      <c r="AA57" s="63">
        <v>1</v>
      </c>
      <c r="AB57" s="63">
        <v>1</v>
      </c>
      <c r="AC57" s="63">
        <v>1</v>
      </c>
      <c r="AD57" s="63">
        <v>1</v>
      </c>
      <c r="AE57" s="63">
        <v>1</v>
      </c>
      <c r="AF57" s="63">
        <v>1</v>
      </c>
      <c r="AG57" s="63">
        <v>1</v>
      </c>
      <c r="AH57" s="63">
        <v>1</v>
      </c>
      <c r="AI57" s="64">
        <f t="shared" si="15"/>
        <v>55.36</v>
      </c>
      <c r="AJ57" s="64">
        <f t="shared" si="16"/>
        <v>55.36</v>
      </c>
      <c r="AK57" s="64">
        <f t="shared" si="17"/>
        <v>52.82</v>
      </c>
      <c r="AL57" s="64">
        <f t="shared" si="18"/>
        <v>56.79</v>
      </c>
      <c r="AM57" s="64">
        <f t="shared" si="19"/>
        <v>50.05</v>
      </c>
      <c r="AN57" s="64">
        <f t="shared" si="20"/>
        <v>40.94</v>
      </c>
      <c r="AO57" s="64">
        <f t="shared" si="21"/>
        <v>37.700000000000003</v>
      </c>
      <c r="AP57" s="64">
        <f t="shared" si="22"/>
        <v>36.04</v>
      </c>
      <c r="AQ57" s="64">
        <f t="shared" si="23"/>
        <v>36.54</v>
      </c>
      <c r="AR57" s="64">
        <f t="shared" si="24"/>
        <v>30.4</v>
      </c>
      <c r="AS57" s="64">
        <f t="shared" si="25"/>
        <v>58.11</v>
      </c>
      <c r="AT57" s="64">
        <f t="shared" si="26"/>
        <v>43.59</v>
      </c>
      <c r="AU57" s="64">
        <f t="shared" si="27"/>
        <v>31.81</v>
      </c>
    </row>
    <row r="58" spans="1:47">
      <c r="A58" s="52" t="s">
        <v>54</v>
      </c>
      <c r="B58" t="s">
        <v>55</v>
      </c>
      <c r="C58" s="56">
        <v>30</v>
      </c>
      <c r="D58" s="56">
        <v>6</v>
      </c>
      <c r="E58" s="56">
        <v>2016</v>
      </c>
      <c r="F58" s="61" t="s">
        <v>174</v>
      </c>
      <c r="G58" s="61" t="s">
        <v>174</v>
      </c>
      <c r="H58" s="62">
        <f t="shared" si="14"/>
        <v>1</v>
      </c>
      <c r="I58" s="65">
        <v>54.42</v>
      </c>
      <c r="J58" s="65">
        <v>54.42</v>
      </c>
      <c r="K58" s="63">
        <v>44.15</v>
      </c>
      <c r="L58" s="63">
        <v>41.7</v>
      </c>
      <c r="M58" s="63">
        <v>34.545000000000002</v>
      </c>
      <c r="N58" s="63">
        <v>30.59</v>
      </c>
      <c r="O58" s="63">
        <v>26</v>
      </c>
      <c r="P58" s="63">
        <v>23.01</v>
      </c>
      <c r="Q58" s="63">
        <v>23.77</v>
      </c>
      <c r="R58" s="63">
        <v>27.51</v>
      </c>
      <c r="S58" s="63">
        <v>29.47</v>
      </c>
      <c r="T58" s="63">
        <v>23.3</v>
      </c>
      <c r="U58" s="63">
        <v>24.84</v>
      </c>
      <c r="V58" s="63">
        <v>1</v>
      </c>
      <c r="W58" s="63">
        <v>1</v>
      </c>
      <c r="X58" s="63">
        <v>1</v>
      </c>
      <c r="Y58" s="63">
        <v>1</v>
      </c>
      <c r="Z58" s="63">
        <v>1</v>
      </c>
      <c r="AA58" s="63">
        <v>1</v>
      </c>
      <c r="AB58" s="63">
        <v>1</v>
      </c>
      <c r="AC58" s="63">
        <v>1</v>
      </c>
      <c r="AD58" s="63">
        <v>1</v>
      </c>
      <c r="AE58" s="63">
        <v>1</v>
      </c>
      <c r="AF58" s="63">
        <v>1</v>
      </c>
      <c r="AG58" s="63">
        <v>1</v>
      </c>
      <c r="AH58" s="63">
        <v>1</v>
      </c>
      <c r="AI58" s="64">
        <f t="shared" si="15"/>
        <v>54.42</v>
      </c>
      <c r="AJ58" s="64">
        <f t="shared" si="16"/>
        <v>54.42</v>
      </c>
      <c r="AK58" s="64">
        <f t="shared" si="17"/>
        <v>44.15</v>
      </c>
      <c r="AL58" s="64">
        <f t="shared" si="18"/>
        <v>41.7</v>
      </c>
      <c r="AM58" s="64">
        <f t="shared" si="19"/>
        <v>34.545000000000002</v>
      </c>
      <c r="AN58" s="64">
        <f t="shared" si="20"/>
        <v>30.59</v>
      </c>
      <c r="AO58" s="64">
        <f t="shared" si="21"/>
        <v>26</v>
      </c>
      <c r="AP58" s="64">
        <f t="shared" si="22"/>
        <v>23.01</v>
      </c>
      <c r="AQ58" s="64">
        <f t="shared" si="23"/>
        <v>23.77</v>
      </c>
      <c r="AR58" s="64">
        <f t="shared" si="24"/>
        <v>27.51</v>
      </c>
      <c r="AS58" s="64">
        <f t="shared" si="25"/>
        <v>29.47</v>
      </c>
      <c r="AT58" s="64">
        <f t="shared" si="26"/>
        <v>23.3</v>
      </c>
      <c r="AU58" s="64">
        <f t="shared" si="27"/>
        <v>24.84</v>
      </c>
    </row>
    <row r="59" spans="1:47">
      <c r="A59" t="s">
        <v>56</v>
      </c>
      <c r="B59" t="s">
        <v>57</v>
      </c>
      <c r="C59" s="56">
        <v>31</v>
      </c>
      <c r="D59" s="56">
        <v>12</v>
      </c>
      <c r="E59" s="56">
        <v>2016</v>
      </c>
      <c r="F59" s="61" t="s">
        <v>174</v>
      </c>
      <c r="G59" s="61" t="s">
        <v>174</v>
      </c>
      <c r="H59" s="62">
        <f t="shared" si="14"/>
        <v>1</v>
      </c>
      <c r="I59" s="65">
        <v>42.32</v>
      </c>
      <c r="J59" s="65">
        <v>42.32</v>
      </c>
      <c r="K59" s="63">
        <v>44.84</v>
      </c>
      <c r="L59" s="63">
        <v>36.325000000000003</v>
      </c>
      <c r="M59" s="63">
        <v>35.299999999999997</v>
      </c>
      <c r="N59" s="67">
        <v>12.9</v>
      </c>
      <c r="O59" s="67">
        <v>18.138999999999999</v>
      </c>
      <c r="P59" s="67">
        <v>4.9779999999999998</v>
      </c>
      <c r="Q59" s="67">
        <v>7.5809999999999995</v>
      </c>
      <c r="R59" s="67">
        <v>1.242</v>
      </c>
      <c r="S59" s="63"/>
      <c r="T59" s="63"/>
      <c r="U59" s="63"/>
      <c r="V59" s="63">
        <v>1</v>
      </c>
      <c r="W59" s="63">
        <v>1</v>
      </c>
      <c r="X59" s="63">
        <v>1</v>
      </c>
      <c r="Y59" s="63">
        <v>1</v>
      </c>
      <c r="Z59" s="63">
        <v>1</v>
      </c>
      <c r="AA59" s="63">
        <v>1</v>
      </c>
      <c r="AB59" s="63">
        <v>1</v>
      </c>
      <c r="AC59" s="63">
        <v>1</v>
      </c>
      <c r="AD59" s="63">
        <v>1</v>
      </c>
      <c r="AE59" s="63">
        <v>1</v>
      </c>
      <c r="AF59" s="63">
        <v>1</v>
      </c>
      <c r="AG59" s="63">
        <v>1</v>
      </c>
      <c r="AH59" s="63">
        <v>1</v>
      </c>
      <c r="AI59" s="64">
        <f t="shared" si="15"/>
        <v>42.32</v>
      </c>
      <c r="AJ59" s="64">
        <f t="shared" si="16"/>
        <v>42.32</v>
      </c>
      <c r="AK59" s="64">
        <f t="shared" si="17"/>
        <v>44.84</v>
      </c>
      <c r="AL59" s="64">
        <f t="shared" si="18"/>
        <v>36.325000000000003</v>
      </c>
      <c r="AM59" s="64">
        <f t="shared" si="19"/>
        <v>35.299999999999997</v>
      </c>
      <c r="AN59" s="64">
        <f t="shared" si="20"/>
        <v>12.9</v>
      </c>
      <c r="AO59" s="64">
        <f t="shared" si="21"/>
        <v>18.138999999999999</v>
      </c>
      <c r="AP59" s="64">
        <f t="shared" si="22"/>
        <v>4.9779999999999998</v>
      </c>
      <c r="AQ59" s="64">
        <f t="shared" si="23"/>
        <v>7.5809999999999995</v>
      </c>
      <c r="AR59" s="64">
        <f t="shared" si="24"/>
        <v>1.242</v>
      </c>
      <c r="AS59" s="64">
        <f t="shared" si="25"/>
        <v>0</v>
      </c>
      <c r="AT59" s="64">
        <f t="shared" si="26"/>
        <v>0</v>
      </c>
      <c r="AU59" s="64">
        <f t="shared" si="27"/>
        <v>0</v>
      </c>
    </row>
    <row r="60" spans="1:47">
      <c r="A60" s="52" t="s">
        <v>58</v>
      </c>
      <c r="B60" t="s">
        <v>59</v>
      </c>
      <c r="C60" s="56">
        <v>31</v>
      </c>
      <c r="D60" s="56">
        <v>8</v>
      </c>
      <c r="E60" s="56">
        <v>2016</v>
      </c>
      <c r="F60" s="61" t="s">
        <v>174</v>
      </c>
      <c r="G60" s="61" t="s">
        <v>174</v>
      </c>
      <c r="H60" s="62">
        <f t="shared" si="14"/>
        <v>1</v>
      </c>
      <c r="I60" s="65">
        <v>86.63</v>
      </c>
      <c r="J60" s="65">
        <v>86.63</v>
      </c>
      <c r="K60" s="63">
        <v>97.65</v>
      </c>
      <c r="L60" s="63">
        <v>115.65</v>
      </c>
      <c r="M60" s="63">
        <v>97.89</v>
      </c>
      <c r="N60" s="63">
        <v>87.11</v>
      </c>
      <c r="O60" s="63">
        <v>68.930000000000007</v>
      </c>
      <c r="P60" s="63">
        <v>52.65</v>
      </c>
      <c r="Q60" s="63">
        <v>83.88</v>
      </c>
      <c r="R60" s="63">
        <v>114.25</v>
      </c>
      <c r="S60" s="63">
        <v>69.739999999999995</v>
      </c>
      <c r="T60" s="63">
        <v>47.42</v>
      </c>
      <c r="U60" s="63">
        <v>31.85</v>
      </c>
      <c r="V60" s="63">
        <v>1</v>
      </c>
      <c r="W60" s="63">
        <v>1</v>
      </c>
      <c r="X60" s="63">
        <v>1</v>
      </c>
      <c r="Y60" s="63">
        <v>1</v>
      </c>
      <c r="Z60" s="63">
        <v>1</v>
      </c>
      <c r="AA60" s="63">
        <v>1</v>
      </c>
      <c r="AB60" s="63">
        <v>1</v>
      </c>
      <c r="AC60" s="63">
        <v>1</v>
      </c>
      <c r="AD60" s="63">
        <v>1</v>
      </c>
      <c r="AE60" s="63">
        <v>1</v>
      </c>
      <c r="AF60" s="63">
        <v>1</v>
      </c>
      <c r="AG60" s="63">
        <v>1</v>
      </c>
      <c r="AH60" s="63">
        <v>1</v>
      </c>
      <c r="AI60" s="64">
        <f t="shared" si="15"/>
        <v>86.63</v>
      </c>
      <c r="AJ60" s="64">
        <f t="shared" si="16"/>
        <v>86.63</v>
      </c>
      <c r="AK60" s="64">
        <f t="shared" si="17"/>
        <v>97.65</v>
      </c>
      <c r="AL60" s="64">
        <f t="shared" si="18"/>
        <v>115.65</v>
      </c>
      <c r="AM60" s="64">
        <f t="shared" si="19"/>
        <v>97.89</v>
      </c>
      <c r="AN60" s="64">
        <f t="shared" si="20"/>
        <v>87.11</v>
      </c>
      <c r="AO60" s="64">
        <f t="shared" si="21"/>
        <v>68.930000000000007</v>
      </c>
      <c r="AP60" s="64">
        <f t="shared" si="22"/>
        <v>52.65</v>
      </c>
      <c r="AQ60" s="64">
        <f t="shared" si="23"/>
        <v>83.88</v>
      </c>
      <c r="AR60" s="64">
        <f t="shared" si="24"/>
        <v>114.25</v>
      </c>
      <c r="AS60" s="64">
        <f t="shared" si="25"/>
        <v>69.739999999999995</v>
      </c>
      <c r="AT60" s="64">
        <f t="shared" si="26"/>
        <v>47.42</v>
      </c>
      <c r="AU60" s="64">
        <f t="shared" si="27"/>
        <v>31.85</v>
      </c>
    </row>
    <row r="61" spans="1:47">
      <c r="A61" s="55" t="s">
        <v>258</v>
      </c>
      <c r="B61" s="55" t="s">
        <v>264</v>
      </c>
      <c r="C61" s="56">
        <v>31</v>
      </c>
      <c r="D61" s="56">
        <v>12</v>
      </c>
      <c r="E61" s="56">
        <v>2016</v>
      </c>
      <c r="F61" s="61" t="s">
        <v>174</v>
      </c>
      <c r="G61" s="61" t="s">
        <v>174</v>
      </c>
      <c r="H61" s="62">
        <f t="shared" si="14"/>
        <v>1</v>
      </c>
      <c r="I61" s="65">
        <v>93.31</v>
      </c>
      <c r="J61" s="65">
        <v>93.31</v>
      </c>
      <c r="K61" s="63">
        <v>100.34</v>
      </c>
      <c r="L61" s="63">
        <v>95.81</v>
      </c>
      <c r="M61" s="63">
        <v>78.47</v>
      </c>
      <c r="N61" s="63">
        <v>50.32</v>
      </c>
      <c r="O61" s="63">
        <v>33.68</v>
      </c>
      <c r="P61" s="63">
        <v>26.54</v>
      </c>
      <c r="Q61" s="63">
        <v>26.8</v>
      </c>
      <c r="R61" s="63">
        <v>20.09</v>
      </c>
      <c r="S61" s="63">
        <v>35.700000000000003</v>
      </c>
      <c r="T61" s="63">
        <v>69.06</v>
      </c>
      <c r="U61" s="63">
        <v>61.86</v>
      </c>
      <c r="V61" s="63">
        <v>1</v>
      </c>
      <c r="W61" s="63">
        <v>1</v>
      </c>
      <c r="X61" s="63">
        <v>1</v>
      </c>
      <c r="Y61" s="63">
        <v>1</v>
      </c>
      <c r="Z61" s="63">
        <v>1</v>
      </c>
      <c r="AA61" s="63">
        <v>1</v>
      </c>
      <c r="AB61" s="63">
        <v>1</v>
      </c>
      <c r="AC61" s="63">
        <v>1</v>
      </c>
      <c r="AD61" s="63">
        <v>1</v>
      </c>
      <c r="AE61" s="63">
        <v>1</v>
      </c>
      <c r="AF61" s="63">
        <v>1</v>
      </c>
      <c r="AG61" s="63">
        <v>1</v>
      </c>
      <c r="AH61" s="63">
        <v>1</v>
      </c>
      <c r="AI61" s="64">
        <f t="shared" si="15"/>
        <v>93.31</v>
      </c>
      <c r="AJ61" s="64">
        <f t="shared" si="16"/>
        <v>93.31</v>
      </c>
      <c r="AK61" s="64">
        <f t="shared" si="17"/>
        <v>100.34</v>
      </c>
      <c r="AL61" s="64">
        <f t="shared" si="18"/>
        <v>95.81</v>
      </c>
      <c r="AM61" s="64">
        <f t="shared" si="19"/>
        <v>78.47</v>
      </c>
      <c r="AN61" s="64">
        <f t="shared" si="20"/>
        <v>50.32</v>
      </c>
      <c r="AO61" s="64">
        <f t="shared" si="21"/>
        <v>33.68</v>
      </c>
      <c r="AP61" s="64">
        <f t="shared" si="22"/>
        <v>26.54</v>
      </c>
      <c r="AQ61" s="64">
        <f t="shared" si="23"/>
        <v>26.8</v>
      </c>
      <c r="AR61" s="64">
        <f t="shared" si="24"/>
        <v>20.09</v>
      </c>
      <c r="AS61" s="64">
        <f t="shared" si="25"/>
        <v>35.700000000000003</v>
      </c>
      <c r="AT61" s="64">
        <f t="shared" si="26"/>
        <v>69.06</v>
      </c>
      <c r="AU61" s="64">
        <f t="shared" si="27"/>
        <v>61.86</v>
      </c>
    </row>
    <row r="62" spans="1:47">
      <c r="A62" s="52" t="s">
        <v>60</v>
      </c>
      <c r="B62" t="s">
        <v>61</v>
      </c>
      <c r="C62" s="56">
        <v>31</v>
      </c>
      <c r="D62" s="56">
        <v>5</v>
      </c>
      <c r="E62" s="56">
        <v>2016</v>
      </c>
      <c r="F62" s="61" t="s">
        <v>174</v>
      </c>
      <c r="G62" s="61" t="s">
        <v>174</v>
      </c>
      <c r="H62" s="62">
        <f t="shared" si="14"/>
        <v>1</v>
      </c>
      <c r="I62" s="65">
        <v>40.36</v>
      </c>
      <c r="J62" s="65">
        <v>40.36</v>
      </c>
      <c r="K62" s="63">
        <v>43.49</v>
      </c>
      <c r="L62" s="63">
        <v>42.02</v>
      </c>
      <c r="M62" s="63">
        <v>33.78</v>
      </c>
      <c r="N62" s="63">
        <v>26.47</v>
      </c>
      <c r="O62" s="63">
        <v>34.22</v>
      </c>
      <c r="P62" s="63">
        <v>22.57</v>
      </c>
      <c r="Q62" s="63">
        <v>19.59</v>
      </c>
      <c r="R62" s="63">
        <v>22.84</v>
      </c>
      <c r="S62" s="63">
        <v>19.38</v>
      </c>
      <c r="T62" s="63">
        <v>14.22</v>
      </c>
      <c r="U62" s="63">
        <v>12.8</v>
      </c>
      <c r="V62" s="63">
        <v>1</v>
      </c>
      <c r="W62" s="63">
        <v>1</v>
      </c>
      <c r="X62" s="63">
        <v>1</v>
      </c>
      <c r="Y62" s="63">
        <v>1</v>
      </c>
      <c r="Z62" s="63">
        <v>1</v>
      </c>
      <c r="AA62" s="63">
        <v>1</v>
      </c>
      <c r="AB62" s="63">
        <v>1</v>
      </c>
      <c r="AC62" s="63">
        <v>1</v>
      </c>
      <c r="AD62" s="63">
        <v>1</v>
      </c>
      <c r="AE62" s="63">
        <v>1</v>
      </c>
      <c r="AF62" s="63">
        <v>1</v>
      </c>
      <c r="AG62" s="63">
        <v>1</v>
      </c>
      <c r="AH62" s="63">
        <v>1</v>
      </c>
      <c r="AI62" s="64">
        <f t="shared" si="15"/>
        <v>40.36</v>
      </c>
      <c r="AJ62" s="64">
        <f t="shared" si="16"/>
        <v>40.36</v>
      </c>
      <c r="AK62" s="64">
        <f t="shared" si="17"/>
        <v>43.49</v>
      </c>
      <c r="AL62" s="64">
        <f t="shared" si="18"/>
        <v>42.02</v>
      </c>
      <c r="AM62" s="64">
        <f t="shared" si="19"/>
        <v>33.78</v>
      </c>
      <c r="AN62" s="64">
        <f t="shared" si="20"/>
        <v>26.47</v>
      </c>
      <c r="AO62" s="64">
        <f t="shared" si="21"/>
        <v>34.22</v>
      </c>
      <c r="AP62" s="64">
        <f t="shared" si="22"/>
        <v>22.57</v>
      </c>
      <c r="AQ62" s="64">
        <f t="shared" si="23"/>
        <v>19.59</v>
      </c>
      <c r="AR62" s="64">
        <f t="shared" si="24"/>
        <v>22.84</v>
      </c>
      <c r="AS62" s="64">
        <f t="shared" si="25"/>
        <v>19.38</v>
      </c>
      <c r="AT62" s="64">
        <f t="shared" si="26"/>
        <v>14.22</v>
      </c>
      <c r="AU62" s="64">
        <f t="shared" si="27"/>
        <v>12.8</v>
      </c>
    </row>
    <row r="63" spans="1:47">
      <c r="A63" t="s">
        <v>62</v>
      </c>
      <c r="B63" t="s">
        <v>63</v>
      </c>
      <c r="C63" s="56">
        <v>31</v>
      </c>
      <c r="D63" s="56">
        <v>12</v>
      </c>
      <c r="E63" s="56">
        <v>2016</v>
      </c>
      <c r="F63" s="61" t="s">
        <v>174</v>
      </c>
      <c r="G63" s="61" t="s">
        <v>174</v>
      </c>
      <c r="H63" s="62">
        <f t="shared" si="14"/>
        <v>1</v>
      </c>
      <c r="I63" s="65">
        <v>105.08</v>
      </c>
      <c r="J63" s="65">
        <v>105.08</v>
      </c>
      <c r="K63" s="63">
        <v>99.92</v>
      </c>
      <c r="L63" s="63">
        <v>94.56</v>
      </c>
      <c r="M63" s="63">
        <v>82.94</v>
      </c>
      <c r="N63" s="63">
        <v>68.430000000000007</v>
      </c>
      <c r="O63" s="63">
        <v>66.349999999999994</v>
      </c>
      <c r="P63" s="63">
        <v>65.33</v>
      </c>
      <c r="Q63" s="63">
        <v>60.8</v>
      </c>
      <c r="R63" s="63">
        <v>54.77</v>
      </c>
      <c r="S63" s="63">
        <v>75.900000000000006</v>
      </c>
      <c r="T63" s="63">
        <v>62.66</v>
      </c>
      <c r="U63" s="63">
        <v>59.34</v>
      </c>
      <c r="V63" s="63">
        <v>1</v>
      </c>
      <c r="W63" s="63">
        <v>1</v>
      </c>
      <c r="X63" s="63">
        <v>1</v>
      </c>
      <c r="Y63" s="63">
        <v>1</v>
      </c>
      <c r="Z63" s="63">
        <v>1</v>
      </c>
      <c r="AA63" s="63">
        <v>1</v>
      </c>
      <c r="AB63" s="63">
        <v>1</v>
      </c>
      <c r="AC63" s="63">
        <v>1</v>
      </c>
      <c r="AD63" s="63">
        <v>1</v>
      </c>
      <c r="AE63" s="63">
        <v>1</v>
      </c>
      <c r="AF63" s="63">
        <v>1</v>
      </c>
      <c r="AG63" s="63">
        <v>1</v>
      </c>
      <c r="AH63" s="63">
        <v>1</v>
      </c>
      <c r="AI63" s="64">
        <f t="shared" si="15"/>
        <v>105.08</v>
      </c>
      <c r="AJ63" s="64">
        <f t="shared" si="16"/>
        <v>105.08</v>
      </c>
      <c r="AK63" s="64">
        <f t="shared" si="17"/>
        <v>99.92</v>
      </c>
      <c r="AL63" s="64">
        <f t="shared" si="18"/>
        <v>94.56</v>
      </c>
      <c r="AM63" s="64">
        <f t="shared" si="19"/>
        <v>82.94</v>
      </c>
      <c r="AN63" s="64">
        <f t="shared" si="20"/>
        <v>68.430000000000007</v>
      </c>
      <c r="AO63" s="64">
        <f t="shared" si="21"/>
        <v>66.349999999999994</v>
      </c>
      <c r="AP63" s="64">
        <f t="shared" si="22"/>
        <v>65.33</v>
      </c>
      <c r="AQ63" s="64">
        <f t="shared" si="23"/>
        <v>60.8</v>
      </c>
      <c r="AR63" s="64">
        <f t="shared" si="24"/>
        <v>54.77</v>
      </c>
      <c r="AS63" s="64">
        <f t="shared" si="25"/>
        <v>75.900000000000006</v>
      </c>
      <c r="AT63" s="64">
        <f t="shared" si="26"/>
        <v>62.66</v>
      </c>
      <c r="AU63" s="64">
        <f t="shared" si="27"/>
        <v>59.34</v>
      </c>
    </row>
    <row r="64" spans="1:47">
      <c r="A64" t="s">
        <v>64</v>
      </c>
      <c r="B64" t="s">
        <v>65</v>
      </c>
      <c r="C64" s="56">
        <v>31</v>
      </c>
      <c r="D64" s="56">
        <v>12</v>
      </c>
      <c r="E64" s="56">
        <v>2016</v>
      </c>
      <c r="F64" s="61" t="s">
        <v>174</v>
      </c>
      <c r="G64" s="61" t="s">
        <v>174</v>
      </c>
      <c r="H64" s="62">
        <f t="shared" si="14"/>
        <v>1</v>
      </c>
      <c r="I64" s="65">
        <v>32.5</v>
      </c>
      <c r="J64" s="65">
        <v>32.5</v>
      </c>
      <c r="K64" s="63">
        <v>32.28</v>
      </c>
      <c r="L64" s="63">
        <v>31.15</v>
      </c>
      <c r="M64" s="63">
        <v>30.63</v>
      </c>
      <c r="N64" s="63">
        <v>25.0793</v>
      </c>
      <c r="O64" s="63">
        <v>21.64</v>
      </c>
      <c r="P64" s="63">
        <v>17.510000000000002</v>
      </c>
      <c r="Q64" s="63">
        <v>18.190000000000001</v>
      </c>
      <c r="R64" s="63">
        <v>17.71</v>
      </c>
      <c r="S64" s="63">
        <v>22.73</v>
      </c>
      <c r="T64" s="63">
        <v>25.97</v>
      </c>
      <c r="U64" s="63">
        <v>23.32</v>
      </c>
      <c r="V64" s="63">
        <v>1</v>
      </c>
      <c r="W64" s="63">
        <v>1</v>
      </c>
      <c r="X64" s="63">
        <v>1</v>
      </c>
      <c r="Y64" s="63">
        <v>1</v>
      </c>
      <c r="Z64" s="63">
        <v>1</v>
      </c>
      <c r="AA64" s="63">
        <v>1</v>
      </c>
      <c r="AB64" s="63">
        <v>1</v>
      </c>
      <c r="AC64" s="63">
        <v>1</v>
      </c>
      <c r="AD64" s="63">
        <v>1</v>
      </c>
      <c r="AE64" s="63">
        <v>1</v>
      </c>
      <c r="AF64" s="63">
        <v>1</v>
      </c>
      <c r="AG64" s="63">
        <v>1</v>
      </c>
      <c r="AH64" s="63">
        <v>1</v>
      </c>
      <c r="AI64" s="64">
        <f t="shared" si="15"/>
        <v>32.5</v>
      </c>
      <c r="AJ64" s="64">
        <f t="shared" si="16"/>
        <v>32.5</v>
      </c>
      <c r="AK64" s="64">
        <f t="shared" si="17"/>
        <v>32.28</v>
      </c>
      <c r="AL64" s="64">
        <f t="shared" si="18"/>
        <v>31.15</v>
      </c>
      <c r="AM64" s="64">
        <f t="shared" si="19"/>
        <v>30.63</v>
      </c>
      <c r="AN64" s="64">
        <f t="shared" si="20"/>
        <v>25.0793</v>
      </c>
      <c r="AO64" s="64">
        <f t="shared" si="21"/>
        <v>21.64</v>
      </c>
      <c r="AP64" s="64">
        <f t="shared" si="22"/>
        <v>17.510000000000002</v>
      </c>
      <c r="AQ64" s="64">
        <f t="shared" si="23"/>
        <v>18.190000000000001</v>
      </c>
      <c r="AR64" s="64">
        <f t="shared" si="24"/>
        <v>17.71</v>
      </c>
      <c r="AS64" s="64">
        <f t="shared" si="25"/>
        <v>22.73</v>
      </c>
      <c r="AT64" s="64">
        <f t="shared" si="26"/>
        <v>25.97</v>
      </c>
      <c r="AU64" s="64">
        <f t="shared" si="27"/>
        <v>23.32</v>
      </c>
    </row>
    <row r="65" spans="1:47">
      <c r="A65" t="s">
        <v>66</v>
      </c>
      <c r="B65" t="s">
        <v>67</v>
      </c>
      <c r="C65" s="56">
        <v>31</v>
      </c>
      <c r="D65" s="56">
        <v>12</v>
      </c>
      <c r="E65" s="56">
        <v>2016</v>
      </c>
      <c r="F65" s="61" t="s">
        <v>174</v>
      </c>
      <c r="G65" s="61" t="s">
        <v>174</v>
      </c>
      <c r="H65" s="62">
        <f t="shared" si="14"/>
        <v>1</v>
      </c>
      <c r="I65" s="65">
        <v>100.88</v>
      </c>
      <c r="J65" s="65">
        <v>100.88</v>
      </c>
      <c r="K65" s="63">
        <v>87.91</v>
      </c>
      <c r="L65" s="63">
        <v>81.45</v>
      </c>
      <c r="M65" s="63">
        <v>87.13</v>
      </c>
      <c r="N65" s="63">
        <v>83.64</v>
      </c>
      <c r="O65" s="63">
        <v>78.48</v>
      </c>
      <c r="P65" s="63">
        <v>58.53</v>
      </c>
      <c r="Q65" s="63">
        <v>48.19</v>
      </c>
      <c r="R65" s="63">
        <v>43.51</v>
      </c>
      <c r="S65" s="63"/>
      <c r="T65" s="63"/>
      <c r="U65" s="63"/>
      <c r="V65" s="63">
        <v>1</v>
      </c>
      <c r="W65" s="63">
        <v>1</v>
      </c>
      <c r="X65" s="63">
        <v>1</v>
      </c>
      <c r="Y65" s="63">
        <v>1</v>
      </c>
      <c r="Z65" s="63">
        <v>1</v>
      </c>
      <c r="AA65" s="63">
        <v>1</v>
      </c>
      <c r="AB65" s="63">
        <v>1</v>
      </c>
      <c r="AC65" s="63">
        <v>1</v>
      </c>
      <c r="AD65" s="63">
        <v>1</v>
      </c>
      <c r="AE65" s="63">
        <v>1</v>
      </c>
      <c r="AF65" s="63">
        <v>1</v>
      </c>
      <c r="AG65" s="63">
        <v>1</v>
      </c>
      <c r="AH65" s="63">
        <v>1</v>
      </c>
      <c r="AI65" s="64">
        <f t="shared" si="15"/>
        <v>100.88</v>
      </c>
      <c r="AJ65" s="64">
        <f t="shared" si="16"/>
        <v>100.88</v>
      </c>
      <c r="AK65" s="64">
        <f t="shared" si="17"/>
        <v>87.91</v>
      </c>
      <c r="AL65" s="64">
        <f t="shared" si="18"/>
        <v>81.45</v>
      </c>
      <c r="AM65" s="64">
        <f t="shared" si="19"/>
        <v>87.13</v>
      </c>
      <c r="AN65" s="64">
        <f t="shared" si="20"/>
        <v>83.64</v>
      </c>
      <c r="AO65" s="64">
        <f t="shared" si="21"/>
        <v>78.48</v>
      </c>
      <c r="AP65" s="64">
        <f t="shared" si="22"/>
        <v>58.53</v>
      </c>
      <c r="AQ65" s="64">
        <f t="shared" si="23"/>
        <v>48.19</v>
      </c>
      <c r="AR65" s="64">
        <f t="shared" si="24"/>
        <v>43.51</v>
      </c>
      <c r="AS65" s="64">
        <f t="shared" si="25"/>
        <v>0</v>
      </c>
      <c r="AT65" s="64">
        <f t="shared" si="26"/>
        <v>0</v>
      </c>
      <c r="AU65" s="64">
        <f t="shared" si="27"/>
        <v>0</v>
      </c>
    </row>
    <row r="66" spans="1:47">
      <c r="A66" s="52" t="s">
        <v>68</v>
      </c>
      <c r="B66" t="s">
        <v>69</v>
      </c>
      <c r="C66" s="56">
        <v>30</v>
      </c>
      <c r="D66" s="56">
        <v>6</v>
      </c>
      <c r="E66" s="56">
        <v>2016</v>
      </c>
      <c r="F66" s="61" t="s">
        <v>174</v>
      </c>
      <c r="G66" s="61" t="s">
        <v>174</v>
      </c>
      <c r="H66" s="62">
        <f t="shared" si="14"/>
        <v>1</v>
      </c>
      <c r="I66" s="65">
        <v>83.2</v>
      </c>
      <c r="J66" s="65">
        <v>83.2</v>
      </c>
      <c r="K66" s="63">
        <v>78.239999999999995</v>
      </c>
      <c r="L66" s="63">
        <v>78.59</v>
      </c>
      <c r="M66" s="63">
        <v>76.989999999999995</v>
      </c>
      <c r="N66" s="63">
        <v>61.25</v>
      </c>
      <c r="O66" s="63">
        <v>63.57</v>
      </c>
      <c r="P66" s="63">
        <v>59.98</v>
      </c>
      <c r="Q66" s="63">
        <v>51.1</v>
      </c>
      <c r="R66" s="63">
        <v>60.81</v>
      </c>
      <c r="S66" s="63">
        <v>61.19</v>
      </c>
      <c r="T66" s="63">
        <v>56.65</v>
      </c>
      <c r="U66" s="63">
        <v>52.75</v>
      </c>
      <c r="V66" s="63">
        <v>1</v>
      </c>
      <c r="W66" s="63">
        <v>1</v>
      </c>
      <c r="X66" s="63">
        <v>1</v>
      </c>
      <c r="Y66" s="63">
        <v>1</v>
      </c>
      <c r="Z66" s="63">
        <v>1</v>
      </c>
      <c r="AA66" s="63">
        <v>1</v>
      </c>
      <c r="AB66" s="63">
        <v>1</v>
      </c>
      <c r="AC66" s="63">
        <v>1</v>
      </c>
      <c r="AD66" s="63">
        <v>1</v>
      </c>
      <c r="AE66" s="63">
        <v>1</v>
      </c>
      <c r="AF66" s="63">
        <v>1</v>
      </c>
      <c r="AG66" s="63">
        <v>1</v>
      </c>
      <c r="AH66" s="63">
        <v>1</v>
      </c>
      <c r="AI66" s="64">
        <f t="shared" si="15"/>
        <v>83.2</v>
      </c>
      <c r="AJ66" s="64">
        <f t="shared" si="16"/>
        <v>83.2</v>
      </c>
      <c r="AK66" s="64">
        <f t="shared" si="17"/>
        <v>78.239999999999995</v>
      </c>
      <c r="AL66" s="64">
        <f t="shared" si="18"/>
        <v>78.59</v>
      </c>
      <c r="AM66" s="64">
        <f t="shared" si="19"/>
        <v>76.989999999999995</v>
      </c>
      <c r="AN66" s="64">
        <f t="shared" si="20"/>
        <v>61.25</v>
      </c>
      <c r="AO66" s="64">
        <f t="shared" si="21"/>
        <v>63.57</v>
      </c>
      <c r="AP66" s="64">
        <f t="shared" si="22"/>
        <v>59.98</v>
      </c>
      <c r="AQ66" s="64">
        <f t="shared" si="23"/>
        <v>51.1</v>
      </c>
      <c r="AR66" s="64">
        <f t="shared" si="24"/>
        <v>60.81</v>
      </c>
      <c r="AS66" s="64">
        <f t="shared" si="25"/>
        <v>61.19</v>
      </c>
      <c r="AT66" s="64">
        <f t="shared" si="26"/>
        <v>56.65</v>
      </c>
      <c r="AU66" s="64">
        <f t="shared" si="27"/>
        <v>52.75</v>
      </c>
    </row>
    <row r="67" spans="1:47">
      <c r="A67" t="s">
        <v>269</v>
      </c>
      <c r="B67" t="s">
        <v>275</v>
      </c>
      <c r="C67" s="56">
        <v>31</v>
      </c>
      <c r="D67" s="56">
        <v>12</v>
      </c>
      <c r="E67" s="56">
        <v>2016</v>
      </c>
      <c r="F67" s="61" t="s">
        <v>174</v>
      </c>
      <c r="G67" s="61" t="s">
        <v>174</v>
      </c>
      <c r="H67" s="62">
        <f t="shared" si="14"/>
        <v>1</v>
      </c>
      <c r="I67" s="65">
        <v>125.68</v>
      </c>
      <c r="J67" s="65">
        <v>125.68</v>
      </c>
      <c r="K67" s="63">
        <v>117.64</v>
      </c>
      <c r="L67" s="63">
        <v>101.09</v>
      </c>
      <c r="M67" s="63">
        <v>75.3</v>
      </c>
      <c r="N67" s="63">
        <v>54.24</v>
      </c>
      <c r="O67" s="63">
        <v>50.68</v>
      </c>
      <c r="P67" s="63">
        <v>36.11</v>
      </c>
      <c r="Q67" s="63">
        <v>30.48</v>
      </c>
      <c r="R67" s="63">
        <v>26.6</v>
      </c>
      <c r="S67" s="63">
        <v>58.2</v>
      </c>
      <c r="T67" s="63">
        <v>53.8</v>
      </c>
      <c r="U67" s="63">
        <v>62.12</v>
      </c>
      <c r="V67" s="63">
        <v>1</v>
      </c>
      <c r="W67" s="63">
        <v>1</v>
      </c>
      <c r="X67" s="63">
        <v>1</v>
      </c>
      <c r="Y67" s="63">
        <v>1</v>
      </c>
      <c r="Z67" s="63">
        <v>1</v>
      </c>
      <c r="AA67" s="63">
        <v>1</v>
      </c>
      <c r="AB67" s="63">
        <v>1</v>
      </c>
      <c r="AC67" s="63">
        <v>1</v>
      </c>
      <c r="AD67" s="63">
        <v>1</v>
      </c>
      <c r="AE67" s="63">
        <v>1</v>
      </c>
      <c r="AF67" s="63">
        <v>1</v>
      </c>
      <c r="AG67" s="63">
        <v>1</v>
      </c>
      <c r="AH67" s="63">
        <v>1</v>
      </c>
      <c r="AI67" s="64">
        <f t="shared" si="15"/>
        <v>125.68</v>
      </c>
      <c r="AJ67" s="64">
        <f t="shared" si="16"/>
        <v>125.68</v>
      </c>
      <c r="AK67" s="64">
        <f t="shared" si="17"/>
        <v>117.64</v>
      </c>
      <c r="AL67" s="64">
        <f t="shared" si="18"/>
        <v>101.09</v>
      </c>
      <c r="AM67" s="64">
        <f t="shared" si="19"/>
        <v>75.3</v>
      </c>
      <c r="AN67" s="64">
        <f t="shared" si="20"/>
        <v>54.24</v>
      </c>
      <c r="AO67" s="64">
        <f t="shared" si="21"/>
        <v>50.68</v>
      </c>
      <c r="AP67" s="64">
        <f t="shared" si="22"/>
        <v>36.11</v>
      </c>
      <c r="AQ67" s="64">
        <f t="shared" si="23"/>
        <v>30.48</v>
      </c>
      <c r="AR67" s="64">
        <f t="shared" si="24"/>
        <v>26.6</v>
      </c>
      <c r="AS67" s="64">
        <f t="shared" si="25"/>
        <v>58.2</v>
      </c>
      <c r="AT67" s="64">
        <f t="shared" si="26"/>
        <v>53.8</v>
      </c>
      <c r="AU67" s="64">
        <f t="shared" si="27"/>
        <v>62.12</v>
      </c>
    </row>
    <row r="68" spans="1:47">
      <c r="A68" t="s">
        <v>70</v>
      </c>
      <c r="B68" t="s">
        <v>71</v>
      </c>
      <c r="C68" s="56">
        <v>31</v>
      </c>
      <c r="D68" s="56">
        <v>12</v>
      </c>
      <c r="E68" s="56">
        <v>2016</v>
      </c>
      <c r="F68" s="61" t="s">
        <v>174</v>
      </c>
      <c r="G68" s="61" t="s">
        <v>174</v>
      </c>
      <c r="H68" s="62">
        <f t="shared" si="14"/>
        <v>1</v>
      </c>
      <c r="I68" s="65">
        <v>52.18</v>
      </c>
      <c r="J68" s="65">
        <v>52.18</v>
      </c>
      <c r="K68" s="63">
        <v>46.22</v>
      </c>
      <c r="L68" s="63">
        <v>46.78</v>
      </c>
      <c r="M68" s="63">
        <v>49.14</v>
      </c>
      <c r="N68" s="63">
        <v>43.27</v>
      </c>
      <c r="O68" s="63">
        <v>40.119999999999997</v>
      </c>
      <c r="P68" s="63">
        <v>35.78</v>
      </c>
      <c r="Q68" s="63">
        <v>33.130000000000003</v>
      </c>
      <c r="R68" s="63">
        <v>33.9</v>
      </c>
      <c r="S68" s="63">
        <v>43.69</v>
      </c>
      <c r="T68" s="63">
        <v>37.299999999999997</v>
      </c>
      <c r="U68" s="63">
        <v>30.12</v>
      </c>
      <c r="V68" s="63">
        <v>1</v>
      </c>
      <c r="W68" s="63">
        <v>1</v>
      </c>
      <c r="X68" s="63">
        <v>1</v>
      </c>
      <c r="Y68" s="63">
        <v>1</v>
      </c>
      <c r="Z68" s="63">
        <v>1</v>
      </c>
      <c r="AA68" s="63">
        <v>1</v>
      </c>
      <c r="AB68" s="63">
        <v>1</v>
      </c>
      <c r="AC68" s="63">
        <v>1</v>
      </c>
      <c r="AD68" s="63">
        <v>1</v>
      </c>
      <c r="AE68" s="63">
        <v>1</v>
      </c>
      <c r="AF68" s="63">
        <v>1</v>
      </c>
      <c r="AG68" s="63">
        <v>1</v>
      </c>
      <c r="AH68" s="63">
        <v>1</v>
      </c>
      <c r="AI68" s="64">
        <f t="shared" si="15"/>
        <v>52.18</v>
      </c>
      <c r="AJ68" s="64">
        <f t="shared" si="16"/>
        <v>52.18</v>
      </c>
      <c r="AK68" s="64">
        <f t="shared" si="17"/>
        <v>46.22</v>
      </c>
      <c r="AL68" s="64">
        <f t="shared" si="18"/>
        <v>46.78</v>
      </c>
      <c r="AM68" s="64">
        <f t="shared" si="19"/>
        <v>49.14</v>
      </c>
      <c r="AN68" s="64">
        <f t="shared" si="20"/>
        <v>43.27</v>
      </c>
      <c r="AO68" s="64">
        <f t="shared" si="21"/>
        <v>40.119999999999997</v>
      </c>
      <c r="AP68" s="64">
        <f t="shared" si="22"/>
        <v>35.78</v>
      </c>
      <c r="AQ68" s="64">
        <f t="shared" si="23"/>
        <v>33.130000000000003</v>
      </c>
      <c r="AR68" s="64">
        <f t="shared" si="24"/>
        <v>33.9</v>
      </c>
      <c r="AS68" s="64">
        <f t="shared" si="25"/>
        <v>43.69</v>
      </c>
      <c r="AT68" s="64">
        <f t="shared" si="26"/>
        <v>37.299999999999997</v>
      </c>
      <c r="AU68" s="64">
        <f t="shared" si="27"/>
        <v>30.12</v>
      </c>
    </row>
    <row r="69" spans="1:47">
      <c r="A69" s="55" t="s">
        <v>260</v>
      </c>
      <c r="B69" s="55" t="s">
        <v>265</v>
      </c>
      <c r="C69" s="56">
        <v>30</v>
      </c>
      <c r="D69" s="56">
        <v>9</v>
      </c>
      <c r="E69" s="56">
        <v>2016</v>
      </c>
      <c r="F69" s="61" t="s">
        <v>174</v>
      </c>
      <c r="G69" s="61" t="s">
        <v>174</v>
      </c>
      <c r="H69" s="62">
        <f t="shared" si="14"/>
        <v>1</v>
      </c>
      <c r="I69" s="65">
        <v>78.03</v>
      </c>
      <c r="J69" s="65">
        <v>78.03</v>
      </c>
      <c r="K69" s="63">
        <v>69.66</v>
      </c>
      <c r="L69" s="63">
        <v>53.342500000000001</v>
      </c>
      <c r="M69" s="63">
        <v>47.774999999999999</v>
      </c>
      <c r="N69" s="63">
        <v>33.57</v>
      </c>
      <c r="O69" s="63">
        <v>21.43</v>
      </c>
      <c r="P69" s="63">
        <v>18.565000000000001</v>
      </c>
      <c r="Q69" s="63">
        <v>17.2775</v>
      </c>
      <c r="R69" s="63">
        <v>15.3475</v>
      </c>
      <c r="S69" s="63"/>
      <c r="T69" s="63"/>
      <c r="U69" s="63"/>
      <c r="V69" s="63">
        <v>1</v>
      </c>
      <c r="W69" s="63">
        <v>1</v>
      </c>
      <c r="X69" s="63">
        <v>1</v>
      </c>
      <c r="Y69" s="63">
        <v>1</v>
      </c>
      <c r="Z69" s="63">
        <v>1</v>
      </c>
      <c r="AA69" s="63">
        <v>1</v>
      </c>
      <c r="AB69" s="63">
        <v>1</v>
      </c>
      <c r="AC69" s="63">
        <v>1</v>
      </c>
      <c r="AD69" s="63">
        <v>1</v>
      </c>
      <c r="AE69" s="63">
        <v>1</v>
      </c>
      <c r="AF69" s="63">
        <v>1</v>
      </c>
      <c r="AG69" s="63">
        <v>1</v>
      </c>
      <c r="AH69" s="63">
        <v>1</v>
      </c>
      <c r="AI69" s="64">
        <f t="shared" si="15"/>
        <v>78.03</v>
      </c>
      <c r="AJ69" s="64">
        <f t="shared" si="16"/>
        <v>78.03</v>
      </c>
      <c r="AK69" s="64">
        <f t="shared" si="17"/>
        <v>69.66</v>
      </c>
      <c r="AL69" s="64">
        <f t="shared" si="18"/>
        <v>53.342500000000001</v>
      </c>
      <c r="AM69" s="64">
        <f t="shared" si="19"/>
        <v>47.774999999999999</v>
      </c>
      <c r="AN69" s="64">
        <f t="shared" si="20"/>
        <v>33.57</v>
      </c>
      <c r="AO69" s="64">
        <f t="shared" si="21"/>
        <v>21.43</v>
      </c>
      <c r="AP69" s="64">
        <f t="shared" si="22"/>
        <v>18.565000000000001</v>
      </c>
      <c r="AQ69" s="64">
        <f t="shared" si="23"/>
        <v>17.2775</v>
      </c>
      <c r="AR69" s="64">
        <f t="shared" si="24"/>
        <v>15.3475</v>
      </c>
      <c r="AS69" s="64">
        <f t="shared" si="25"/>
        <v>0</v>
      </c>
      <c r="AT69" s="64">
        <f t="shared" si="26"/>
        <v>0</v>
      </c>
      <c r="AU69" s="64">
        <f t="shared" si="27"/>
        <v>0</v>
      </c>
    </row>
    <row r="70" spans="1:47">
      <c r="A70" s="52" t="s">
        <v>72</v>
      </c>
      <c r="B70" t="s">
        <v>73</v>
      </c>
      <c r="C70" s="56">
        <v>31</v>
      </c>
      <c r="D70" s="56">
        <v>1</v>
      </c>
      <c r="E70" s="56">
        <v>2016</v>
      </c>
      <c r="F70" s="61" t="s">
        <v>174</v>
      </c>
      <c r="G70" s="61" t="s">
        <v>174</v>
      </c>
      <c r="H70" s="62">
        <f t="shared" ref="H70:H101" si="28">IF(F70=G70,1,0)</f>
        <v>1</v>
      </c>
      <c r="I70" s="65">
        <v>68.06</v>
      </c>
      <c r="J70" s="63">
        <v>66.36</v>
      </c>
      <c r="K70" s="63">
        <v>84.98</v>
      </c>
      <c r="L70" s="63">
        <v>74.680000000000007</v>
      </c>
      <c r="M70" s="63">
        <v>69.95</v>
      </c>
      <c r="N70" s="63">
        <v>61.36</v>
      </c>
      <c r="O70" s="63">
        <v>56.07</v>
      </c>
      <c r="P70" s="63">
        <v>53.43</v>
      </c>
      <c r="Q70" s="63">
        <v>47.12</v>
      </c>
      <c r="R70" s="63">
        <v>50.77</v>
      </c>
      <c r="S70" s="63">
        <v>47.67</v>
      </c>
      <c r="T70" s="63">
        <v>46.11</v>
      </c>
      <c r="U70" s="63">
        <v>52.4</v>
      </c>
      <c r="V70" s="63">
        <v>1</v>
      </c>
      <c r="W70" s="63">
        <v>1</v>
      </c>
      <c r="X70" s="63">
        <v>1</v>
      </c>
      <c r="Y70" s="63">
        <v>1</v>
      </c>
      <c r="Z70" s="63">
        <v>1</v>
      </c>
      <c r="AA70" s="63">
        <v>1</v>
      </c>
      <c r="AB70" s="63">
        <v>1</v>
      </c>
      <c r="AC70" s="63">
        <v>1</v>
      </c>
      <c r="AD70" s="63">
        <v>1</v>
      </c>
      <c r="AE70" s="63">
        <v>1</v>
      </c>
      <c r="AF70" s="63">
        <v>1</v>
      </c>
      <c r="AG70" s="63">
        <v>1</v>
      </c>
      <c r="AH70" s="63">
        <v>1</v>
      </c>
      <c r="AI70" s="64">
        <f t="shared" ref="AI70:AI105" si="29">I70*V70</f>
        <v>68.06</v>
      </c>
      <c r="AJ70" s="64">
        <f t="shared" ref="AJ70:AJ105" si="30">J70*W70</f>
        <v>66.36</v>
      </c>
      <c r="AK70" s="64">
        <f t="shared" ref="AK70:AK105" si="31">K70*X70</f>
        <v>84.98</v>
      </c>
      <c r="AL70" s="64">
        <f t="shared" ref="AL70:AL105" si="32">L70*Y70</f>
        <v>74.680000000000007</v>
      </c>
      <c r="AM70" s="64">
        <f t="shared" ref="AM70:AM105" si="33">M70*Z70</f>
        <v>69.95</v>
      </c>
      <c r="AN70" s="64">
        <f t="shared" ref="AN70:AN105" si="34">N70*AA70</f>
        <v>61.36</v>
      </c>
      <c r="AO70" s="64">
        <f t="shared" ref="AO70:AO105" si="35">O70*AB70</f>
        <v>56.07</v>
      </c>
      <c r="AP70" s="64">
        <f t="shared" ref="AP70:AP105" si="36">P70*AC70</f>
        <v>53.43</v>
      </c>
      <c r="AQ70" s="64">
        <f t="shared" ref="AQ70:AQ105" si="37">Q70*AD70</f>
        <v>47.12</v>
      </c>
      <c r="AR70" s="64">
        <f t="shared" ref="AR70:AR105" si="38">R70*AE70</f>
        <v>50.77</v>
      </c>
      <c r="AS70" s="64">
        <f t="shared" ref="AS70:AS105" si="39">S70*AF70</f>
        <v>47.67</v>
      </c>
      <c r="AT70" s="64">
        <f t="shared" ref="AT70:AT105" si="40">T70*AG70</f>
        <v>46.11</v>
      </c>
      <c r="AU70" s="64">
        <f t="shared" ref="AU70:AU105" si="41">U70*AH70</f>
        <v>52.4</v>
      </c>
    </row>
    <row r="71" spans="1:47">
      <c r="C71" s="56"/>
      <c r="D71" s="56"/>
      <c r="E71" s="56"/>
      <c r="F71" s="61"/>
      <c r="G71" s="61"/>
      <c r="H71" s="62">
        <f t="shared" si="28"/>
        <v>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64">
        <f t="shared" si="29"/>
        <v>0</v>
      </c>
      <c r="AJ71" s="64">
        <f t="shared" si="30"/>
        <v>0</v>
      </c>
      <c r="AK71" s="64">
        <f t="shared" si="31"/>
        <v>0</v>
      </c>
      <c r="AL71" s="64">
        <f t="shared" si="32"/>
        <v>0</v>
      </c>
      <c r="AM71" s="64">
        <f t="shared" si="33"/>
        <v>0</v>
      </c>
      <c r="AN71" s="64">
        <f t="shared" si="34"/>
        <v>0</v>
      </c>
      <c r="AO71" s="64">
        <f t="shared" si="35"/>
        <v>0</v>
      </c>
      <c r="AP71" s="64">
        <f t="shared" si="36"/>
        <v>0</v>
      </c>
      <c r="AQ71" s="64">
        <f t="shared" si="37"/>
        <v>0</v>
      </c>
      <c r="AR71" s="64">
        <f t="shared" si="38"/>
        <v>0</v>
      </c>
      <c r="AS71" s="64">
        <f t="shared" si="39"/>
        <v>0</v>
      </c>
      <c r="AT71" s="64">
        <f t="shared" si="40"/>
        <v>0</v>
      </c>
      <c r="AU71" s="64">
        <f t="shared" si="41"/>
        <v>0</v>
      </c>
    </row>
    <row r="72" spans="1:47">
      <c r="C72" s="56"/>
      <c r="D72" s="56"/>
      <c r="E72" s="56"/>
      <c r="F72" s="61"/>
      <c r="G72" s="61"/>
      <c r="H72" s="62">
        <f t="shared" si="28"/>
        <v>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64">
        <f t="shared" si="29"/>
        <v>0</v>
      </c>
      <c r="AJ72" s="64">
        <f t="shared" si="30"/>
        <v>0</v>
      </c>
      <c r="AK72" s="64">
        <f t="shared" si="31"/>
        <v>0</v>
      </c>
      <c r="AL72" s="64">
        <f t="shared" si="32"/>
        <v>0</v>
      </c>
      <c r="AM72" s="64">
        <f t="shared" si="33"/>
        <v>0</v>
      </c>
      <c r="AN72" s="64">
        <f t="shared" si="34"/>
        <v>0</v>
      </c>
      <c r="AO72" s="64">
        <f t="shared" si="35"/>
        <v>0</v>
      </c>
      <c r="AP72" s="64">
        <f t="shared" si="36"/>
        <v>0</v>
      </c>
      <c r="AQ72" s="64">
        <f t="shared" si="37"/>
        <v>0</v>
      </c>
      <c r="AR72" s="64">
        <f t="shared" si="38"/>
        <v>0</v>
      </c>
      <c r="AS72" s="64">
        <f t="shared" si="39"/>
        <v>0</v>
      </c>
      <c r="AT72" s="64">
        <f t="shared" si="40"/>
        <v>0</v>
      </c>
      <c r="AU72" s="64">
        <f t="shared" si="41"/>
        <v>0</v>
      </c>
    </row>
    <row r="73" spans="1:47">
      <c r="C73" s="56"/>
      <c r="D73" s="56"/>
      <c r="E73" s="56"/>
      <c r="F73" s="61"/>
      <c r="G73" s="61"/>
      <c r="H73" s="62">
        <f t="shared" si="28"/>
        <v>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64">
        <f t="shared" si="29"/>
        <v>0</v>
      </c>
      <c r="AJ73" s="64">
        <f t="shared" si="30"/>
        <v>0</v>
      </c>
      <c r="AK73" s="64">
        <f t="shared" si="31"/>
        <v>0</v>
      </c>
      <c r="AL73" s="64">
        <f t="shared" si="32"/>
        <v>0</v>
      </c>
      <c r="AM73" s="64">
        <f t="shared" si="33"/>
        <v>0</v>
      </c>
      <c r="AN73" s="64">
        <f t="shared" si="34"/>
        <v>0</v>
      </c>
      <c r="AO73" s="64">
        <f t="shared" si="35"/>
        <v>0</v>
      </c>
      <c r="AP73" s="64">
        <f t="shared" si="36"/>
        <v>0</v>
      </c>
      <c r="AQ73" s="64">
        <f t="shared" si="37"/>
        <v>0</v>
      </c>
      <c r="AR73" s="64">
        <f t="shared" si="38"/>
        <v>0</v>
      </c>
      <c r="AS73" s="64">
        <f t="shared" si="39"/>
        <v>0</v>
      </c>
      <c r="AT73" s="64">
        <f t="shared" si="40"/>
        <v>0</v>
      </c>
      <c r="AU73" s="64">
        <f t="shared" si="41"/>
        <v>0</v>
      </c>
    </row>
    <row r="74" spans="1:47">
      <c r="C74" s="56"/>
      <c r="D74" s="56"/>
      <c r="E74" s="56"/>
      <c r="F74" s="61"/>
      <c r="G74" s="61"/>
      <c r="H74" s="62">
        <f t="shared" si="28"/>
        <v>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64">
        <f t="shared" si="29"/>
        <v>0</v>
      </c>
      <c r="AJ74" s="64">
        <f t="shared" si="30"/>
        <v>0</v>
      </c>
      <c r="AK74" s="64">
        <f t="shared" si="31"/>
        <v>0</v>
      </c>
      <c r="AL74" s="64">
        <f t="shared" si="32"/>
        <v>0</v>
      </c>
      <c r="AM74" s="64">
        <f t="shared" si="33"/>
        <v>0</v>
      </c>
      <c r="AN74" s="64">
        <f t="shared" si="34"/>
        <v>0</v>
      </c>
      <c r="AO74" s="64">
        <f t="shared" si="35"/>
        <v>0</v>
      </c>
      <c r="AP74" s="64">
        <f t="shared" si="36"/>
        <v>0</v>
      </c>
      <c r="AQ74" s="64">
        <f t="shared" si="37"/>
        <v>0</v>
      </c>
      <c r="AR74" s="64">
        <f t="shared" si="38"/>
        <v>0</v>
      </c>
      <c r="AS74" s="64">
        <f t="shared" si="39"/>
        <v>0</v>
      </c>
      <c r="AT74" s="64">
        <f t="shared" si="40"/>
        <v>0</v>
      </c>
      <c r="AU74" s="64">
        <f t="shared" si="41"/>
        <v>0</v>
      </c>
    </row>
    <row r="75" spans="1:47">
      <c r="C75" s="56"/>
      <c r="D75" s="56"/>
      <c r="E75" s="56"/>
      <c r="F75" s="61"/>
      <c r="G75" s="61"/>
      <c r="H75" s="62">
        <f t="shared" si="28"/>
        <v>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64">
        <f t="shared" si="29"/>
        <v>0</v>
      </c>
      <c r="AJ75" s="64">
        <f t="shared" si="30"/>
        <v>0</v>
      </c>
      <c r="AK75" s="64">
        <f t="shared" si="31"/>
        <v>0</v>
      </c>
      <c r="AL75" s="64">
        <f t="shared" si="32"/>
        <v>0</v>
      </c>
      <c r="AM75" s="64">
        <f t="shared" si="33"/>
        <v>0</v>
      </c>
      <c r="AN75" s="64">
        <f t="shared" si="34"/>
        <v>0</v>
      </c>
      <c r="AO75" s="64">
        <f t="shared" si="35"/>
        <v>0</v>
      </c>
      <c r="AP75" s="64">
        <f t="shared" si="36"/>
        <v>0</v>
      </c>
      <c r="AQ75" s="64">
        <f t="shared" si="37"/>
        <v>0</v>
      </c>
      <c r="AR75" s="64">
        <f t="shared" si="38"/>
        <v>0</v>
      </c>
      <c r="AS75" s="64">
        <f t="shared" si="39"/>
        <v>0</v>
      </c>
      <c r="AT75" s="64">
        <f t="shared" si="40"/>
        <v>0</v>
      </c>
      <c r="AU75" s="64">
        <f t="shared" si="41"/>
        <v>0</v>
      </c>
    </row>
    <row r="76" spans="1:47">
      <c r="C76" s="56"/>
      <c r="D76" s="56"/>
      <c r="E76" s="56"/>
      <c r="F76" s="61"/>
      <c r="G76" s="61"/>
      <c r="H76" s="62">
        <f t="shared" si="28"/>
        <v>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64">
        <f t="shared" si="29"/>
        <v>0</v>
      </c>
      <c r="AJ76" s="64">
        <f t="shared" si="30"/>
        <v>0</v>
      </c>
      <c r="AK76" s="64">
        <f t="shared" si="31"/>
        <v>0</v>
      </c>
      <c r="AL76" s="64">
        <f t="shared" si="32"/>
        <v>0</v>
      </c>
      <c r="AM76" s="64">
        <f t="shared" si="33"/>
        <v>0</v>
      </c>
      <c r="AN76" s="64">
        <f t="shared" si="34"/>
        <v>0</v>
      </c>
      <c r="AO76" s="64">
        <f t="shared" si="35"/>
        <v>0</v>
      </c>
      <c r="AP76" s="64">
        <f t="shared" si="36"/>
        <v>0</v>
      </c>
      <c r="AQ76" s="64">
        <f t="shared" si="37"/>
        <v>0</v>
      </c>
      <c r="AR76" s="64">
        <f t="shared" si="38"/>
        <v>0</v>
      </c>
      <c r="AS76" s="64">
        <f t="shared" si="39"/>
        <v>0</v>
      </c>
      <c r="AT76" s="64">
        <f t="shared" si="40"/>
        <v>0</v>
      </c>
      <c r="AU76" s="64">
        <f t="shared" si="41"/>
        <v>0</v>
      </c>
    </row>
    <row r="77" spans="1:47">
      <c r="C77" s="56"/>
      <c r="D77" s="56"/>
      <c r="E77" s="56"/>
      <c r="F77" s="61"/>
      <c r="G77" s="61"/>
      <c r="H77" s="62">
        <f t="shared" si="28"/>
        <v>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64">
        <f t="shared" si="29"/>
        <v>0</v>
      </c>
      <c r="AJ77" s="64">
        <f t="shared" si="30"/>
        <v>0</v>
      </c>
      <c r="AK77" s="64">
        <f t="shared" si="31"/>
        <v>0</v>
      </c>
      <c r="AL77" s="64">
        <f t="shared" si="32"/>
        <v>0</v>
      </c>
      <c r="AM77" s="64">
        <f t="shared" si="33"/>
        <v>0</v>
      </c>
      <c r="AN77" s="64">
        <f t="shared" si="34"/>
        <v>0</v>
      </c>
      <c r="AO77" s="64">
        <f t="shared" si="35"/>
        <v>0</v>
      </c>
      <c r="AP77" s="64">
        <f t="shared" si="36"/>
        <v>0</v>
      </c>
      <c r="AQ77" s="64">
        <f t="shared" si="37"/>
        <v>0</v>
      </c>
      <c r="AR77" s="64">
        <f t="shared" si="38"/>
        <v>0</v>
      </c>
      <c r="AS77" s="64">
        <f t="shared" si="39"/>
        <v>0</v>
      </c>
      <c r="AT77" s="64">
        <f t="shared" si="40"/>
        <v>0</v>
      </c>
      <c r="AU77" s="64">
        <f t="shared" si="41"/>
        <v>0</v>
      </c>
    </row>
    <row r="78" spans="1:47">
      <c r="C78" s="56"/>
      <c r="D78" s="56"/>
      <c r="E78" s="56"/>
      <c r="F78" s="61"/>
      <c r="G78" s="61"/>
      <c r="H78" s="62">
        <f t="shared" si="28"/>
        <v>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64">
        <f t="shared" si="29"/>
        <v>0</v>
      </c>
      <c r="AJ78" s="64">
        <f t="shared" si="30"/>
        <v>0</v>
      </c>
      <c r="AK78" s="64">
        <f t="shared" si="31"/>
        <v>0</v>
      </c>
      <c r="AL78" s="64">
        <f t="shared" si="32"/>
        <v>0</v>
      </c>
      <c r="AM78" s="64">
        <f t="shared" si="33"/>
        <v>0</v>
      </c>
      <c r="AN78" s="64">
        <f t="shared" si="34"/>
        <v>0</v>
      </c>
      <c r="AO78" s="64">
        <f t="shared" si="35"/>
        <v>0</v>
      </c>
      <c r="AP78" s="64">
        <f t="shared" si="36"/>
        <v>0</v>
      </c>
      <c r="AQ78" s="64">
        <f t="shared" si="37"/>
        <v>0</v>
      </c>
      <c r="AR78" s="64">
        <f t="shared" si="38"/>
        <v>0</v>
      </c>
      <c r="AS78" s="64">
        <f t="shared" si="39"/>
        <v>0</v>
      </c>
      <c r="AT78" s="64">
        <f t="shared" si="40"/>
        <v>0</v>
      </c>
      <c r="AU78" s="64">
        <f t="shared" si="41"/>
        <v>0</v>
      </c>
    </row>
    <row r="79" spans="1:47">
      <c r="C79" s="56"/>
      <c r="D79" s="56"/>
      <c r="E79" s="56"/>
      <c r="F79" s="61"/>
      <c r="G79" s="61"/>
      <c r="H79" s="62">
        <f t="shared" si="28"/>
        <v>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64">
        <f t="shared" si="29"/>
        <v>0</v>
      </c>
      <c r="AJ79" s="64">
        <f t="shared" si="30"/>
        <v>0</v>
      </c>
      <c r="AK79" s="64">
        <f t="shared" si="31"/>
        <v>0</v>
      </c>
      <c r="AL79" s="64">
        <f t="shared" si="32"/>
        <v>0</v>
      </c>
      <c r="AM79" s="64">
        <f t="shared" si="33"/>
        <v>0</v>
      </c>
      <c r="AN79" s="64">
        <f t="shared" si="34"/>
        <v>0</v>
      </c>
      <c r="AO79" s="64">
        <f t="shared" si="35"/>
        <v>0</v>
      </c>
      <c r="AP79" s="64">
        <f t="shared" si="36"/>
        <v>0</v>
      </c>
      <c r="AQ79" s="64">
        <f t="shared" si="37"/>
        <v>0</v>
      </c>
      <c r="AR79" s="64">
        <f t="shared" si="38"/>
        <v>0</v>
      </c>
      <c r="AS79" s="64">
        <f t="shared" si="39"/>
        <v>0</v>
      </c>
      <c r="AT79" s="64">
        <f t="shared" si="40"/>
        <v>0</v>
      </c>
      <c r="AU79" s="64">
        <f t="shared" si="41"/>
        <v>0</v>
      </c>
    </row>
    <row r="80" spans="1:47">
      <c r="C80" s="56"/>
      <c r="D80" s="56"/>
      <c r="E80" s="56"/>
      <c r="F80" s="61"/>
      <c r="G80" s="61"/>
      <c r="H80" s="62">
        <f t="shared" si="28"/>
        <v>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64">
        <f t="shared" si="29"/>
        <v>0</v>
      </c>
      <c r="AJ80" s="64">
        <f t="shared" si="30"/>
        <v>0</v>
      </c>
      <c r="AK80" s="64">
        <f t="shared" si="31"/>
        <v>0</v>
      </c>
      <c r="AL80" s="64">
        <f t="shared" si="32"/>
        <v>0</v>
      </c>
      <c r="AM80" s="64">
        <f t="shared" si="33"/>
        <v>0</v>
      </c>
      <c r="AN80" s="64">
        <f t="shared" si="34"/>
        <v>0</v>
      </c>
      <c r="AO80" s="64">
        <f t="shared" si="35"/>
        <v>0</v>
      </c>
      <c r="AP80" s="64">
        <f t="shared" si="36"/>
        <v>0</v>
      </c>
      <c r="AQ80" s="64">
        <f t="shared" si="37"/>
        <v>0</v>
      </c>
      <c r="AR80" s="64">
        <f t="shared" si="38"/>
        <v>0</v>
      </c>
      <c r="AS80" s="64">
        <f t="shared" si="39"/>
        <v>0</v>
      </c>
      <c r="AT80" s="64">
        <f t="shared" si="40"/>
        <v>0</v>
      </c>
      <c r="AU80" s="64">
        <f t="shared" si="41"/>
        <v>0</v>
      </c>
    </row>
    <row r="81" spans="3:47">
      <c r="C81" s="56"/>
      <c r="D81" s="56"/>
      <c r="E81" s="56"/>
      <c r="F81" s="61"/>
      <c r="G81" s="61"/>
      <c r="H81" s="62">
        <f t="shared" si="28"/>
        <v>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64">
        <f t="shared" si="29"/>
        <v>0</v>
      </c>
      <c r="AJ81" s="64">
        <f t="shared" si="30"/>
        <v>0</v>
      </c>
      <c r="AK81" s="64">
        <f t="shared" si="31"/>
        <v>0</v>
      </c>
      <c r="AL81" s="64">
        <f t="shared" si="32"/>
        <v>0</v>
      </c>
      <c r="AM81" s="64">
        <f t="shared" si="33"/>
        <v>0</v>
      </c>
      <c r="AN81" s="64">
        <f t="shared" si="34"/>
        <v>0</v>
      </c>
      <c r="AO81" s="64">
        <f t="shared" si="35"/>
        <v>0</v>
      </c>
      <c r="AP81" s="64">
        <f t="shared" si="36"/>
        <v>0</v>
      </c>
      <c r="AQ81" s="64">
        <f t="shared" si="37"/>
        <v>0</v>
      </c>
      <c r="AR81" s="64">
        <f t="shared" si="38"/>
        <v>0</v>
      </c>
      <c r="AS81" s="64">
        <f t="shared" si="39"/>
        <v>0</v>
      </c>
      <c r="AT81" s="64">
        <f t="shared" si="40"/>
        <v>0</v>
      </c>
      <c r="AU81" s="64">
        <f t="shared" si="41"/>
        <v>0</v>
      </c>
    </row>
    <row r="82" spans="3:47">
      <c r="C82" s="56"/>
      <c r="D82" s="56"/>
      <c r="E82" s="56"/>
      <c r="F82" s="61"/>
      <c r="G82" s="61"/>
      <c r="H82" s="62">
        <f t="shared" si="28"/>
        <v>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64">
        <f t="shared" si="29"/>
        <v>0</v>
      </c>
      <c r="AJ82" s="64">
        <f t="shared" si="30"/>
        <v>0</v>
      </c>
      <c r="AK82" s="64">
        <f t="shared" si="31"/>
        <v>0</v>
      </c>
      <c r="AL82" s="64">
        <f t="shared" si="32"/>
        <v>0</v>
      </c>
      <c r="AM82" s="64">
        <f t="shared" si="33"/>
        <v>0</v>
      </c>
      <c r="AN82" s="64">
        <f t="shared" si="34"/>
        <v>0</v>
      </c>
      <c r="AO82" s="64">
        <f t="shared" si="35"/>
        <v>0</v>
      </c>
      <c r="AP82" s="64">
        <f t="shared" si="36"/>
        <v>0</v>
      </c>
      <c r="AQ82" s="64">
        <f t="shared" si="37"/>
        <v>0</v>
      </c>
      <c r="AR82" s="64">
        <f t="shared" si="38"/>
        <v>0</v>
      </c>
      <c r="AS82" s="64">
        <f t="shared" si="39"/>
        <v>0</v>
      </c>
      <c r="AT82" s="64">
        <f t="shared" si="40"/>
        <v>0</v>
      </c>
      <c r="AU82" s="64">
        <f t="shared" si="41"/>
        <v>0</v>
      </c>
    </row>
    <row r="83" spans="3:47">
      <c r="C83" s="56"/>
      <c r="D83" s="56"/>
      <c r="E83" s="56"/>
      <c r="F83" s="61"/>
      <c r="G83" s="61"/>
      <c r="H83" s="62">
        <f t="shared" si="28"/>
        <v>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64">
        <f t="shared" si="29"/>
        <v>0</v>
      </c>
      <c r="AJ83" s="64">
        <f t="shared" si="30"/>
        <v>0</v>
      </c>
      <c r="AK83" s="64">
        <f t="shared" si="31"/>
        <v>0</v>
      </c>
      <c r="AL83" s="64">
        <f t="shared" si="32"/>
        <v>0</v>
      </c>
      <c r="AM83" s="64">
        <f t="shared" si="33"/>
        <v>0</v>
      </c>
      <c r="AN83" s="64">
        <f t="shared" si="34"/>
        <v>0</v>
      </c>
      <c r="AO83" s="64">
        <f t="shared" si="35"/>
        <v>0</v>
      </c>
      <c r="AP83" s="64">
        <f t="shared" si="36"/>
        <v>0</v>
      </c>
      <c r="AQ83" s="64">
        <f t="shared" si="37"/>
        <v>0</v>
      </c>
      <c r="AR83" s="64">
        <f t="shared" si="38"/>
        <v>0</v>
      </c>
      <c r="AS83" s="64">
        <f t="shared" si="39"/>
        <v>0</v>
      </c>
      <c r="AT83" s="64">
        <f t="shared" si="40"/>
        <v>0</v>
      </c>
      <c r="AU83" s="64">
        <f t="shared" si="41"/>
        <v>0</v>
      </c>
    </row>
    <row r="84" spans="3:47">
      <c r="C84" s="56"/>
      <c r="D84" s="56"/>
      <c r="E84" s="56"/>
      <c r="F84" s="61"/>
      <c r="G84" s="61"/>
      <c r="H84" s="62">
        <f t="shared" si="28"/>
        <v>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64">
        <f t="shared" si="29"/>
        <v>0</v>
      </c>
      <c r="AJ84" s="64">
        <f t="shared" si="30"/>
        <v>0</v>
      </c>
      <c r="AK84" s="64">
        <f t="shared" si="31"/>
        <v>0</v>
      </c>
      <c r="AL84" s="64">
        <f t="shared" si="32"/>
        <v>0</v>
      </c>
      <c r="AM84" s="64">
        <f t="shared" si="33"/>
        <v>0</v>
      </c>
      <c r="AN84" s="64">
        <f t="shared" si="34"/>
        <v>0</v>
      </c>
      <c r="AO84" s="64">
        <f t="shared" si="35"/>
        <v>0</v>
      </c>
      <c r="AP84" s="64">
        <f t="shared" si="36"/>
        <v>0</v>
      </c>
      <c r="AQ84" s="64">
        <f t="shared" si="37"/>
        <v>0</v>
      </c>
      <c r="AR84" s="64">
        <f t="shared" si="38"/>
        <v>0</v>
      </c>
      <c r="AS84" s="64">
        <f t="shared" si="39"/>
        <v>0</v>
      </c>
      <c r="AT84" s="64">
        <f t="shared" si="40"/>
        <v>0</v>
      </c>
      <c r="AU84" s="64">
        <f t="shared" si="41"/>
        <v>0</v>
      </c>
    </row>
    <row r="85" spans="3:47">
      <c r="C85" s="56"/>
      <c r="D85" s="56"/>
      <c r="E85" s="56"/>
      <c r="F85" s="61"/>
      <c r="G85" s="61"/>
      <c r="H85" s="62">
        <f t="shared" si="28"/>
        <v>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64">
        <f t="shared" si="29"/>
        <v>0</v>
      </c>
      <c r="AJ85" s="64">
        <f t="shared" si="30"/>
        <v>0</v>
      </c>
      <c r="AK85" s="64">
        <f t="shared" si="31"/>
        <v>0</v>
      </c>
      <c r="AL85" s="64">
        <f t="shared" si="32"/>
        <v>0</v>
      </c>
      <c r="AM85" s="64">
        <f t="shared" si="33"/>
        <v>0</v>
      </c>
      <c r="AN85" s="64">
        <f t="shared" si="34"/>
        <v>0</v>
      </c>
      <c r="AO85" s="64">
        <f t="shared" si="35"/>
        <v>0</v>
      </c>
      <c r="AP85" s="64">
        <f t="shared" si="36"/>
        <v>0</v>
      </c>
      <c r="AQ85" s="64">
        <f t="shared" si="37"/>
        <v>0</v>
      </c>
      <c r="AR85" s="64">
        <f t="shared" si="38"/>
        <v>0</v>
      </c>
      <c r="AS85" s="64">
        <f t="shared" si="39"/>
        <v>0</v>
      </c>
      <c r="AT85" s="64">
        <f t="shared" si="40"/>
        <v>0</v>
      </c>
      <c r="AU85" s="64">
        <f t="shared" si="41"/>
        <v>0</v>
      </c>
    </row>
    <row r="86" spans="3:47">
      <c r="C86" s="56"/>
      <c r="D86" s="56"/>
      <c r="E86" s="56"/>
      <c r="F86" s="61"/>
      <c r="G86" s="61"/>
      <c r="H86" s="62">
        <f t="shared" si="28"/>
        <v>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64">
        <f t="shared" si="29"/>
        <v>0</v>
      </c>
      <c r="AJ86" s="64">
        <f t="shared" si="30"/>
        <v>0</v>
      </c>
      <c r="AK86" s="64">
        <f t="shared" si="31"/>
        <v>0</v>
      </c>
      <c r="AL86" s="64">
        <f t="shared" si="32"/>
        <v>0</v>
      </c>
      <c r="AM86" s="64">
        <f t="shared" si="33"/>
        <v>0</v>
      </c>
      <c r="AN86" s="64">
        <f t="shared" si="34"/>
        <v>0</v>
      </c>
      <c r="AO86" s="64">
        <f t="shared" si="35"/>
        <v>0</v>
      </c>
      <c r="AP86" s="64">
        <f t="shared" si="36"/>
        <v>0</v>
      </c>
      <c r="AQ86" s="64">
        <f t="shared" si="37"/>
        <v>0</v>
      </c>
      <c r="AR86" s="64">
        <f t="shared" si="38"/>
        <v>0</v>
      </c>
      <c r="AS86" s="64">
        <f t="shared" si="39"/>
        <v>0</v>
      </c>
      <c r="AT86" s="64">
        <f t="shared" si="40"/>
        <v>0</v>
      </c>
      <c r="AU86" s="64">
        <f t="shared" si="41"/>
        <v>0</v>
      </c>
    </row>
    <row r="87" spans="3:47">
      <c r="C87" s="56"/>
      <c r="D87" s="56"/>
      <c r="E87" s="56"/>
      <c r="F87" s="61"/>
      <c r="G87" s="61"/>
      <c r="H87" s="62">
        <f t="shared" si="28"/>
        <v>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64">
        <f t="shared" si="29"/>
        <v>0</v>
      </c>
      <c r="AJ87" s="64">
        <f t="shared" si="30"/>
        <v>0</v>
      </c>
      <c r="AK87" s="64">
        <f t="shared" si="31"/>
        <v>0</v>
      </c>
      <c r="AL87" s="64">
        <f t="shared" si="32"/>
        <v>0</v>
      </c>
      <c r="AM87" s="64">
        <f t="shared" si="33"/>
        <v>0</v>
      </c>
      <c r="AN87" s="64">
        <f t="shared" si="34"/>
        <v>0</v>
      </c>
      <c r="AO87" s="64">
        <f t="shared" si="35"/>
        <v>0</v>
      </c>
      <c r="AP87" s="64">
        <f t="shared" si="36"/>
        <v>0</v>
      </c>
      <c r="AQ87" s="64">
        <f t="shared" si="37"/>
        <v>0</v>
      </c>
      <c r="AR87" s="64">
        <f t="shared" si="38"/>
        <v>0</v>
      </c>
      <c r="AS87" s="64">
        <f t="shared" si="39"/>
        <v>0</v>
      </c>
      <c r="AT87" s="64">
        <f t="shared" si="40"/>
        <v>0</v>
      </c>
      <c r="AU87" s="64">
        <f t="shared" si="41"/>
        <v>0</v>
      </c>
    </row>
    <row r="88" spans="3:47">
      <c r="C88" s="56"/>
      <c r="D88" s="56"/>
      <c r="E88" s="56"/>
      <c r="F88" s="61"/>
      <c r="G88" s="61"/>
      <c r="H88" s="62">
        <f t="shared" si="28"/>
        <v>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64">
        <f t="shared" si="29"/>
        <v>0</v>
      </c>
      <c r="AJ88" s="64">
        <f t="shared" si="30"/>
        <v>0</v>
      </c>
      <c r="AK88" s="64">
        <f t="shared" si="31"/>
        <v>0</v>
      </c>
      <c r="AL88" s="64">
        <f t="shared" si="32"/>
        <v>0</v>
      </c>
      <c r="AM88" s="64">
        <f t="shared" si="33"/>
        <v>0</v>
      </c>
      <c r="AN88" s="64">
        <f t="shared" si="34"/>
        <v>0</v>
      </c>
      <c r="AO88" s="64">
        <f t="shared" si="35"/>
        <v>0</v>
      </c>
      <c r="AP88" s="64">
        <f t="shared" si="36"/>
        <v>0</v>
      </c>
      <c r="AQ88" s="64">
        <f t="shared" si="37"/>
        <v>0</v>
      </c>
      <c r="AR88" s="64">
        <f t="shared" si="38"/>
        <v>0</v>
      </c>
      <c r="AS88" s="64">
        <f t="shared" si="39"/>
        <v>0</v>
      </c>
      <c r="AT88" s="64">
        <f t="shared" si="40"/>
        <v>0</v>
      </c>
      <c r="AU88" s="64">
        <f t="shared" si="41"/>
        <v>0</v>
      </c>
    </row>
    <row r="89" spans="3:47">
      <c r="C89" s="56"/>
      <c r="D89" s="56"/>
      <c r="E89" s="56"/>
      <c r="F89" s="61"/>
      <c r="G89" s="61"/>
      <c r="H89" s="62">
        <f t="shared" si="28"/>
        <v>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64">
        <f t="shared" si="29"/>
        <v>0</v>
      </c>
      <c r="AJ89" s="64">
        <f t="shared" si="30"/>
        <v>0</v>
      </c>
      <c r="AK89" s="64">
        <f t="shared" si="31"/>
        <v>0</v>
      </c>
      <c r="AL89" s="64">
        <f t="shared" si="32"/>
        <v>0</v>
      </c>
      <c r="AM89" s="64">
        <f t="shared" si="33"/>
        <v>0</v>
      </c>
      <c r="AN89" s="64">
        <f t="shared" si="34"/>
        <v>0</v>
      </c>
      <c r="AO89" s="64">
        <f t="shared" si="35"/>
        <v>0</v>
      </c>
      <c r="AP89" s="64">
        <f t="shared" si="36"/>
        <v>0</v>
      </c>
      <c r="AQ89" s="64">
        <f t="shared" si="37"/>
        <v>0</v>
      </c>
      <c r="AR89" s="64">
        <f t="shared" si="38"/>
        <v>0</v>
      </c>
      <c r="AS89" s="64">
        <f t="shared" si="39"/>
        <v>0</v>
      </c>
      <c r="AT89" s="64">
        <f t="shared" si="40"/>
        <v>0</v>
      </c>
      <c r="AU89" s="64">
        <f t="shared" si="41"/>
        <v>0</v>
      </c>
    </row>
    <row r="90" spans="3:47">
      <c r="C90" s="56"/>
      <c r="D90" s="56"/>
      <c r="E90" s="56"/>
      <c r="F90" s="61"/>
      <c r="G90" s="61"/>
      <c r="H90" s="62">
        <f t="shared" si="28"/>
        <v>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64">
        <f t="shared" si="29"/>
        <v>0</v>
      </c>
      <c r="AJ90" s="64">
        <f t="shared" si="30"/>
        <v>0</v>
      </c>
      <c r="AK90" s="64">
        <f t="shared" si="31"/>
        <v>0</v>
      </c>
      <c r="AL90" s="64">
        <f t="shared" si="32"/>
        <v>0</v>
      </c>
      <c r="AM90" s="64">
        <f t="shared" si="33"/>
        <v>0</v>
      </c>
      <c r="AN90" s="64">
        <f t="shared" si="34"/>
        <v>0</v>
      </c>
      <c r="AO90" s="64">
        <f t="shared" si="35"/>
        <v>0</v>
      </c>
      <c r="AP90" s="64">
        <f t="shared" si="36"/>
        <v>0</v>
      </c>
      <c r="AQ90" s="64">
        <f t="shared" si="37"/>
        <v>0</v>
      </c>
      <c r="AR90" s="64">
        <f t="shared" si="38"/>
        <v>0</v>
      </c>
      <c r="AS90" s="64">
        <f t="shared" si="39"/>
        <v>0</v>
      </c>
      <c r="AT90" s="64">
        <f t="shared" si="40"/>
        <v>0</v>
      </c>
      <c r="AU90" s="64">
        <f t="shared" si="41"/>
        <v>0</v>
      </c>
    </row>
    <row r="91" spans="3:47">
      <c r="C91" s="56"/>
      <c r="D91" s="56"/>
      <c r="E91" s="56"/>
      <c r="F91" s="61"/>
      <c r="G91" s="61"/>
      <c r="H91" s="62">
        <f t="shared" si="28"/>
        <v>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64">
        <f t="shared" si="29"/>
        <v>0</v>
      </c>
      <c r="AJ91" s="64">
        <f t="shared" si="30"/>
        <v>0</v>
      </c>
      <c r="AK91" s="64">
        <f t="shared" si="31"/>
        <v>0</v>
      </c>
      <c r="AL91" s="64">
        <f t="shared" si="32"/>
        <v>0</v>
      </c>
      <c r="AM91" s="64">
        <f t="shared" si="33"/>
        <v>0</v>
      </c>
      <c r="AN91" s="64">
        <f t="shared" si="34"/>
        <v>0</v>
      </c>
      <c r="AO91" s="64">
        <f t="shared" si="35"/>
        <v>0</v>
      </c>
      <c r="AP91" s="64">
        <f t="shared" si="36"/>
        <v>0</v>
      </c>
      <c r="AQ91" s="64">
        <f t="shared" si="37"/>
        <v>0</v>
      </c>
      <c r="AR91" s="64">
        <f t="shared" si="38"/>
        <v>0</v>
      </c>
      <c r="AS91" s="64">
        <f t="shared" si="39"/>
        <v>0</v>
      </c>
      <c r="AT91" s="64">
        <f t="shared" si="40"/>
        <v>0</v>
      </c>
      <c r="AU91" s="64">
        <f t="shared" si="41"/>
        <v>0</v>
      </c>
    </row>
    <row r="92" spans="3:47">
      <c r="C92" s="56"/>
      <c r="D92" s="56"/>
      <c r="E92" s="56"/>
      <c r="F92" s="61"/>
      <c r="G92" s="61"/>
      <c r="H92" s="62">
        <f t="shared" si="28"/>
        <v>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64">
        <f t="shared" si="29"/>
        <v>0</v>
      </c>
      <c r="AJ92" s="64">
        <f t="shared" si="30"/>
        <v>0</v>
      </c>
      <c r="AK92" s="64">
        <f t="shared" si="31"/>
        <v>0</v>
      </c>
      <c r="AL92" s="64">
        <f t="shared" si="32"/>
        <v>0</v>
      </c>
      <c r="AM92" s="64">
        <f t="shared" si="33"/>
        <v>0</v>
      </c>
      <c r="AN92" s="64">
        <f t="shared" si="34"/>
        <v>0</v>
      </c>
      <c r="AO92" s="64">
        <f t="shared" si="35"/>
        <v>0</v>
      </c>
      <c r="AP92" s="64">
        <f t="shared" si="36"/>
        <v>0</v>
      </c>
      <c r="AQ92" s="64">
        <f t="shared" si="37"/>
        <v>0</v>
      </c>
      <c r="AR92" s="64">
        <f t="shared" si="38"/>
        <v>0</v>
      </c>
      <c r="AS92" s="64">
        <f t="shared" si="39"/>
        <v>0</v>
      </c>
      <c r="AT92" s="64">
        <f t="shared" si="40"/>
        <v>0</v>
      </c>
      <c r="AU92" s="64">
        <f t="shared" si="41"/>
        <v>0</v>
      </c>
    </row>
    <row r="93" spans="3:47">
      <c r="C93" s="56"/>
      <c r="D93" s="56"/>
      <c r="E93" s="56"/>
      <c r="F93" s="61"/>
      <c r="G93" s="61"/>
      <c r="H93" s="62">
        <f t="shared" si="28"/>
        <v>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64">
        <f t="shared" si="29"/>
        <v>0</v>
      </c>
      <c r="AJ93" s="64">
        <f t="shared" si="30"/>
        <v>0</v>
      </c>
      <c r="AK93" s="64">
        <f t="shared" si="31"/>
        <v>0</v>
      </c>
      <c r="AL93" s="64">
        <f t="shared" si="32"/>
        <v>0</v>
      </c>
      <c r="AM93" s="64">
        <f t="shared" si="33"/>
        <v>0</v>
      </c>
      <c r="AN93" s="64">
        <f t="shared" si="34"/>
        <v>0</v>
      </c>
      <c r="AO93" s="64">
        <f t="shared" si="35"/>
        <v>0</v>
      </c>
      <c r="AP93" s="64">
        <f t="shared" si="36"/>
        <v>0</v>
      </c>
      <c r="AQ93" s="64">
        <f t="shared" si="37"/>
        <v>0</v>
      </c>
      <c r="AR93" s="64">
        <f t="shared" si="38"/>
        <v>0</v>
      </c>
      <c r="AS93" s="64">
        <f t="shared" si="39"/>
        <v>0</v>
      </c>
      <c r="AT93" s="64">
        <f t="shared" si="40"/>
        <v>0</v>
      </c>
      <c r="AU93" s="64">
        <f t="shared" si="41"/>
        <v>0</v>
      </c>
    </row>
    <row r="94" spans="3:47">
      <c r="C94" s="56"/>
      <c r="D94" s="56"/>
      <c r="E94" s="56"/>
      <c r="F94" s="61"/>
      <c r="G94" s="61"/>
      <c r="H94" s="62">
        <f t="shared" si="28"/>
        <v>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64">
        <f t="shared" si="29"/>
        <v>0</v>
      </c>
      <c r="AJ94" s="64">
        <f t="shared" si="30"/>
        <v>0</v>
      </c>
      <c r="AK94" s="64">
        <f t="shared" si="31"/>
        <v>0</v>
      </c>
      <c r="AL94" s="64">
        <f t="shared" si="32"/>
        <v>0</v>
      </c>
      <c r="AM94" s="64">
        <f t="shared" si="33"/>
        <v>0</v>
      </c>
      <c r="AN94" s="64">
        <f t="shared" si="34"/>
        <v>0</v>
      </c>
      <c r="AO94" s="64">
        <f t="shared" si="35"/>
        <v>0</v>
      </c>
      <c r="AP94" s="64">
        <f t="shared" si="36"/>
        <v>0</v>
      </c>
      <c r="AQ94" s="64">
        <f t="shared" si="37"/>
        <v>0</v>
      </c>
      <c r="AR94" s="64">
        <f t="shared" si="38"/>
        <v>0</v>
      </c>
      <c r="AS94" s="64">
        <f t="shared" si="39"/>
        <v>0</v>
      </c>
      <c r="AT94" s="64">
        <f t="shared" si="40"/>
        <v>0</v>
      </c>
      <c r="AU94" s="64">
        <f t="shared" si="41"/>
        <v>0</v>
      </c>
    </row>
    <row r="95" spans="3:47">
      <c r="C95" s="56"/>
      <c r="D95" s="56"/>
      <c r="E95" s="56"/>
      <c r="F95" s="61"/>
      <c r="G95" s="61"/>
      <c r="H95" s="62">
        <f t="shared" si="28"/>
        <v>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64">
        <f t="shared" si="29"/>
        <v>0</v>
      </c>
      <c r="AJ95" s="64">
        <f t="shared" si="30"/>
        <v>0</v>
      </c>
      <c r="AK95" s="64">
        <f t="shared" si="31"/>
        <v>0</v>
      </c>
      <c r="AL95" s="64">
        <f t="shared" si="32"/>
        <v>0</v>
      </c>
      <c r="AM95" s="64">
        <f t="shared" si="33"/>
        <v>0</v>
      </c>
      <c r="AN95" s="64">
        <f t="shared" si="34"/>
        <v>0</v>
      </c>
      <c r="AO95" s="64">
        <f t="shared" si="35"/>
        <v>0</v>
      </c>
      <c r="AP95" s="64">
        <f t="shared" si="36"/>
        <v>0</v>
      </c>
      <c r="AQ95" s="64">
        <f t="shared" si="37"/>
        <v>0</v>
      </c>
      <c r="AR95" s="64">
        <f t="shared" si="38"/>
        <v>0</v>
      </c>
      <c r="AS95" s="64">
        <f t="shared" si="39"/>
        <v>0</v>
      </c>
      <c r="AT95" s="64">
        <f t="shared" si="40"/>
        <v>0</v>
      </c>
      <c r="AU95" s="64">
        <f t="shared" si="41"/>
        <v>0</v>
      </c>
    </row>
    <row r="96" spans="3:47">
      <c r="C96" s="56"/>
      <c r="D96" s="56"/>
      <c r="E96" s="56"/>
      <c r="F96" s="61"/>
      <c r="G96" s="61"/>
      <c r="H96" s="62">
        <f t="shared" si="28"/>
        <v>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64">
        <f t="shared" si="29"/>
        <v>0</v>
      </c>
      <c r="AJ96" s="64">
        <f t="shared" si="30"/>
        <v>0</v>
      </c>
      <c r="AK96" s="64">
        <f t="shared" si="31"/>
        <v>0</v>
      </c>
      <c r="AL96" s="64">
        <f t="shared" si="32"/>
        <v>0</v>
      </c>
      <c r="AM96" s="64">
        <f t="shared" si="33"/>
        <v>0</v>
      </c>
      <c r="AN96" s="64">
        <f t="shared" si="34"/>
        <v>0</v>
      </c>
      <c r="AO96" s="64">
        <f t="shared" si="35"/>
        <v>0</v>
      </c>
      <c r="AP96" s="64">
        <f t="shared" si="36"/>
        <v>0</v>
      </c>
      <c r="AQ96" s="64">
        <f t="shared" si="37"/>
        <v>0</v>
      </c>
      <c r="AR96" s="64">
        <f t="shared" si="38"/>
        <v>0</v>
      </c>
      <c r="AS96" s="64">
        <f t="shared" si="39"/>
        <v>0</v>
      </c>
      <c r="AT96" s="64">
        <f t="shared" si="40"/>
        <v>0</v>
      </c>
      <c r="AU96" s="64">
        <f t="shared" si="41"/>
        <v>0</v>
      </c>
    </row>
    <row r="97" spans="3:47">
      <c r="C97" s="56"/>
      <c r="D97" s="56"/>
      <c r="E97" s="56"/>
      <c r="F97" s="61"/>
      <c r="G97" s="61"/>
      <c r="H97" s="62">
        <f t="shared" si="28"/>
        <v>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64">
        <f t="shared" si="29"/>
        <v>0</v>
      </c>
      <c r="AJ97" s="64">
        <f t="shared" si="30"/>
        <v>0</v>
      </c>
      <c r="AK97" s="64">
        <f t="shared" si="31"/>
        <v>0</v>
      </c>
      <c r="AL97" s="64">
        <f t="shared" si="32"/>
        <v>0</v>
      </c>
      <c r="AM97" s="64">
        <f t="shared" si="33"/>
        <v>0</v>
      </c>
      <c r="AN97" s="64">
        <f t="shared" si="34"/>
        <v>0</v>
      </c>
      <c r="AO97" s="64">
        <f t="shared" si="35"/>
        <v>0</v>
      </c>
      <c r="AP97" s="64">
        <f t="shared" si="36"/>
        <v>0</v>
      </c>
      <c r="AQ97" s="64">
        <f t="shared" si="37"/>
        <v>0</v>
      </c>
      <c r="AR97" s="64">
        <f t="shared" si="38"/>
        <v>0</v>
      </c>
      <c r="AS97" s="64">
        <f t="shared" si="39"/>
        <v>0</v>
      </c>
      <c r="AT97" s="64">
        <f t="shared" si="40"/>
        <v>0</v>
      </c>
      <c r="AU97" s="64">
        <f t="shared" si="41"/>
        <v>0</v>
      </c>
    </row>
    <row r="98" spans="3:47">
      <c r="C98" s="56"/>
      <c r="D98" s="56"/>
      <c r="E98" s="56"/>
      <c r="F98" s="61"/>
      <c r="G98" s="61"/>
      <c r="H98" s="62">
        <f t="shared" si="28"/>
        <v>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64">
        <f t="shared" si="29"/>
        <v>0</v>
      </c>
      <c r="AJ98" s="64">
        <f t="shared" si="30"/>
        <v>0</v>
      </c>
      <c r="AK98" s="64">
        <f t="shared" si="31"/>
        <v>0</v>
      </c>
      <c r="AL98" s="64">
        <f t="shared" si="32"/>
        <v>0</v>
      </c>
      <c r="AM98" s="64">
        <f t="shared" si="33"/>
        <v>0</v>
      </c>
      <c r="AN98" s="64">
        <f t="shared" si="34"/>
        <v>0</v>
      </c>
      <c r="AO98" s="64">
        <f t="shared" si="35"/>
        <v>0</v>
      </c>
      <c r="AP98" s="64">
        <f t="shared" si="36"/>
        <v>0</v>
      </c>
      <c r="AQ98" s="64">
        <f t="shared" si="37"/>
        <v>0</v>
      </c>
      <c r="AR98" s="64">
        <f t="shared" si="38"/>
        <v>0</v>
      </c>
      <c r="AS98" s="64">
        <f t="shared" si="39"/>
        <v>0</v>
      </c>
      <c r="AT98" s="64">
        <f t="shared" si="40"/>
        <v>0</v>
      </c>
      <c r="AU98" s="64">
        <f t="shared" si="41"/>
        <v>0</v>
      </c>
    </row>
    <row r="99" spans="3:47">
      <c r="C99" s="56"/>
      <c r="D99" s="56"/>
      <c r="E99" s="56"/>
      <c r="F99" s="61"/>
      <c r="G99" s="61"/>
      <c r="H99" s="62">
        <f t="shared" si="28"/>
        <v>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64">
        <f t="shared" si="29"/>
        <v>0</v>
      </c>
      <c r="AJ99" s="64">
        <f t="shared" si="30"/>
        <v>0</v>
      </c>
      <c r="AK99" s="64">
        <f t="shared" si="31"/>
        <v>0</v>
      </c>
      <c r="AL99" s="64">
        <f t="shared" si="32"/>
        <v>0</v>
      </c>
      <c r="AM99" s="64">
        <f t="shared" si="33"/>
        <v>0</v>
      </c>
      <c r="AN99" s="64">
        <f t="shared" si="34"/>
        <v>0</v>
      </c>
      <c r="AO99" s="64">
        <f t="shared" si="35"/>
        <v>0</v>
      </c>
      <c r="AP99" s="64">
        <f t="shared" si="36"/>
        <v>0</v>
      </c>
      <c r="AQ99" s="64">
        <f t="shared" si="37"/>
        <v>0</v>
      </c>
      <c r="AR99" s="64">
        <f t="shared" si="38"/>
        <v>0</v>
      </c>
      <c r="AS99" s="64">
        <f t="shared" si="39"/>
        <v>0</v>
      </c>
      <c r="AT99" s="64">
        <f t="shared" si="40"/>
        <v>0</v>
      </c>
      <c r="AU99" s="64">
        <f t="shared" si="41"/>
        <v>0</v>
      </c>
    </row>
    <row r="100" spans="3:47">
      <c r="C100" s="56"/>
      <c r="D100" s="56"/>
      <c r="E100" s="56"/>
      <c r="F100" s="61"/>
      <c r="G100" s="61"/>
      <c r="H100" s="62">
        <f t="shared" si="28"/>
        <v>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64">
        <f t="shared" si="29"/>
        <v>0</v>
      </c>
      <c r="AJ100" s="64">
        <f t="shared" si="30"/>
        <v>0</v>
      </c>
      <c r="AK100" s="64">
        <f t="shared" si="31"/>
        <v>0</v>
      </c>
      <c r="AL100" s="64">
        <f t="shared" si="32"/>
        <v>0</v>
      </c>
      <c r="AM100" s="64">
        <f t="shared" si="33"/>
        <v>0</v>
      </c>
      <c r="AN100" s="64">
        <f t="shared" si="34"/>
        <v>0</v>
      </c>
      <c r="AO100" s="64">
        <f t="shared" si="35"/>
        <v>0</v>
      </c>
      <c r="AP100" s="64">
        <f t="shared" si="36"/>
        <v>0</v>
      </c>
      <c r="AQ100" s="64">
        <f t="shared" si="37"/>
        <v>0</v>
      </c>
      <c r="AR100" s="64">
        <f t="shared" si="38"/>
        <v>0</v>
      </c>
      <c r="AS100" s="64">
        <f t="shared" si="39"/>
        <v>0</v>
      </c>
      <c r="AT100" s="64">
        <f t="shared" si="40"/>
        <v>0</v>
      </c>
      <c r="AU100" s="64">
        <f t="shared" si="41"/>
        <v>0</v>
      </c>
    </row>
    <row r="101" spans="3:47">
      <c r="C101" s="56"/>
      <c r="D101" s="56"/>
      <c r="E101" s="56"/>
      <c r="F101" s="61"/>
      <c r="G101" s="61"/>
      <c r="H101" s="62">
        <f t="shared" si="28"/>
        <v>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64">
        <f t="shared" si="29"/>
        <v>0</v>
      </c>
      <c r="AJ101" s="64">
        <f t="shared" si="30"/>
        <v>0</v>
      </c>
      <c r="AK101" s="64">
        <f t="shared" si="31"/>
        <v>0</v>
      </c>
      <c r="AL101" s="64">
        <f t="shared" si="32"/>
        <v>0</v>
      </c>
      <c r="AM101" s="64">
        <f t="shared" si="33"/>
        <v>0</v>
      </c>
      <c r="AN101" s="64">
        <f t="shared" si="34"/>
        <v>0</v>
      </c>
      <c r="AO101" s="64">
        <f t="shared" si="35"/>
        <v>0</v>
      </c>
      <c r="AP101" s="64">
        <f t="shared" si="36"/>
        <v>0</v>
      </c>
      <c r="AQ101" s="64">
        <f t="shared" si="37"/>
        <v>0</v>
      </c>
      <c r="AR101" s="64">
        <f t="shared" si="38"/>
        <v>0</v>
      </c>
      <c r="AS101" s="64">
        <f t="shared" si="39"/>
        <v>0</v>
      </c>
      <c r="AT101" s="64">
        <f t="shared" si="40"/>
        <v>0</v>
      </c>
      <c r="AU101" s="64">
        <f t="shared" si="41"/>
        <v>0</v>
      </c>
    </row>
    <row r="102" spans="3:47">
      <c r="C102" s="56"/>
      <c r="D102" s="56"/>
      <c r="E102" s="56"/>
      <c r="F102" s="61"/>
      <c r="G102" s="61"/>
      <c r="H102" s="62">
        <f t="shared" ref="H102:H105" si="42">IF(F102=G102,1,0)</f>
        <v>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64">
        <f t="shared" si="29"/>
        <v>0</v>
      </c>
      <c r="AJ102" s="64">
        <f t="shared" si="30"/>
        <v>0</v>
      </c>
      <c r="AK102" s="64">
        <f t="shared" si="31"/>
        <v>0</v>
      </c>
      <c r="AL102" s="64">
        <f t="shared" si="32"/>
        <v>0</v>
      </c>
      <c r="AM102" s="64">
        <f t="shared" si="33"/>
        <v>0</v>
      </c>
      <c r="AN102" s="64">
        <f t="shared" si="34"/>
        <v>0</v>
      </c>
      <c r="AO102" s="64">
        <f t="shared" si="35"/>
        <v>0</v>
      </c>
      <c r="AP102" s="64">
        <f t="shared" si="36"/>
        <v>0</v>
      </c>
      <c r="AQ102" s="64">
        <f t="shared" si="37"/>
        <v>0</v>
      </c>
      <c r="AR102" s="64">
        <f t="shared" si="38"/>
        <v>0</v>
      </c>
      <c r="AS102" s="64">
        <f t="shared" si="39"/>
        <v>0</v>
      </c>
      <c r="AT102" s="64">
        <f t="shared" si="40"/>
        <v>0</v>
      </c>
      <c r="AU102" s="64">
        <f t="shared" si="41"/>
        <v>0</v>
      </c>
    </row>
    <row r="103" spans="3:47">
      <c r="C103" s="56"/>
      <c r="D103" s="56"/>
      <c r="E103" s="56"/>
      <c r="F103" s="61"/>
      <c r="G103" s="61"/>
      <c r="H103" s="62">
        <f t="shared" si="42"/>
        <v>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64">
        <f t="shared" si="29"/>
        <v>0</v>
      </c>
      <c r="AJ103" s="64">
        <f t="shared" si="30"/>
        <v>0</v>
      </c>
      <c r="AK103" s="64">
        <f t="shared" si="31"/>
        <v>0</v>
      </c>
      <c r="AL103" s="64">
        <f t="shared" si="32"/>
        <v>0</v>
      </c>
      <c r="AM103" s="64">
        <f t="shared" si="33"/>
        <v>0</v>
      </c>
      <c r="AN103" s="64">
        <f t="shared" si="34"/>
        <v>0</v>
      </c>
      <c r="AO103" s="64">
        <f t="shared" si="35"/>
        <v>0</v>
      </c>
      <c r="AP103" s="64">
        <f t="shared" si="36"/>
        <v>0</v>
      </c>
      <c r="AQ103" s="64">
        <f t="shared" si="37"/>
        <v>0</v>
      </c>
      <c r="AR103" s="64">
        <f t="shared" si="38"/>
        <v>0</v>
      </c>
      <c r="AS103" s="64">
        <f t="shared" si="39"/>
        <v>0</v>
      </c>
      <c r="AT103" s="64">
        <f t="shared" si="40"/>
        <v>0</v>
      </c>
      <c r="AU103" s="64">
        <f t="shared" si="41"/>
        <v>0</v>
      </c>
    </row>
    <row r="104" spans="3:47">
      <c r="C104" s="56"/>
      <c r="D104" s="56"/>
      <c r="E104" s="56"/>
      <c r="F104" s="61"/>
      <c r="G104" s="61"/>
      <c r="H104" s="62">
        <f t="shared" si="42"/>
        <v>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64">
        <f t="shared" si="29"/>
        <v>0</v>
      </c>
      <c r="AJ104" s="64">
        <f t="shared" si="30"/>
        <v>0</v>
      </c>
      <c r="AK104" s="64">
        <f t="shared" si="31"/>
        <v>0</v>
      </c>
      <c r="AL104" s="64">
        <f t="shared" si="32"/>
        <v>0</v>
      </c>
      <c r="AM104" s="64">
        <f t="shared" si="33"/>
        <v>0</v>
      </c>
      <c r="AN104" s="64">
        <f t="shared" si="34"/>
        <v>0</v>
      </c>
      <c r="AO104" s="64">
        <f t="shared" si="35"/>
        <v>0</v>
      </c>
      <c r="AP104" s="64">
        <f t="shared" si="36"/>
        <v>0</v>
      </c>
      <c r="AQ104" s="64">
        <f t="shared" si="37"/>
        <v>0</v>
      </c>
      <c r="AR104" s="64">
        <f t="shared" si="38"/>
        <v>0</v>
      </c>
      <c r="AS104" s="64">
        <f t="shared" si="39"/>
        <v>0</v>
      </c>
      <c r="AT104" s="64">
        <f t="shared" si="40"/>
        <v>0</v>
      </c>
      <c r="AU104" s="64">
        <f t="shared" si="41"/>
        <v>0</v>
      </c>
    </row>
    <row r="105" spans="3:47">
      <c r="C105" s="56"/>
      <c r="D105" s="56"/>
      <c r="E105" s="56"/>
      <c r="F105" s="61"/>
      <c r="G105" s="61"/>
      <c r="H105" s="62">
        <f t="shared" si="42"/>
        <v>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64">
        <f t="shared" si="29"/>
        <v>0</v>
      </c>
      <c r="AJ105" s="64">
        <f t="shared" si="30"/>
        <v>0</v>
      </c>
      <c r="AK105" s="64">
        <f t="shared" si="31"/>
        <v>0</v>
      </c>
      <c r="AL105" s="64">
        <f t="shared" si="32"/>
        <v>0</v>
      </c>
      <c r="AM105" s="64">
        <f t="shared" si="33"/>
        <v>0</v>
      </c>
      <c r="AN105" s="64">
        <f t="shared" si="34"/>
        <v>0</v>
      </c>
      <c r="AO105" s="64">
        <f t="shared" si="35"/>
        <v>0</v>
      </c>
      <c r="AP105" s="64">
        <f t="shared" si="36"/>
        <v>0</v>
      </c>
      <c r="AQ105" s="64">
        <f t="shared" si="37"/>
        <v>0</v>
      </c>
      <c r="AR105" s="64">
        <f t="shared" si="38"/>
        <v>0</v>
      </c>
      <c r="AS105" s="64">
        <f t="shared" si="39"/>
        <v>0</v>
      </c>
      <c r="AT105" s="64">
        <f t="shared" si="40"/>
        <v>0</v>
      </c>
      <c r="AU105" s="64">
        <f t="shared" si="41"/>
        <v>0</v>
      </c>
    </row>
    <row r="106" spans="3:47"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3:47"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3:47"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</sheetData>
  <autoFilter ref="A5:AU105">
    <sortState ref="A6:AU105">
      <sortCondition ref="B5:B105"/>
    </sortState>
  </autoFilter>
  <mergeCells count="5">
    <mergeCell ref="V3:AH3"/>
    <mergeCell ref="AI3:AU3"/>
    <mergeCell ref="C4:E4"/>
    <mergeCell ref="F4:H4"/>
    <mergeCell ref="I3:U3"/>
  </mergeCells>
  <conditionalFormatting sqref="H6:H105">
    <cfRule type="cellIs" dxfId="1" priority="37" operator="equal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04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0.42578125" bestFit="1" customWidth="1"/>
    <col min="4" max="4" width="13.7109375" customWidth="1"/>
    <col min="5" max="5" width="11.140625" bestFit="1" customWidth="1"/>
    <col min="6" max="6" width="15.140625" customWidth="1"/>
    <col min="7" max="7" width="14.7109375" bestFit="1" customWidth="1"/>
    <col min="8" max="8" width="15.140625" customWidth="1"/>
    <col min="9" max="9" width="14.42578125" customWidth="1"/>
    <col min="10" max="17" width="14.85546875" customWidth="1"/>
    <col min="18" max="18" width="15.85546875" customWidth="1"/>
    <col min="19" max="19" width="18" customWidth="1"/>
    <col min="20" max="20" width="15.140625" customWidth="1"/>
    <col min="21" max="21" width="14.7109375" bestFit="1" customWidth="1"/>
    <col min="22" max="22" width="15.140625" customWidth="1"/>
    <col min="23" max="23" width="24.140625" bestFit="1" customWidth="1"/>
    <col min="24" max="24" width="33.42578125" customWidth="1"/>
    <col min="25" max="25" width="15.140625" bestFit="1" customWidth="1"/>
    <col min="26" max="26" width="14.7109375" bestFit="1" customWidth="1"/>
    <col min="27" max="27" width="15.140625" bestFit="1" customWidth="1"/>
    <col min="28" max="28" width="14.42578125" customWidth="1"/>
    <col min="29" max="36" width="14.85546875" customWidth="1"/>
    <col min="37" max="37" width="39.42578125" customWidth="1"/>
  </cols>
  <sheetData>
    <row r="1" spans="1:37">
      <c r="A1" s="1"/>
      <c r="B1" s="1"/>
      <c r="C1" s="37"/>
      <c r="D1" s="37"/>
      <c r="E1" s="3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37"/>
      <c r="T1" s="110" t="s">
        <v>109</v>
      </c>
      <c r="U1" s="110"/>
      <c r="V1" s="110"/>
      <c r="W1" s="1"/>
      <c r="X1" s="1"/>
      <c r="Y1" s="110" t="s">
        <v>117</v>
      </c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</row>
    <row r="2" spans="1:37">
      <c r="A2" s="1"/>
      <c r="B2" s="1"/>
      <c r="C2" s="111" t="s">
        <v>160</v>
      </c>
      <c r="D2" s="111"/>
      <c r="E2" s="111"/>
      <c r="F2" s="37">
        <v>2018</v>
      </c>
      <c r="G2" s="37">
        <v>2017</v>
      </c>
      <c r="H2" s="1">
        <v>2016</v>
      </c>
      <c r="I2" s="1">
        <v>2015</v>
      </c>
      <c r="J2" s="37">
        <v>2014</v>
      </c>
      <c r="K2" s="37">
        <v>2013</v>
      </c>
      <c r="L2" s="37">
        <v>2012</v>
      </c>
      <c r="M2" s="37">
        <v>2011</v>
      </c>
      <c r="N2" s="37">
        <v>2010</v>
      </c>
      <c r="O2" s="37">
        <v>2009</v>
      </c>
      <c r="P2" s="37">
        <v>2008</v>
      </c>
      <c r="Q2" s="37">
        <v>2007</v>
      </c>
      <c r="R2" s="37">
        <v>2006</v>
      </c>
      <c r="S2" s="37"/>
      <c r="T2" s="1">
        <f>F2</f>
        <v>2018</v>
      </c>
      <c r="U2" s="1">
        <f>G2</f>
        <v>2017</v>
      </c>
      <c r="V2" s="1">
        <f>H2</f>
        <v>2016</v>
      </c>
      <c r="W2" s="1"/>
      <c r="X2" s="1"/>
      <c r="Y2" s="1">
        <f t="shared" ref="Y2:AJ2" si="0">F2</f>
        <v>2018</v>
      </c>
      <c r="Z2" s="1">
        <f t="shared" si="0"/>
        <v>2017</v>
      </c>
      <c r="AA2" s="1">
        <f t="shared" si="0"/>
        <v>2016</v>
      </c>
      <c r="AB2" s="1">
        <f t="shared" si="0"/>
        <v>2015</v>
      </c>
      <c r="AC2" s="1">
        <f t="shared" si="0"/>
        <v>2014</v>
      </c>
      <c r="AD2" s="1">
        <f t="shared" si="0"/>
        <v>2013</v>
      </c>
      <c r="AE2" s="1">
        <f t="shared" si="0"/>
        <v>2012</v>
      </c>
      <c r="AF2" s="1">
        <f t="shared" si="0"/>
        <v>2011</v>
      </c>
      <c r="AG2" s="1">
        <f t="shared" si="0"/>
        <v>2010</v>
      </c>
      <c r="AH2" s="1">
        <f t="shared" si="0"/>
        <v>2009</v>
      </c>
      <c r="AI2" s="1">
        <f t="shared" si="0"/>
        <v>2008</v>
      </c>
      <c r="AJ2" s="1">
        <f t="shared" si="0"/>
        <v>2007</v>
      </c>
    </row>
    <row r="3" spans="1:37">
      <c r="A3" s="1" t="s">
        <v>0</v>
      </c>
      <c r="B3" s="1" t="s">
        <v>1</v>
      </c>
      <c r="C3" s="37" t="s">
        <v>161</v>
      </c>
      <c r="D3" s="37" t="s">
        <v>162</v>
      </c>
      <c r="E3" s="37" t="s">
        <v>132</v>
      </c>
      <c r="F3" s="37" t="s">
        <v>163</v>
      </c>
      <c r="G3" s="37" t="s">
        <v>106</v>
      </c>
      <c r="H3" s="1" t="s">
        <v>107</v>
      </c>
      <c r="I3" s="37" t="s">
        <v>96</v>
      </c>
      <c r="J3" s="37" t="s">
        <v>97</v>
      </c>
      <c r="K3" s="37" t="s">
        <v>98</v>
      </c>
      <c r="L3" s="37" t="s">
        <v>99</v>
      </c>
      <c r="M3" s="37" t="s">
        <v>100</v>
      </c>
      <c r="N3" s="37" t="s">
        <v>101</v>
      </c>
      <c r="O3" s="37" t="s">
        <v>102</v>
      </c>
      <c r="P3" s="37" t="s">
        <v>103</v>
      </c>
      <c r="Q3" s="37" t="s">
        <v>104</v>
      </c>
      <c r="R3" s="37" t="s">
        <v>105</v>
      </c>
      <c r="S3" s="37" t="s">
        <v>115</v>
      </c>
      <c r="T3" s="1" t="s">
        <v>163</v>
      </c>
      <c r="U3" s="1" t="s">
        <v>106</v>
      </c>
      <c r="V3" s="1" t="s">
        <v>107</v>
      </c>
      <c r="W3" s="1" t="s">
        <v>155</v>
      </c>
      <c r="X3" s="1" t="s">
        <v>116</v>
      </c>
      <c r="Y3" s="37" t="s">
        <v>163</v>
      </c>
      <c r="Z3" s="1" t="s">
        <v>106</v>
      </c>
      <c r="AA3" s="1" t="s">
        <v>107</v>
      </c>
      <c r="AB3" s="1" t="s">
        <v>96</v>
      </c>
      <c r="AC3" s="1" t="s">
        <v>97</v>
      </c>
      <c r="AD3" s="1" t="s">
        <v>98</v>
      </c>
      <c r="AE3" s="1" t="s">
        <v>99</v>
      </c>
      <c r="AF3" s="1" t="s">
        <v>100</v>
      </c>
      <c r="AG3" s="1" t="s">
        <v>101</v>
      </c>
      <c r="AH3" s="1" t="s">
        <v>102</v>
      </c>
      <c r="AI3" s="1" t="s">
        <v>103</v>
      </c>
      <c r="AJ3" s="1" t="s">
        <v>104</v>
      </c>
      <c r="AK3" s="1" t="s">
        <v>118</v>
      </c>
    </row>
    <row r="4" spans="1:37">
      <c r="A4" t="s">
        <v>78</v>
      </c>
      <c r="B4" t="s">
        <v>159</v>
      </c>
      <c r="C4" s="60">
        <v>31</v>
      </c>
      <c r="D4" s="60">
        <v>12</v>
      </c>
      <c r="E4" s="60">
        <v>2016</v>
      </c>
      <c r="F4" s="101">
        <v>109</v>
      </c>
      <c r="G4" s="101">
        <v>99.6</v>
      </c>
      <c r="H4" s="101">
        <v>94.9</v>
      </c>
      <c r="I4" s="96">
        <v>91.53</v>
      </c>
      <c r="J4" s="57">
        <v>96.98</v>
      </c>
      <c r="K4" s="57">
        <v>103.44</v>
      </c>
      <c r="L4" s="57">
        <v>95.32</v>
      </c>
      <c r="M4" s="57">
        <v>82.12</v>
      </c>
      <c r="N4" s="57">
        <v>80.680000000000007</v>
      </c>
      <c r="O4" s="57">
        <v>75.489999999999995</v>
      </c>
      <c r="P4" s="57">
        <v>60.72</v>
      </c>
      <c r="Q4" s="57">
        <v>59.74</v>
      </c>
      <c r="R4" s="57">
        <v>54.48</v>
      </c>
      <c r="S4" s="97">
        <f t="shared" ref="S4:S35" si="1">AVERAGE(F4:R4)</f>
        <v>84.92307692307692</v>
      </c>
      <c r="T4" s="4">
        <f t="shared" ref="T4:T35" ca="1" si="2">IF(DAYS360(TODAY(),DATE(E4+2,D4,C4))&gt;=720,0,360-U4)</f>
        <v>0</v>
      </c>
      <c r="U4" s="4">
        <f t="shared" ref="U4:U35" ca="1" si="3">IF(DAYS360(TODAY(),DATE(E4+1,D4,C4))&lt;=360,DAYS360(TODAY(),DATE(E4+1,D4,C4)),360-V4)</f>
        <v>108</v>
      </c>
      <c r="V4" s="4">
        <f t="shared" ref="V4:V35" ca="1" si="4">IF(DATE(E4,D4,C4)&lt;=TODAY(),0,DAYS360(TODAY(),DATE(E4,D4,C4)))</f>
        <v>252</v>
      </c>
      <c r="W4" s="13">
        <f t="shared" ref="W4:W35" ca="1" si="5">(F4/360*T4)+(G4/360*U4)+(H4/360*V4)</f>
        <v>96.31</v>
      </c>
      <c r="X4" s="5">
        <f t="shared" ref="X4:X35" ca="1" si="6">IF(W4&lt;0,IF(S4&lt;0,((W4/S4)-1)*-1,(W4/S4)-1),IF(S4&lt;0,ABS((W4/S4)-1),(W4/S4)-1))</f>
        <v>0.1340851449275362</v>
      </c>
      <c r="Y4" s="15">
        <f t="shared" ref="Y4:Y35" si="7">IF(F4&lt;&gt;"",IF(G4&lt;&gt;"",IF(F4&lt;0,IF(G4&lt;0,((F4/G4)-1)*-1,(F4/G4)-1),IF(G4&lt;0,ABS((F4/G4)-1),(F4/G4)-1))),99.99999)</f>
        <v>9.4377510040160706E-2</v>
      </c>
      <c r="Z4" s="15">
        <f t="shared" ref="Z4:Z35" si="8">IF(H4&lt;&gt;"",IF(G4&lt;0,IF(H4&lt;0,((G4/H4)-1)*-1,(G4/H4)-1),IF(H4&lt;0,ABS((G4/H4)-1),(G4/H4)-1)),99.99999)</f>
        <v>4.952581664910416E-2</v>
      </c>
      <c r="AA4" s="15">
        <f t="shared" ref="AA4:AA35" si="9">IF(I4&lt;&gt;"",IF(H4&lt;0,IF(I4&lt;0,((H4/I4)-1)*-1,(H4/I4)-1),IF(I4&lt;0,ABS((H4/I4)-1),(H4/I4)-1)),99.99999)</f>
        <v>3.6818529443898296E-2</v>
      </c>
      <c r="AB4" s="15">
        <f t="shared" ref="AB4:AB35" si="10">IF(J4&lt;&gt;"",IF(I4&lt;0,IF(J4&lt;0,((I4/J4)-1)*-1,(I4/J4)-1),IF(J4&lt;0,ABS((I4/J4)-1),(I4/J4)-1)),99.99999)</f>
        <v>-5.6197154052382015E-2</v>
      </c>
      <c r="AC4" s="15">
        <f t="shared" ref="AC4:AC35" si="11">IF(K4&lt;&gt;"",IF(J4&lt;0,IF(K4&lt;0,((J4/K4)-1)*-1,(J4/K4)-1),IF(K4&lt;0,ABS((J4/K4)-1),(J4/K4)-1)),99.99999)</f>
        <v>-6.245166279969061E-2</v>
      </c>
      <c r="AD4" s="15">
        <f t="shared" ref="AD4:AD35" si="12">IF(L4&lt;&gt;"",IF(K4&lt;0,IF(L4&lt;0,((K4/L4)-1)*-1,(K4/L4)-1),IF(L4&lt;0,ABS((K4/L4)-1),(K4/L4)-1)),99.99999)</f>
        <v>8.5186739404112588E-2</v>
      </c>
      <c r="AE4" s="15">
        <f t="shared" ref="AE4:AE35" si="13">IF(M4&lt;&gt;"",IF(L4&lt;0,IF(M4&lt;0,((L4/M4)-1)*-1,(L4/M4)-1),IF(M4&lt;0,ABS((L4/M4)-1),(L4/M4)-1)),99.99999)</f>
        <v>0.16074037993180701</v>
      </c>
      <c r="AF4" s="15">
        <f t="shared" ref="AF4:AF35" si="14">IF(N4&lt;&gt;"",IF(M4&lt;0,IF(N4&lt;0,((M4/N4)-1)*-1,(M4/N4)-1),IF(N4&lt;0,ABS((M4/N4)-1),(M4/N4)-1)),99.99999)</f>
        <v>1.7848289538919149E-2</v>
      </c>
      <c r="AG4" s="15">
        <f t="shared" ref="AG4:AG35" si="15">IF(O4&lt;&gt;"",IF(N4&lt;0,IF(O4&lt;0,((N4/O4)-1)*-1,(N4/O4)-1),IF(O4&lt;0,ABS((N4/O4)-1),(N4/O4)-1)),99.99999)</f>
        <v>6.8750827924228597E-2</v>
      </c>
      <c r="AH4" s="15">
        <f t="shared" ref="AH4:AH35" si="16">IF(P4&lt;&gt;"",IF(O4&lt;0,IF(P4&lt;0,((O4/P4)-1)*-1,(O4/P4)-1),IF(P4&lt;0,ABS((O4/P4)-1),(O4/P4)-1)),99.99999)</f>
        <v>0.24324769433465088</v>
      </c>
      <c r="AI4" s="15">
        <f t="shared" ref="AI4:AI35" si="17">IF(Q4&lt;&gt;"",IF(P4&lt;0,IF(Q4&lt;0,((P4/Q4)-1)*-1,(P4/Q4)-1),IF(Q4&lt;0,ABS((P4/Q4)-1),(P4/Q4)-1)),99.99999)</f>
        <v>1.6404419149648408E-2</v>
      </c>
      <c r="AJ4" s="15">
        <f t="shared" ref="AJ4:AJ35" si="18">IF(R4&lt;&gt;"",IF(Q4&lt;0,IF(R4&lt;0,((Q4/R4)-1)*-1,(Q4/R4)-1),IF(R4&lt;0,ABS((Q4/R4)-1),(Q4/R4)-1)),99.99999)</f>
        <v>9.6549192364170366E-2</v>
      </c>
      <c r="AK4" s="5">
        <f t="shared" ref="AK4:AK35" si="19">MIN(Y4:AJ4)</f>
        <v>-6.245166279969061E-2</v>
      </c>
    </row>
    <row r="5" spans="1:37">
      <c r="A5" t="s">
        <v>2</v>
      </c>
      <c r="B5" t="s">
        <v>3</v>
      </c>
      <c r="C5" s="60">
        <v>31</v>
      </c>
      <c r="D5" s="60">
        <v>12</v>
      </c>
      <c r="E5" s="60">
        <v>2016</v>
      </c>
      <c r="F5" s="101">
        <v>29.2</v>
      </c>
      <c r="G5" s="101">
        <v>29.9</v>
      </c>
      <c r="H5" s="101">
        <v>28.4</v>
      </c>
      <c r="I5" s="96">
        <v>32.46</v>
      </c>
      <c r="J5" s="57">
        <v>29.5</v>
      </c>
      <c r="K5" s="57">
        <v>30.64</v>
      </c>
      <c r="L5" s="57">
        <v>25.53</v>
      </c>
      <c r="M5" s="57">
        <v>23.98</v>
      </c>
      <c r="N5" s="57">
        <v>23.96</v>
      </c>
      <c r="O5" s="57">
        <v>21.76</v>
      </c>
      <c r="P5" s="57">
        <v>19.02</v>
      </c>
      <c r="Q5" s="57">
        <v>18.04</v>
      </c>
      <c r="R5" s="57">
        <v>15.06</v>
      </c>
      <c r="S5" s="97">
        <f t="shared" si="1"/>
        <v>25.188461538461542</v>
      </c>
      <c r="T5" s="4">
        <f t="shared" ca="1" si="2"/>
        <v>0</v>
      </c>
      <c r="U5" s="4">
        <f t="shared" ca="1" si="3"/>
        <v>108</v>
      </c>
      <c r="V5" s="4">
        <f t="shared" ca="1" si="4"/>
        <v>252</v>
      </c>
      <c r="W5" s="13">
        <f t="shared" ca="1" si="5"/>
        <v>28.849999999999998</v>
      </c>
      <c r="X5" s="5">
        <f t="shared" ca="1" si="6"/>
        <v>0.14536570468773835</v>
      </c>
      <c r="Y5" s="15">
        <f t="shared" si="7"/>
        <v>-2.3411371237458178E-2</v>
      </c>
      <c r="Z5" s="15">
        <f t="shared" si="8"/>
        <v>5.2816901408450745E-2</v>
      </c>
      <c r="AA5" s="15">
        <f t="shared" si="9"/>
        <v>-0.12507701786814551</v>
      </c>
      <c r="AB5" s="15">
        <f t="shared" si="10"/>
        <v>0.10033898305084743</v>
      </c>
      <c r="AC5" s="15">
        <f t="shared" si="11"/>
        <v>-3.7206266318537851E-2</v>
      </c>
      <c r="AD5" s="15">
        <f t="shared" si="12"/>
        <v>0.20015667841754792</v>
      </c>
      <c r="AE5" s="15">
        <f t="shared" si="13"/>
        <v>6.4637197664720647E-2</v>
      </c>
      <c r="AF5" s="15">
        <f t="shared" si="14"/>
        <v>8.3472454090149917E-4</v>
      </c>
      <c r="AG5" s="15">
        <f t="shared" si="15"/>
        <v>0.10110294117647056</v>
      </c>
      <c r="AH5" s="15">
        <f t="shared" si="16"/>
        <v>0.14405888538380673</v>
      </c>
      <c r="AI5" s="15">
        <f t="shared" si="17"/>
        <v>5.4323725055432481E-2</v>
      </c>
      <c r="AJ5" s="15">
        <f t="shared" si="18"/>
        <v>0.19787516600265587</v>
      </c>
      <c r="AK5" s="5">
        <f t="shared" si="19"/>
        <v>-0.12507701786814551</v>
      </c>
    </row>
    <row r="6" spans="1:37">
      <c r="A6" t="s">
        <v>4</v>
      </c>
      <c r="B6" t="s">
        <v>5</v>
      </c>
      <c r="C6" s="60">
        <v>31</v>
      </c>
      <c r="D6" s="60">
        <v>12</v>
      </c>
      <c r="E6" s="60">
        <v>2016</v>
      </c>
      <c r="F6" s="101">
        <v>44.5</v>
      </c>
      <c r="G6" s="101">
        <v>36.4</v>
      </c>
      <c r="H6" s="101">
        <v>30.2</v>
      </c>
      <c r="I6" s="96">
        <v>24.32</v>
      </c>
      <c r="J6" s="57">
        <v>22.71</v>
      </c>
      <c r="K6" s="57">
        <v>22.37</v>
      </c>
      <c r="L6" s="57">
        <v>16.8</v>
      </c>
      <c r="M6" s="57">
        <v>14.02</v>
      </c>
      <c r="N6" s="57">
        <v>10.98</v>
      </c>
      <c r="O6" s="57">
        <v>8.5399999999999991</v>
      </c>
      <c r="P6" s="58"/>
      <c r="Q6" s="58"/>
      <c r="R6" s="58"/>
      <c r="S6" s="97">
        <f t="shared" si="1"/>
        <v>23.084000000000003</v>
      </c>
      <c r="T6" s="4">
        <f t="shared" ca="1" si="2"/>
        <v>0</v>
      </c>
      <c r="U6" s="4">
        <f t="shared" ca="1" si="3"/>
        <v>108</v>
      </c>
      <c r="V6" s="4">
        <f t="shared" ca="1" si="4"/>
        <v>252</v>
      </c>
      <c r="W6" s="13">
        <f t="shared" ca="1" si="5"/>
        <v>32.06</v>
      </c>
      <c r="X6" s="5">
        <f t="shared" ca="1" si="6"/>
        <v>0.38884075550164598</v>
      </c>
      <c r="Y6" s="15">
        <f t="shared" si="7"/>
        <v>0.22252747252747263</v>
      </c>
      <c r="Z6" s="15">
        <f t="shared" si="8"/>
        <v>0.20529801324503305</v>
      </c>
      <c r="AA6" s="15">
        <f t="shared" si="9"/>
        <v>0.24177631578947367</v>
      </c>
      <c r="AB6" s="15">
        <f t="shared" si="10"/>
        <v>7.0893879348304711E-2</v>
      </c>
      <c r="AC6" s="15">
        <f t="shared" si="11"/>
        <v>1.5198927134555174E-2</v>
      </c>
      <c r="AD6" s="15">
        <f t="shared" si="12"/>
        <v>0.33154761904761898</v>
      </c>
      <c r="AE6" s="15">
        <f t="shared" si="13"/>
        <v>0.19828815977175474</v>
      </c>
      <c r="AF6" s="15">
        <f t="shared" si="14"/>
        <v>0.27686703096539156</v>
      </c>
      <c r="AG6" s="15">
        <f t="shared" si="15"/>
        <v>0.28571428571428581</v>
      </c>
      <c r="AH6" s="15">
        <f t="shared" si="16"/>
        <v>99.999989999999997</v>
      </c>
      <c r="AI6" s="15">
        <f t="shared" si="17"/>
        <v>99.999989999999997</v>
      </c>
      <c r="AJ6" s="15">
        <f t="shared" si="18"/>
        <v>99.999989999999997</v>
      </c>
      <c r="AK6" s="5">
        <f t="shared" si="19"/>
        <v>1.5198927134555174E-2</v>
      </c>
    </row>
    <row r="7" spans="1:37">
      <c r="A7" t="s">
        <v>6</v>
      </c>
      <c r="B7" t="s">
        <v>7</v>
      </c>
      <c r="C7" s="60">
        <v>31</v>
      </c>
      <c r="D7" s="60">
        <v>12</v>
      </c>
      <c r="E7" s="60">
        <v>2016</v>
      </c>
      <c r="F7" s="101">
        <v>24.5</v>
      </c>
      <c r="G7" s="101">
        <v>23.8</v>
      </c>
      <c r="H7" s="101">
        <v>22.4</v>
      </c>
      <c r="I7" s="96">
        <v>19.55</v>
      </c>
      <c r="J7" s="57">
        <v>21.75</v>
      </c>
      <c r="K7" s="57">
        <v>19.399999999999999</v>
      </c>
      <c r="L7" s="57">
        <v>18.899999999999999</v>
      </c>
      <c r="M7" s="57">
        <v>17.21</v>
      </c>
      <c r="N7" s="57">
        <v>17.850000000000001</v>
      </c>
      <c r="O7" s="58"/>
      <c r="P7" s="58"/>
      <c r="Q7" s="58"/>
      <c r="R7" s="58"/>
      <c r="S7" s="97">
        <f t="shared" si="1"/>
        <v>20.595555555555553</v>
      </c>
      <c r="T7" s="4">
        <f t="shared" ca="1" si="2"/>
        <v>0</v>
      </c>
      <c r="U7" s="4">
        <f t="shared" ca="1" si="3"/>
        <v>108</v>
      </c>
      <c r="V7" s="4">
        <f t="shared" ca="1" si="4"/>
        <v>252</v>
      </c>
      <c r="W7" s="13">
        <f t="shared" ca="1" si="5"/>
        <v>22.82</v>
      </c>
      <c r="X7" s="5">
        <f t="shared" ca="1" si="6"/>
        <v>0.10800604229607269</v>
      </c>
      <c r="Y7" s="15">
        <f t="shared" si="7"/>
        <v>2.9411764705882248E-2</v>
      </c>
      <c r="Z7" s="15">
        <f t="shared" si="8"/>
        <v>6.25E-2</v>
      </c>
      <c r="AA7" s="15">
        <f t="shared" si="9"/>
        <v>0.1457800511508951</v>
      </c>
      <c r="AB7" s="15">
        <f t="shared" si="10"/>
        <v>-0.10114942528735626</v>
      </c>
      <c r="AC7" s="15">
        <f t="shared" si="11"/>
        <v>0.12113402061855671</v>
      </c>
      <c r="AD7" s="15">
        <f t="shared" si="12"/>
        <v>2.6455026455026509E-2</v>
      </c>
      <c r="AE7" s="15">
        <f t="shared" si="13"/>
        <v>9.8198721673445455E-2</v>
      </c>
      <c r="AF7" s="15">
        <f t="shared" si="14"/>
        <v>-3.5854341736694662E-2</v>
      </c>
      <c r="AG7" s="15">
        <f t="shared" si="15"/>
        <v>99.999989999999997</v>
      </c>
      <c r="AH7" s="15">
        <f t="shared" si="16"/>
        <v>99.999989999999997</v>
      </c>
      <c r="AI7" s="15">
        <f t="shared" si="17"/>
        <v>99.999989999999997</v>
      </c>
      <c r="AJ7" s="15">
        <f t="shared" si="18"/>
        <v>99.999989999999997</v>
      </c>
      <c r="AK7" s="5">
        <f t="shared" si="19"/>
        <v>-0.10114942528735626</v>
      </c>
    </row>
    <row r="8" spans="1:37">
      <c r="A8" t="s">
        <v>8</v>
      </c>
      <c r="B8" t="s">
        <v>9</v>
      </c>
      <c r="C8" s="60">
        <v>31</v>
      </c>
      <c r="D8" s="60">
        <v>12</v>
      </c>
      <c r="E8" s="60">
        <v>2016</v>
      </c>
      <c r="F8" s="101">
        <v>25.3</v>
      </c>
      <c r="G8" s="101">
        <v>22</v>
      </c>
      <c r="H8" s="101">
        <v>19.600000000000001</v>
      </c>
      <c r="I8" s="96">
        <v>16.670000000000002</v>
      </c>
      <c r="J8" s="57">
        <v>14.44</v>
      </c>
      <c r="K8" s="57">
        <v>13.51</v>
      </c>
      <c r="L8" s="57">
        <v>13.04</v>
      </c>
      <c r="M8" s="57">
        <v>11.97</v>
      </c>
      <c r="N8" s="57">
        <v>11.59</v>
      </c>
      <c r="O8" s="57">
        <v>10.46</v>
      </c>
      <c r="P8" s="57">
        <v>9.76</v>
      </c>
      <c r="Q8" s="57">
        <v>8.2100000000000009</v>
      </c>
      <c r="R8" s="57">
        <v>7.1</v>
      </c>
      <c r="S8" s="97">
        <f t="shared" si="1"/>
        <v>14.126923076923077</v>
      </c>
      <c r="T8" s="4">
        <f t="shared" ca="1" si="2"/>
        <v>0</v>
      </c>
      <c r="U8" s="4">
        <f t="shared" ca="1" si="3"/>
        <v>108</v>
      </c>
      <c r="V8" s="4">
        <f t="shared" ca="1" si="4"/>
        <v>252</v>
      </c>
      <c r="W8" s="13">
        <f t="shared" ca="1" si="5"/>
        <v>20.32</v>
      </c>
      <c r="X8" s="5">
        <f t="shared" ca="1" si="6"/>
        <v>0.43838823849714137</v>
      </c>
      <c r="Y8" s="15">
        <f t="shared" si="7"/>
        <v>0.15000000000000013</v>
      </c>
      <c r="Z8" s="15">
        <f t="shared" si="8"/>
        <v>0.12244897959183665</v>
      </c>
      <c r="AA8" s="15">
        <f t="shared" si="9"/>
        <v>0.17576484703059392</v>
      </c>
      <c r="AB8" s="15">
        <f t="shared" si="10"/>
        <v>0.15443213296398905</v>
      </c>
      <c r="AC8" s="15">
        <f t="shared" si="11"/>
        <v>6.8837897853441854E-2</v>
      </c>
      <c r="AD8" s="15">
        <f t="shared" si="12"/>
        <v>3.6042944785276143E-2</v>
      </c>
      <c r="AE8" s="15">
        <f t="shared" si="13"/>
        <v>8.9390142021720909E-2</v>
      </c>
      <c r="AF8" s="15">
        <f t="shared" si="14"/>
        <v>3.2786885245901676E-2</v>
      </c>
      <c r="AG8" s="15">
        <f t="shared" si="15"/>
        <v>0.10803059273422555</v>
      </c>
      <c r="AH8" s="15">
        <f t="shared" si="16"/>
        <v>7.1721311475410054E-2</v>
      </c>
      <c r="AI8" s="15">
        <f t="shared" si="17"/>
        <v>0.18879415347137618</v>
      </c>
      <c r="AJ8" s="15">
        <f t="shared" si="18"/>
        <v>0.15633802816901432</v>
      </c>
      <c r="AK8" s="5">
        <f t="shared" si="19"/>
        <v>3.2786885245901676E-2</v>
      </c>
    </row>
    <row r="9" spans="1:37">
      <c r="A9" t="s">
        <v>10</v>
      </c>
      <c r="B9" t="s">
        <v>11</v>
      </c>
      <c r="C9" s="60">
        <v>31</v>
      </c>
      <c r="D9" s="60">
        <v>12</v>
      </c>
      <c r="E9" s="60">
        <v>2016</v>
      </c>
      <c r="F9" s="101">
        <v>12.2</v>
      </c>
      <c r="G9" s="101">
        <v>10.8</v>
      </c>
      <c r="H9" s="101">
        <v>9.7100000000000009</v>
      </c>
      <c r="I9" s="96">
        <v>9.1</v>
      </c>
      <c r="J9" s="57">
        <v>7.74</v>
      </c>
      <c r="K9" s="57">
        <v>8.15</v>
      </c>
      <c r="L9" s="57">
        <v>9.89</v>
      </c>
      <c r="M9" s="57">
        <v>9.11</v>
      </c>
      <c r="N9" s="57">
        <v>8.69</v>
      </c>
      <c r="O9" s="57">
        <v>6.76</v>
      </c>
      <c r="P9" s="57">
        <v>6.47</v>
      </c>
      <c r="Q9" s="57">
        <v>9.16</v>
      </c>
      <c r="R9" s="57">
        <v>9.33</v>
      </c>
      <c r="S9" s="97">
        <f t="shared" si="1"/>
        <v>9.008461538461539</v>
      </c>
      <c r="T9" s="4">
        <f t="shared" ca="1" si="2"/>
        <v>0</v>
      </c>
      <c r="U9" s="4">
        <f t="shared" ca="1" si="3"/>
        <v>108</v>
      </c>
      <c r="V9" s="4">
        <f t="shared" ca="1" si="4"/>
        <v>252</v>
      </c>
      <c r="W9" s="13">
        <f t="shared" ca="1" si="5"/>
        <v>10.037000000000001</v>
      </c>
      <c r="X9" s="5">
        <f t="shared" ca="1" si="6"/>
        <v>0.11417470753991976</v>
      </c>
      <c r="Y9" s="15">
        <f t="shared" si="7"/>
        <v>0.12962962962962954</v>
      </c>
      <c r="Z9" s="15">
        <f t="shared" si="8"/>
        <v>0.11225540679711643</v>
      </c>
      <c r="AA9" s="15">
        <f t="shared" si="9"/>
        <v>6.7032967032967239E-2</v>
      </c>
      <c r="AB9" s="15">
        <f t="shared" si="10"/>
        <v>0.17571059431524549</v>
      </c>
      <c r="AC9" s="15">
        <f t="shared" si="11"/>
        <v>-5.0306748466257711E-2</v>
      </c>
      <c r="AD9" s="15">
        <f t="shared" si="12"/>
        <v>-0.17593528816986859</v>
      </c>
      <c r="AE9" s="15">
        <f t="shared" si="13"/>
        <v>8.5620197585071445E-2</v>
      </c>
      <c r="AF9" s="15">
        <f t="shared" si="14"/>
        <v>4.833141542002295E-2</v>
      </c>
      <c r="AG9" s="15">
        <f t="shared" si="15"/>
        <v>0.28550295857988162</v>
      </c>
      <c r="AH9" s="15">
        <f t="shared" si="16"/>
        <v>4.4822256568779029E-2</v>
      </c>
      <c r="AI9" s="15">
        <f t="shared" si="17"/>
        <v>-0.29366812227074235</v>
      </c>
      <c r="AJ9" s="15">
        <f t="shared" si="18"/>
        <v>-1.8220793140407254E-2</v>
      </c>
      <c r="AK9" s="5">
        <f t="shared" si="19"/>
        <v>-0.29366812227074235</v>
      </c>
    </row>
    <row r="10" spans="1:37">
      <c r="A10" t="s">
        <v>12</v>
      </c>
      <c r="B10" t="s">
        <v>13</v>
      </c>
      <c r="C10" s="60">
        <v>31</v>
      </c>
      <c r="D10" s="60">
        <v>12</v>
      </c>
      <c r="E10" s="60">
        <v>2016</v>
      </c>
      <c r="F10" s="101">
        <v>7.87</v>
      </c>
      <c r="G10" s="101">
        <v>6.93</v>
      </c>
      <c r="H10" s="101">
        <v>6.53</v>
      </c>
      <c r="I10" s="96">
        <v>8.2799999999999994</v>
      </c>
      <c r="J10" s="57">
        <v>7.51</v>
      </c>
      <c r="K10" s="57">
        <v>7.2</v>
      </c>
      <c r="L10" s="57">
        <v>7.07</v>
      </c>
      <c r="M10" s="57">
        <v>9.24</v>
      </c>
      <c r="N10" s="57">
        <v>9.9600000000000009</v>
      </c>
      <c r="O10" s="57">
        <v>9.6199999999999992</v>
      </c>
      <c r="P10" s="57">
        <v>9.89</v>
      </c>
      <c r="Q10" s="57">
        <v>10.37</v>
      </c>
      <c r="R10" s="57">
        <v>11.39</v>
      </c>
      <c r="S10" s="97">
        <f t="shared" si="1"/>
        <v>8.6046153846153857</v>
      </c>
      <c r="T10" s="4">
        <f t="shared" ca="1" si="2"/>
        <v>0</v>
      </c>
      <c r="U10" s="4">
        <f t="shared" ca="1" si="3"/>
        <v>108</v>
      </c>
      <c r="V10" s="4">
        <f t="shared" ca="1" si="4"/>
        <v>252</v>
      </c>
      <c r="W10" s="13">
        <f t="shared" ca="1" si="5"/>
        <v>6.65</v>
      </c>
      <c r="X10" s="5">
        <f t="shared" ca="1" si="6"/>
        <v>-0.2271589486858574</v>
      </c>
      <c r="Y10" s="15">
        <f t="shared" si="7"/>
        <v>0.13564213564213579</v>
      </c>
      <c r="Z10" s="15">
        <f t="shared" si="8"/>
        <v>6.1255742725880413E-2</v>
      </c>
      <c r="AA10" s="15">
        <f t="shared" si="9"/>
        <v>-0.21135265700483086</v>
      </c>
      <c r="AB10" s="15">
        <f t="shared" si="10"/>
        <v>0.10252996005326231</v>
      </c>
      <c r="AC10" s="15">
        <f t="shared" si="11"/>
        <v>4.3055555555555403E-2</v>
      </c>
      <c r="AD10" s="15">
        <f t="shared" si="12"/>
        <v>1.8387553041018467E-2</v>
      </c>
      <c r="AE10" s="15">
        <f t="shared" si="13"/>
        <v>-0.23484848484848486</v>
      </c>
      <c r="AF10" s="15">
        <f t="shared" si="14"/>
        <v>-7.2289156626506035E-2</v>
      </c>
      <c r="AG10" s="15">
        <f t="shared" si="15"/>
        <v>3.5343035343035512E-2</v>
      </c>
      <c r="AH10" s="15">
        <f t="shared" si="16"/>
        <v>-2.7300303336703857E-2</v>
      </c>
      <c r="AI10" s="15">
        <f t="shared" si="17"/>
        <v>-4.6287367405978608E-2</v>
      </c>
      <c r="AJ10" s="15">
        <f t="shared" si="18"/>
        <v>-8.9552238805970297E-2</v>
      </c>
      <c r="AK10" s="5">
        <f t="shared" si="19"/>
        <v>-0.23484848484848486</v>
      </c>
    </row>
    <row r="11" spans="1:37">
      <c r="A11" s="52" t="s">
        <v>312</v>
      </c>
      <c r="B11" s="52" t="s">
        <v>313</v>
      </c>
      <c r="C11" s="104">
        <v>31</v>
      </c>
      <c r="D11" s="104">
        <v>12</v>
      </c>
      <c r="E11" s="104">
        <v>2016</v>
      </c>
      <c r="F11" s="101">
        <v>28.1</v>
      </c>
      <c r="G11" s="101">
        <v>25</v>
      </c>
      <c r="H11" s="101">
        <v>22.6</v>
      </c>
      <c r="I11" s="96">
        <v>20.04</v>
      </c>
      <c r="J11" s="57">
        <v>17.239999999999998</v>
      </c>
      <c r="K11" s="57">
        <v>15.2</v>
      </c>
      <c r="L11" s="57">
        <v>14.28</v>
      </c>
      <c r="M11" s="57">
        <v>12.19</v>
      </c>
      <c r="N11" s="57">
        <v>10.18</v>
      </c>
      <c r="O11" s="57">
        <v>8.83</v>
      </c>
      <c r="P11" s="57">
        <v>8.09</v>
      </c>
      <c r="Q11" s="57">
        <v>7.33</v>
      </c>
      <c r="R11" s="57">
        <v>6.84</v>
      </c>
      <c r="S11" s="97">
        <f t="shared" si="1"/>
        <v>15.070769230769233</v>
      </c>
      <c r="T11" s="4">
        <f t="shared" ca="1" si="2"/>
        <v>0</v>
      </c>
      <c r="U11" s="4">
        <f t="shared" ca="1" si="3"/>
        <v>108</v>
      </c>
      <c r="V11" s="4">
        <f t="shared" ca="1" si="4"/>
        <v>252</v>
      </c>
      <c r="W11" s="13">
        <f t="shared" ca="1" si="5"/>
        <v>23.32</v>
      </c>
      <c r="X11" s="5">
        <f t="shared" ca="1" si="6"/>
        <v>0.54736627194773346</v>
      </c>
      <c r="Y11" s="15">
        <f t="shared" si="7"/>
        <v>0.12400000000000011</v>
      </c>
      <c r="Z11" s="15">
        <f t="shared" si="8"/>
        <v>0.10619469026548667</v>
      </c>
      <c r="AA11" s="15">
        <f t="shared" si="9"/>
        <v>0.12774451097804396</v>
      </c>
      <c r="AB11" s="15">
        <f t="shared" si="10"/>
        <v>0.16241299303944312</v>
      </c>
      <c r="AC11" s="15">
        <f t="shared" si="11"/>
        <v>0.13421052631578934</v>
      </c>
      <c r="AD11" s="15">
        <f t="shared" si="12"/>
        <v>6.4425770308123242E-2</v>
      </c>
      <c r="AE11" s="15">
        <f t="shared" si="13"/>
        <v>0.17145200984413456</v>
      </c>
      <c r="AF11" s="15">
        <f t="shared" si="14"/>
        <v>0.19744597249508833</v>
      </c>
      <c r="AG11" s="15">
        <f t="shared" si="15"/>
        <v>0.15288788221970551</v>
      </c>
      <c r="AH11" s="15">
        <f t="shared" si="16"/>
        <v>9.1470951792336219E-2</v>
      </c>
      <c r="AI11" s="15">
        <f t="shared" si="17"/>
        <v>0.10368349249658926</v>
      </c>
      <c r="AJ11" s="15">
        <f t="shared" si="18"/>
        <v>7.1637426900584833E-2</v>
      </c>
      <c r="AK11" s="5">
        <f t="shared" si="19"/>
        <v>6.4425770308123242E-2</v>
      </c>
    </row>
    <row r="12" spans="1:37">
      <c r="A12" t="s">
        <v>14</v>
      </c>
      <c r="B12" t="s">
        <v>15</v>
      </c>
      <c r="C12" s="60">
        <v>31</v>
      </c>
      <c r="D12" s="60">
        <v>12</v>
      </c>
      <c r="E12" s="60">
        <v>2016</v>
      </c>
      <c r="F12" s="101">
        <v>25.7</v>
      </c>
      <c r="G12" s="101">
        <v>22.4</v>
      </c>
      <c r="H12" s="101">
        <v>20.3</v>
      </c>
      <c r="I12" s="96">
        <v>18.940000000000001</v>
      </c>
      <c r="J12" s="57">
        <v>15.88</v>
      </c>
      <c r="K12" s="57">
        <v>13.06</v>
      </c>
      <c r="L12" s="57">
        <v>11.53</v>
      </c>
      <c r="M12" s="57">
        <v>10.34</v>
      </c>
      <c r="N12" s="57">
        <v>7.99</v>
      </c>
      <c r="O12" s="57">
        <v>6.91</v>
      </c>
      <c r="P12" s="57">
        <v>5.86</v>
      </c>
      <c r="Q12" s="57">
        <v>5.22</v>
      </c>
      <c r="R12" s="57">
        <v>4.84</v>
      </c>
      <c r="S12" s="97">
        <f t="shared" si="1"/>
        <v>12.997692307692308</v>
      </c>
      <c r="T12" s="4">
        <f t="shared" ca="1" si="2"/>
        <v>0</v>
      </c>
      <c r="U12" s="4">
        <f t="shared" ca="1" si="3"/>
        <v>108</v>
      </c>
      <c r="V12" s="4">
        <f t="shared" ca="1" si="4"/>
        <v>252</v>
      </c>
      <c r="W12" s="13">
        <f t="shared" ca="1" si="5"/>
        <v>20.93</v>
      </c>
      <c r="X12" s="5">
        <f t="shared" ca="1" si="6"/>
        <v>0.61028584955909326</v>
      </c>
      <c r="Y12" s="15">
        <f t="shared" si="7"/>
        <v>0.1473214285714286</v>
      </c>
      <c r="Z12" s="15">
        <f t="shared" si="8"/>
        <v>0.10344827586206895</v>
      </c>
      <c r="AA12" s="15">
        <f t="shared" si="9"/>
        <v>7.1805702217528911E-2</v>
      </c>
      <c r="AB12" s="15">
        <f t="shared" si="10"/>
        <v>0.19269521410579338</v>
      </c>
      <c r="AC12" s="15">
        <f t="shared" si="11"/>
        <v>0.21592649310872902</v>
      </c>
      <c r="AD12" s="15">
        <f t="shared" si="12"/>
        <v>0.1326973113616654</v>
      </c>
      <c r="AE12" s="15">
        <f t="shared" si="13"/>
        <v>0.11508704061895547</v>
      </c>
      <c r="AF12" s="15">
        <f t="shared" si="14"/>
        <v>0.29411764705882337</v>
      </c>
      <c r="AG12" s="15">
        <f t="shared" si="15"/>
        <v>0.15629522431259035</v>
      </c>
      <c r="AH12" s="15">
        <f t="shared" si="16"/>
        <v>0.17918088737201354</v>
      </c>
      <c r="AI12" s="15">
        <f t="shared" si="17"/>
        <v>0.12260536398467448</v>
      </c>
      <c r="AJ12" s="15">
        <f t="shared" si="18"/>
        <v>7.8512396694214948E-2</v>
      </c>
      <c r="AK12" s="5">
        <f t="shared" si="19"/>
        <v>7.1805702217528911E-2</v>
      </c>
    </row>
    <row r="13" spans="1:37">
      <c r="A13" t="s">
        <v>16</v>
      </c>
      <c r="B13" t="s">
        <v>17</v>
      </c>
      <c r="C13" s="60">
        <v>30</v>
      </c>
      <c r="D13" s="60">
        <v>9</v>
      </c>
      <c r="E13" s="60">
        <v>2016</v>
      </c>
      <c r="F13" s="101">
        <v>51.4</v>
      </c>
      <c r="G13" s="101">
        <v>47.4</v>
      </c>
      <c r="H13" s="101">
        <v>44.5</v>
      </c>
      <c r="I13" s="96">
        <v>39.130000000000003</v>
      </c>
      <c r="J13" s="57">
        <v>35.14</v>
      </c>
      <c r="K13" s="57">
        <v>31.91</v>
      </c>
      <c r="L13" s="57">
        <v>34.880000000000003</v>
      </c>
      <c r="M13" s="57">
        <v>34.49</v>
      </c>
      <c r="N13" s="57">
        <v>31.01</v>
      </c>
      <c r="O13" s="57">
        <v>29.15</v>
      </c>
      <c r="P13" s="57">
        <v>29.29</v>
      </c>
      <c r="Q13" s="57">
        <v>31.72</v>
      </c>
      <c r="R13" s="57">
        <v>32.89</v>
      </c>
      <c r="S13" s="97">
        <f t="shared" si="1"/>
        <v>36.377692307692307</v>
      </c>
      <c r="T13" s="4">
        <f t="shared" ca="1" si="2"/>
        <v>0</v>
      </c>
      <c r="U13" s="4">
        <f t="shared" ca="1" si="3"/>
        <v>199</v>
      </c>
      <c r="V13" s="4">
        <f t="shared" ca="1" si="4"/>
        <v>161</v>
      </c>
      <c r="W13" s="13">
        <f t="shared" ca="1" si="5"/>
        <v>46.103055555555557</v>
      </c>
      <c r="X13" s="5">
        <f t="shared" ca="1" si="6"/>
        <v>0.26734415051959615</v>
      </c>
      <c r="Y13" s="15">
        <f t="shared" si="7"/>
        <v>8.4388185654008518E-2</v>
      </c>
      <c r="Z13" s="15">
        <f t="shared" si="8"/>
        <v>6.5168539325842767E-2</v>
      </c>
      <c r="AA13" s="15">
        <f t="shared" si="9"/>
        <v>0.13723485816509062</v>
      </c>
      <c r="AB13" s="15">
        <f t="shared" si="10"/>
        <v>0.11354581673306785</v>
      </c>
      <c r="AC13" s="15">
        <f t="shared" si="11"/>
        <v>0.10122218740206823</v>
      </c>
      <c r="AD13" s="15">
        <f t="shared" si="12"/>
        <v>-8.5149082568807377E-2</v>
      </c>
      <c r="AE13" s="15">
        <f t="shared" si="13"/>
        <v>1.1307625398666366E-2</v>
      </c>
      <c r="AF13" s="15">
        <f t="shared" si="14"/>
        <v>0.11222186391486622</v>
      </c>
      <c r="AG13" s="15">
        <f t="shared" si="15"/>
        <v>6.3807890222984609E-2</v>
      </c>
      <c r="AH13" s="15">
        <f t="shared" si="16"/>
        <v>-4.7797883236599947E-3</v>
      </c>
      <c r="AI13" s="15">
        <f t="shared" si="17"/>
        <v>-7.6607818411097095E-2</v>
      </c>
      <c r="AJ13" s="15">
        <f t="shared" si="18"/>
        <v>-3.5573122529644285E-2</v>
      </c>
      <c r="AK13" s="5">
        <f t="shared" si="19"/>
        <v>-8.5149082568807377E-2</v>
      </c>
    </row>
    <row r="14" spans="1:37">
      <c r="A14" t="s">
        <v>18</v>
      </c>
      <c r="B14" t="s">
        <v>19</v>
      </c>
      <c r="C14" s="60">
        <v>31</v>
      </c>
      <c r="D14" s="60">
        <v>12</v>
      </c>
      <c r="E14" s="60">
        <v>2016</v>
      </c>
      <c r="F14" s="101">
        <v>152</v>
      </c>
      <c r="G14" s="101">
        <v>147</v>
      </c>
      <c r="H14" s="101">
        <v>141</v>
      </c>
      <c r="I14" s="96">
        <v>138.16999999999999</v>
      </c>
      <c r="J14" s="57">
        <v>132.93</v>
      </c>
      <c r="K14" s="57">
        <v>109.71</v>
      </c>
      <c r="L14" s="57">
        <v>117.45</v>
      </c>
      <c r="M14" s="57">
        <v>98.65</v>
      </c>
      <c r="N14" s="57">
        <v>97.89</v>
      </c>
      <c r="O14" s="57">
        <v>88.49</v>
      </c>
      <c r="P14" s="57">
        <v>74.349999999999994</v>
      </c>
      <c r="Q14" s="57">
        <v>106.07</v>
      </c>
      <c r="R14" s="57">
        <v>116.8</v>
      </c>
      <c r="S14" s="97">
        <f t="shared" si="1"/>
        <v>116.96230769230769</v>
      </c>
      <c r="T14" s="4">
        <f t="shared" ca="1" si="2"/>
        <v>0</v>
      </c>
      <c r="U14" s="4">
        <f t="shared" ca="1" si="3"/>
        <v>108</v>
      </c>
      <c r="V14" s="4">
        <f t="shared" ca="1" si="4"/>
        <v>252</v>
      </c>
      <c r="W14" s="13">
        <f t="shared" ca="1" si="5"/>
        <v>142.80000000000001</v>
      </c>
      <c r="X14" s="5">
        <f t="shared" ca="1" si="6"/>
        <v>0.2209061433334869</v>
      </c>
      <c r="Y14" s="15">
        <f t="shared" si="7"/>
        <v>3.4013605442176909E-2</v>
      </c>
      <c r="Z14" s="15">
        <f t="shared" si="8"/>
        <v>4.2553191489361764E-2</v>
      </c>
      <c r="AA14" s="15">
        <f t="shared" si="9"/>
        <v>2.048201490917001E-2</v>
      </c>
      <c r="AB14" s="15">
        <f t="shared" si="10"/>
        <v>3.9419243210712329E-2</v>
      </c>
      <c r="AC14" s="15">
        <f t="shared" si="11"/>
        <v>0.21164889253486474</v>
      </c>
      <c r="AD14" s="15">
        <f t="shared" si="12"/>
        <v>-6.5900383141762497E-2</v>
      </c>
      <c r="AE14" s="15">
        <f t="shared" si="13"/>
        <v>0.19057273188038515</v>
      </c>
      <c r="AF14" s="15">
        <f t="shared" si="14"/>
        <v>7.7638165287567951E-3</v>
      </c>
      <c r="AG14" s="15">
        <f t="shared" si="15"/>
        <v>0.10622669228161374</v>
      </c>
      <c r="AH14" s="15">
        <f t="shared" si="16"/>
        <v>0.19018157363819777</v>
      </c>
      <c r="AI14" s="15">
        <f t="shared" si="17"/>
        <v>-0.29904779862355046</v>
      </c>
      <c r="AJ14" s="15">
        <f t="shared" si="18"/>
        <v>-9.186643835616437E-2</v>
      </c>
      <c r="AK14" s="5">
        <f t="shared" si="19"/>
        <v>-0.29904779862355046</v>
      </c>
    </row>
    <row r="15" spans="1:37">
      <c r="A15" t="s">
        <v>20</v>
      </c>
      <c r="B15" t="s">
        <v>21</v>
      </c>
      <c r="C15" s="60">
        <v>31</v>
      </c>
      <c r="D15" s="60">
        <v>12</v>
      </c>
      <c r="E15" s="60">
        <v>2016</v>
      </c>
      <c r="F15" s="101">
        <v>204</v>
      </c>
      <c r="G15" s="101">
        <v>199</v>
      </c>
      <c r="H15" s="101">
        <v>194</v>
      </c>
      <c r="I15" s="96">
        <v>185.8</v>
      </c>
      <c r="J15" s="57">
        <v>173.66</v>
      </c>
      <c r="K15" s="57">
        <v>144.88</v>
      </c>
      <c r="L15" s="57">
        <v>151.56</v>
      </c>
      <c r="M15" s="57">
        <v>128.62</v>
      </c>
      <c r="N15" s="57">
        <v>120.86</v>
      </c>
      <c r="O15" s="57">
        <v>111.7</v>
      </c>
      <c r="P15" s="57">
        <v>101.58</v>
      </c>
      <c r="Q15" s="57">
        <v>114.53</v>
      </c>
      <c r="R15" s="57">
        <v>113.01</v>
      </c>
      <c r="S15" s="97">
        <f t="shared" si="1"/>
        <v>149.47692307692307</v>
      </c>
      <c r="T15" s="4">
        <f t="shared" ca="1" si="2"/>
        <v>0</v>
      </c>
      <c r="U15" s="4">
        <f t="shared" ca="1" si="3"/>
        <v>108</v>
      </c>
      <c r="V15" s="4">
        <f t="shared" ca="1" si="4"/>
        <v>252</v>
      </c>
      <c r="W15" s="13">
        <f t="shared" ca="1" si="5"/>
        <v>195.5</v>
      </c>
      <c r="X15" s="5">
        <f t="shared" ca="1" si="6"/>
        <v>0.30789419514203376</v>
      </c>
      <c r="Y15" s="15">
        <f t="shared" si="7"/>
        <v>2.5125628140703515E-2</v>
      </c>
      <c r="Z15" s="15">
        <f t="shared" si="8"/>
        <v>2.5773195876288568E-2</v>
      </c>
      <c r="AA15" s="15">
        <f t="shared" si="9"/>
        <v>4.413347685683533E-2</v>
      </c>
      <c r="AB15" s="15">
        <f t="shared" si="10"/>
        <v>6.990671426926176E-2</v>
      </c>
      <c r="AC15" s="15">
        <f t="shared" si="11"/>
        <v>0.1986471562672556</v>
      </c>
      <c r="AD15" s="15">
        <f t="shared" si="12"/>
        <v>-4.4074953813671214E-2</v>
      </c>
      <c r="AE15" s="15">
        <f t="shared" si="13"/>
        <v>0.17835484372570365</v>
      </c>
      <c r="AF15" s="15">
        <f t="shared" si="14"/>
        <v>6.420651994042692E-2</v>
      </c>
      <c r="AG15" s="15">
        <f t="shared" si="15"/>
        <v>8.2005371530886162E-2</v>
      </c>
      <c r="AH15" s="15">
        <f t="shared" si="16"/>
        <v>9.9625910612325397E-2</v>
      </c>
      <c r="AI15" s="15">
        <f t="shared" si="17"/>
        <v>-0.11307081114118578</v>
      </c>
      <c r="AJ15" s="15">
        <f t="shared" si="18"/>
        <v>1.345013715600385E-2</v>
      </c>
      <c r="AK15" s="5">
        <f t="shared" si="19"/>
        <v>-0.11307081114118578</v>
      </c>
    </row>
    <row r="16" spans="1:37">
      <c r="A16" t="s">
        <v>22</v>
      </c>
      <c r="B16" t="s">
        <v>23</v>
      </c>
      <c r="C16" s="60">
        <v>31</v>
      </c>
      <c r="D16" s="60">
        <v>12</v>
      </c>
      <c r="E16" s="60">
        <v>2016</v>
      </c>
      <c r="F16" s="101">
        <v>36.4</v>
      </c>
      <c r="G16" s="101">
        <v>33.9</v>
      </c>
      <c r="H16" s="101">
        <v>32.799999999999997</v>
      </c>
      <c r="I16" s="96">
        <v>34.340000000000003</v>
      </c>
      <c r="J16" s="57">
        <v>30.7</v>
      </c>
      <c r="K16" s="57">
        <v>30.25</v>
      </c>
      <c r="L16" s="57">
        <v>28.09</v>
      </c>
      <c r="M16" s="57">
        <v>27.64</v>
      </c>
      <c r="N16" s="57">
        <v>24.67</v>
      </c>
      <c r="O16" s="57">
        <v>20.260000000000002</v>
      </c>
      <c r="P16" s="57">
        <v>20.38</v>
      </c>
      <c r="Q16" s="57">
        <v>21.01</v>
      </c>
      <c r="R16" s="57">
        <v>18.59</v>
      </c>
      <c r="S16" s="97">
        <f t="shared" si="1"/>
        <v>27.617692307692305</v>
      </c>
      <c r="T16" s="4">
        <f t="shared" ca="1" si="2"/>
        <v>0</v>
      </c>
      <c r="U16" s="4">
        <f t="shared" ca="1" si="3"/>
        <v>108</v>
      </c>
      <c r="V16" s="4">
        <f t="shared" ca="1" si="4"/>
        <v>252</v>
      </c>
      <c r="W16" s="13">
        <f t="shared" ca="1" si="5"/>
        <v>33.129999999999995</v>
      </c>
      <c r="X16" s="5">
        <f t="shared" ca="1" si="6"/>
        <v>0.19959334874523016</v>
      </c>
      <c r="Y16" s="15">
        <f t="shared" si="7"/>
        <v>7.3746312684365822E-2</v>
      </c>
      <c r="Z16" s="15">
        <f t="shared" si="8"/>
        <v>3.3536585365853799E-2</v>
      </c>
      <c r="AA16" s="15">
        <f t="shared" si="9"/>
        <v>-4.4845661036692075E-2</v>
      </c>
      <c r="AB16" s="15">
        <f t="shared" si="10"/>
        <v>0.11856677524429982</v>
      </c>
      <c r="AC16" s="15">
        <f t="shared" si="11"/>
        <v>1.4876033057851235E-2</v>
      </c>
      <c r="AD16" s="15">
        <f t="shared" si="12"/>
        <v>7.6895692417230377E-2</v>
      </c>
      <c r="AE16" s="15">
        <f t="shared" si="13"/>
        <v>1.6280752532561449E-2</v>
      </c>
      <c r="AF16" s="15">
        <f t="shared" si="14"/>
        <v>0.12038913660316175</v>
      </c>
      <c r="AG16" s="15">
        <f t="shared" si="15"/>
        <v>0.21767028627838103</v>
      </c>
      <c r="AH16" s="15">
        <f t="shared" si="16"/>
        <v>-5.8881256133462845E-3</v>
      </c>
      <c r="AI16" s="15">
        <f t="shared" si="17"/>
        <v>-2.9985721085197592E-2</v>
      </c>
      <c r="AJ16" s="15">
        <f t="shared" si="18"/>
        <v>0.13017751479289941</v>
      </c>
      <c r="AK16" s="5">
        <f t="shared" si="19"/>
        <v>-4.4845661036692075E-2</v>
      </c>
    </row>
    <row r="17" spans="1:37">
      <c r="A17" t="s">
        <v>24</v>
      </c>
      <c r="B17" t="s">
        <v>25</v>
      </c>
      <c r="C17" s="60">
        <v>31</v>
      </c>
      <c r="D17" s="60">
        <v>12</v>
      </c>
      <c r="E17" s="60">
        <v>2016</v>
      </c>
      <c r="F17" s="101">
        <v>35.9</v>
      </c>
      <c r="G17" s="101">
        <v>34.9</v>
      </c>
      <c r="H17" s="101">
        <v>31.7</v>
      </c>
      <c r="I17" s="96">
        <v>30.77</v>
      </c>
      <c r="J17" s="57">
        <v>24.45</v>
      </c>
      <c r="K17" s="57">
        <v>25.16</v>
      </c>
      <c r="L17" s="57">
        <v>22.45</v>
      </c>
      <c r="M17" s="57">
        <v>23.3</v>
      </c>
      <c r="N17" s="57">
        <v>22.85</v>
      </c>
      <c r="O17" s="57">
        <v>22.92</v>
      </c>
      <c r="P17" s="57">
        <v>21.38</v>
      </c>
      <c r="Q17" s="57">
        <v>22.01</v>
      </c>
      <c r="R17" s="58"/>
      <c r="S17" s="97">
        <f t="shared" si="1"/>
        <v>26.482499999999998</v>
      </c>
      <c r="T17" s="4">
        <f t="shared" ca="1" si="2"/>
        <v>0</v>
      </c>
      <c r="U17" s="4">
        <f t="shared" ca="1" si="3"/>
        <v>108</v>
      </c>
      <c r="V17" s="4">
        <f t="shared" ca="1" si="4"/>
        <v>252</v>
      </c>
      <c r="W17" s="13">
        <f t="shared" ca="1" si="5"/>
        <v>32.659999999999997</v>
      </c>
      <c r="X17" s="5">
        <f t="shared" ca="1" si="6"/>
        <v>0.23326725195884079</v>
      </c>
      <c r="Y17" s="15">
        <f t="shared" si="7"/>
        <v>2.8653295128939771E-2</v>
      </c>
      <c r="Z17" s="15">
        <f t="shared" si="8"/>
        <v>0.10094637223974767</v>
      </c>
      <c r="AA17" s="15">
        <f t="shared" si="9"/>
        <v>3.0224244393890043E-2</v>
      </c>
      <c r="AB17" s="15">
        <f t="shared" si="10"/>
        <v>0.25848670756646208</v>
      </c>
      <c r="AC17" s="15">
        <f t="shared" si="11"/>
        <v>-2.8219395866454722E-2</v>
      </c>
      <c r="AD17" s="15">
        <f t="shared" si="12"/>
        <v>0.12071269487750569</v>
      </c>
      <c r="AE17" s="15">
        <f t="shared" si="13"/>
        <v>-3.6480686695279041E-2</v>
      </c>
      <c r="AF17" s="15">
        <f t="shared" si="14"/>
        <v>1.9693654266958349E-2</v>
      </c>
      <c r="AG17" s="15">
        <f t="shared" si="15"/>
        <v>-3.054101221640515E-3</v>
      </c>
      <c r="AH17" s="15">
        <f t="shared" si="16"/>
        <v>7.2029934518241578E-2</v>
      </c>
      <c r="AI17" s="15">
        <f t="shared" si="17"/>
        <v>-2.8623353021353992E-2</v>
      </c>
      <c r="AJ17" s="15">
        <f t="shared" si="18"/>
        <v>99.999989999999997</v>
      </c>
      <c r="AK17" s="5">
        <f t="shared" si="19"/>
        <v>-3.6480686695279041E-2</v>
      </c>
    </row>
    <row r="18" spans="1:37">
      <c r="A18" s="52" t="s">
        <v>268</v>
      </c>
      <c r="B18" s="52" t="s">
        <v>274</v>
      </c>
      <c r="C18" s="104">
        <v>31</v>
      </c>
      <c r="D18" s="104">
        <v>12</v>
      </c>
      <c r="E18" s="104">
        <v>2016</v>
      </c>
      <c r="F18" s="101">
        <v>31</v>
      </c>
      <c r="G18" s="101">
        <v>25.8</v>
      </c>
      <c r="H18" s="101">
        <v>21.5</v>
      </c>
      <c r="I18" s="96">
        <v>18.07</v>
      </c>
      <c r="J18" s="57">
        <v>15.21</v>
      </c>
      <c r="K18" s="57">
        <v>15.48</v>
      </c>
      <c r="L18" s="57">
        <v>14.51</v>
      </c>
      <c r="M18" s="57">
        <v>13.47</v>
      </c>
      <c r="N18" s="57">
        <v>12.92</v>
      </c>
      <c r="O18" s="57">
        <v>12.15</v>
      </c>
      <c r="P18" s="57">
        <v>10.85</v>
      </c>
      <c r="Q18" s="57">
        <v>9.9600000000000009</v>
      </c>
      <c r="R18" s="57">
        <v>9.5</v>
      </c>
      <c r="S18" s="97">
        <f t="shared" si="1"/>
        <v>16.186153846153847</v>
      </c>
      <c r="T18" s="4">
        <f t="shared" ca="1" si="2"/>
        <v>0</v>
      </c>
      <c r="U18" s="4">
        <f t="shared" ca="1" si="3"/>
        <v>108</v>
      </c>
      <c r="V18" s="4">
        <f t="shared" ca="1" si="4"/>
        <v>252</v>
      </c>
      <c r="W18" s="13">
        <f t="shared" ca="1" si="5"/>
        <v>22.79</v>
      </c>
      <c r="X18" s="5">
        <f t="shared" ca="1" si="6"/>
        <v>0.40799353673605165</v>
      </c>
      <c r="Y18" s="15">
        <f t="shared" si="7"/>
        <v>0.20155038759689914</v>
      </c>
      <c r="Z18" s="15">
        <f t="shared" si="8"/>
        <v>0.19999999999999996</v>
      </c>
      <c r="AA18" s="15">
        <f t="shared" si="9"/>
        <v>0.18981737686773648</v>
      </c>
      <c r="AB18" s="15">
        <f t="shared" si="10"/>
        <v>0.18803418803418803</v>
      </c>
      <c r="AC18" s="15">
        <f t="shared" si="11"/>
        <v>-1.7441860465116199E-2</v>
      </c>
      <c r="AD18" s="15">
        <f t="shared" si="12"/>
        <v>6.6850447966919413E-2</v>
      </c>
      <c r="AE18" s="15">
        <f t="shared" si="13"/>
        <v>7.7208611729769894E-2</v>
      </c>
      <c r="AF18" s="15">
        <f t="shared" si="14"/>
        <v>4.2569659442724506E-2</v>
      </c>
      <c r="AG18" s="15">
        <f t="shared" si="15"/>
        <v>6.3374485596707775E-2</v>
      </c>
      <c r="AH18" s="15">
        <f t="shared" si="16"/>
        <v>0.11981566820276512</v>
      </c>
      <c r="AI18" s="15">
        <f t="shared" si="17"/>
        <v>8.9357429718875281E-2</v>
      </c>
      <c r="AJ18" s="15">
        <f t="shared" si="18"/>
        <v>4.8421052631579142E-2</v>
      </c>
      <c r="AK18" s="5">
        <f t="shared" si="19"/>
        <v>-1.7441860465116199E-2</v>
      </c>
    </row>
    <row r="19" spans="1:37">
      <c r="A19" t="s">
        <v>26</v>
      </c>
      <c r="B19" t="s">
        <v>27</v>
      </c>
      <c r="C19" s="60">
        <v>31</v>
      </c>
      <c r="D19" s="60">
        <v>12</v>
      </c>
      <c r="E19" s="60">
        <v>2016</v>
      </c>
      <c r="F19" s="101">
        <v>5.0199999999999996</v>
      </c>
      <c r="G19" s="101">
        <v>4.6500000000000004</v>
      </c>
      <c r="H19" s="101">
        <v>4.53</v>
      </c>
      <c r="I19" s="96">
        <v>3.6</v>
      </c>
      <c r="J19" s="57">
        <v>4.53</v>
      </c>
      <c r="K19" s="57">
        <v>4.6500000000000004</v>
      </c>
      <c r="L19" s="57">
        <v>4.5</v>
      </c>
      <c r="M19" s="57">
        <v>4.8</v>
      </c>
      <c r="N19" s="57">
        <v>5.41</v>
      </c>
      <c r="O19" s="57">
        <v>4.7699999999999996</v>
      </c>
      <c r="P19" s="57">
        <v>3.66</v>
      </c>
      <c r="Q19" s="57">
        <v>4.22</v>
      </c>
      <c r="R19" s="57">
        <v>3.49</v>
      </c>
      <c r="S19" s="97">
        <f t="shared" si="1"/>
        <v>4.4484615384615376</v>
      </c>
      <c r="T19" s="4">
        <f t="shared" ca="1" si="2"/>
        <v>0</v>
      </c>
      <c r="U19" s="4">
        <f t="shared" ca="1" si="3"/>
        <v>108</v>
      </c>
      <c r="V19" s="4">
        <f t="shared" ca="1" si="4"/>
        <v>252</v>
      </c>
      <c r="W19" s="13">
        <f t="shared" ca="1" si="5"/>
        <v>4.5660000000000007</v>
      </c>
      <c r="X19" s="5">
        <f t="shared" ca="1" si="6"/>
        <v>2.6422272177071049E-2</v>
      </c>
      <c r="Y19" s="15">
        <f t="shared" si="7"/>
        <v>7.9569892473118076E-2</v>
      </c>
      <c r="Z19" s="15">
        <f t="shared" si="8"/>
        <v>2.6490066225165476E-2</v>
      </c>
      <c r="AA19" s="15">
        <f t="shared" si="9"/>
        <v>0.2583333333333333</v>
      </c>
      <c r="AB19" s="15">
        <f t="shared" si="10"/>
        <v>-0.20529801324503316</v>
      </c>
      <c r="AC19" s="15">
        <f t="shared" si="11"/>
        <v>-2.5806451612903292E-2</v>
      </c>
      <c r="AD19" s="15">
        <f t="shared" si="12"/>
        <v>3.3333333333333437E-2</v>
      </c>
      <c r="AE19" s="15">
        <f t="shared" si="13"/>
        <v>-6.25E-2</v>
      </c>
      <c r="AF19" s="15">
        <f t="shared" si="14"/>
        <v>-0.11275415896487995</v>
      </c>
      <c r="AG19" s="15">
        <f t="shared" si="15"/>
        <v>0.13417190775681354</v>
      </c>
      <c r="AH19" s="15">
        <f t="shared" si="16"/>
        <v>0.30327868852458995</v>
      </c>
      <c r="AI19" s="15">
        <f t="shared" si="17"/>
        <v>-0.13270142180094779</v>
      </c>
      <c r="AJ19" s="15">
        <f t="shared" si="18"/>
        <v>0.20916905444126055</v>
      </c>
      <c r="AK19" s="5">
        <f t="shared" si="19"/>
        <v>-0.20529801324503316</v>
      </c>
    </row>
    <row r="20" spans="1:37">
      <c r="A20" t="s">
        <v>81</v>
      </c>
      <c r="B20" t="s">
        <v>189</v>
      </c>
      <c r="C20" s="60">
        <v>31</v>
      </c>
      <c r="D20" s="60">
        <v>12</v>
      </c>
      <c r="E20" s="60">
        <v>2016</v>
      </c>
      <c r="F20" s="101">
        <v>50.2</v>
      </c>
      <c r="G20" s="101">
        <v>47.2</v>
      </c>
      <c r="H20" s="101">
        <v>43.7</v>
      </c>
      <c r="I20" s="96">
        <v>41.94</v>
      </c>
      <c r="J20" s="57">
        <v>35.97</v>
      </c>
      <c r="K20" s="57">
        <v>37.36</v>
      </c>
      <c r="L20" s="57">
        <v>34.380000000000003</v>
      </c>
      <c r="M20" s="57">
        <v>29.25</v>
      </c>
      <c r="N20" s="57">
        <v>24.73</v>
      </c>
      <c r="O20" s="57">
        <v>22.7</v>
      </c>
      <c r="P20" s="57">
        <v>19.63</v>
      </c>
      <c r="Q20" s="57">
        <v>22.04</v>
      </c>
      <c r="R20" s="57">
        <v>22.86</v>
      </c>
      <c r="S20" s="97">
        <f t="shared" si="1"/>
        <v>33.227692307692308</v>
      </c>
      <c r="T20" s="4">
        <f t="shared" ca="1" si="2"/>
        <v>0</v>
      </c>
      <c r="U20" s="4">
        <f t="shared" ca="1" si="3"/>
        <v>108</v>
      </c>
      <c r="V20" s="4">
        <f t="shared" ca="1" si="4"/>
        <v>252</v>
      </c>
      <c r="W20" s="13">
        <f t="shared" ca="1" si="5"/>
        <v>44.75</v>
      </c>
      <c r="X20" s="5">
        <f t="shared" ca="1" si="6"/>
        <v>0.34676821927956292</v>
      </c>
      <c r="Y20" s="15">
        <f t="shared" si="7"/>
        <v>6.3559322033898358E-2</v>
      </c>
      <c r="Z20" s="15">
        <f t="shared" si="8"/>
        <v>8.0091533180778107E-2</v>
      </c>
      <c r="AA20" s="15">
        <f t="shared" si="9"/>
        <v>4.1964711492608719E-2</v>
      </c>
      <c r="AB20" s="15">
        <f t="shared" si="10"/>
        <v>0.16597164303586309</v>
      </c>
      <c r="AC20" s="15">
        <f t="shared" si="11"/>
        <v>-3.7205567451820132E-2</v>
      </c>
      <c r="AD20" s="15">
        <f t="shared" si="12"/>
        <v>8.667830133798704E-2</v>
      </c>
      <c r="AE20" s="15">
        <f t="shared" si="13"/>
        <v>0.17538461538461547</v>
      </c>
      <c r="AF20" s="15">
        <f t="shared" si="14"/>
        <v>0.18277395875454916</v>
      </c>
      <c r="AG20" s="15">
        <f t="shared" si="15"/>
        <v>8.9427312775330448E-2</v>
      </c>
      <c r="AH20" s="15">
        <f t="shared" si="16"/>
        <v>0.15639327559857374</v>
      </c>
      <c r="AI20" s="15">
        <f t="shared" si="17"/>
        <v>-0.10934664246823955</v>
      </c>
      <c r="AJ20" s="15">
        <f t="shared" si="18"/>
        <v>-3.5870516185476875E-2</v>
      </c>
      <c r="AK20" s="5">
        <f t="shared" si="19"/>
        <v>-0.10934664246823955</v>
      </c>
    </row>
    <row r="21" spans="1:37">
      <c r="A21" t="s">
        <v>82</v>
      </c>
      <c r="B21" t="s">
        <v>190</v>
      </c>
      <c r="C21" s="60">
        <v>31</v>
      </c>
      <c r="D21" s="60">
        <v>12</v>
      </c>
      <c r="E21" s="60">
        <v>2016</v>
      </c>
      <c r="F21" s="101">
        <v>48.6</v>
      </c>
      <c r="G21" s="101">
        <v>46.4</v>
      </c>
      <c r="H21" s="101">
        <v>45</v>
      </c>
      <c r="I21" s="96">
        <v>44.46</v>
      </c>
      <c r="J21" s="57">
        <v>42.54</v>
      </c>
      <c r="K21" s="57">
        <v>42.95</v>
      </c>
      <c r="L21" s="57">
        <v>43.23</v>
      </c>
      <c r="M21" s="57">
        <v>41.93</v>
      </c>
      <c r="N21" s="57">
        <v>40.5</v>
      </c>
      <c r="O21" s="57">
        <v>36.65</v>
      </c>
      <c r="P21" s="57">
        <v>34.11</v>
      </c>
      <c r="Q21" s="57">
        <v>32.61</v>
      </c>
      <c r="R21" s="57">
        <v>33.54</v>
      </c>
      <c r="S21" s="97">
        <f t="shared" si="1"/>
        <v>40.963076923076919</v>
      </c>
      <c r="T21" s="4">
        <f t="shared" ca="1" si="2"/>
        <v>0</v>
      </c>
      <c r="U21" s="4">
        <f t="shared" ca="1" si="3"/>
        <v>108</v>
      </c>
      <c r="V21" s="4">
        <f t="shared" ca="1" si="4"/>
        <v>252</v>
      </c>
      <c r="W21" s="13">
        <f t="shared" ca="1" si="5"/>
        <v>45.42</v>
      </c>
      <c r="X21" s="5">
        <f t="shared" ca="1" si="6"/>
        <v>0.10880342522346598</v>
      </c>
      <c r="Y21" s="15">
        <f t="shared" si="7"/>
        <v>4.7413793103448398E-2</v>
      </c>
      <c r="Z21" s="15">
        <f t="shared" si="8"/>
        <v>3.1111111111111089E-2</v>
      </c>
      <c r="AA21" s="15">
        <f t="shared" si="9"/>
        <v>1.2145748987854255E-2</v>
      </c>
      <c r="AB21" s="15">
        <f t="shared" si="10"/>
        <v>4.5133991537376739E-2</v>
      </c>
      <c r="AC21" s="15">
        <f t="shared" si="11"/>
        <v>-9.5459837019791216E-3</v>
      </c>
      <c r="AD21" s="15">
        <f t="shared" si="12"/>
        <v>-6.4769835762200634E-3</v>
      </c>
      <c r="AE21" s="15">
        <f t="shared" si="13"/>
        <v>3.1004054376341461E-2</v>
      </c>
      <c r="AF21" s="15">
        <f t="shared" si="14"/>
        <v>3.5308641975308586E-2</v>
      </c>
      <c r="AG21" s="15">
        <f t="shared" si="15"/>
        <v>0.10504774897680758</v>
      </c>
      <c r="AH21" s="15">
        <f t="shared" si="16"/>
        <v>7.4464966285546774E-2</v>
      </c>
      <c r="AI21" s="15">
        <f t="shared" si="17"/>
        <v>4.5998160073597028E-2</v>
      </c>
      <c r="AJ21" s="15">
        <f t="shared" si="18"/>
        <v>-2.7728085867620766E-2</v>
      </c>
      <c r="AK21" s="5">
        <f t="shared" si="19"/>
        <v>-2.7728085867620766E-2</v>
      </c>
    </row>
    <row r="22" spans="1:37">
      <c r="A22" t="s">
        <v>28</v>
      </c>
      <c r="B22" t="s">
        <v>29</v>
      </c>
      <c r="C22" s="60">
        <v>31</v>
      </c>
      <c r="D22" s="60">
        <v>12</v>
      </c>
      <c r="E22" s="60">
        <v>2016</v>
      </c>
      <c r="F22" s="101">
        <v>27.2</v>
      </c>
      <c r="G22" s="101">
        <v>23.7</v>
      </c>
      <c r="H22" s="101">
        <v>22.2</v>
      </c>
      <c r="I22" s="96">
        <v>20.49</v>
      </c>
      <c r="J22" s="57">
        <v>19.489999999999998</v>
      </c>
      <c r="K22" s="57">
        <v>18.239999999999998</v>
      </c>
      <c r="L22" s="57">
        <v>20.55</v>
      </c>
      <c r="M22" s="57">
        <v>20.149999999999999</v>
      </c>
      <c r="N22" s="57">
        <v>19.38</v>
      </c>
      <c r="O22" s="57">
        <v>21.61</v>
      </c>
      <c r="P22" s="57">
        <v>16.82</v>
      </c>
      <c r="Q22" s="57">
        <v>17.59</v>
      </c>
      <c r="R22" s="58"/>
      <c r="S22" s="97">
        <f t="shared" si="1"/>
        <v>20.618333333333332</v>
      </c>
      <c r="T22" s="4">
        <f t="shared" ca="1" si="2"/>
        <v>0</v>
      </c>
      <c r="U22" s="4">
        <f t="shared" ca="1" si="3"/>
        <v>108</v>
      </c>
      <c r="V22" s="4">
        <f t="shared" ca="1" si="4"/>
        <v>252</v>
      </c>
      <c r="W22" s="13">
        <f t="shared" ca="1" si="5"/>
        <v>22.65</v>
      </c>
      <c r="X22" s="5">
        <f t="shared" ca="1" si="6"/>
        <v>9.853690081642541E-2</v>
      </c>
      <c r="Y22" s="15">
        <f t="shared" si="7"/>
        <v>0.14767932489451474</v>
      </c>
      <c r="Z22" s="15">
        <f t="shared" si="8"/>
        <v>6.7567567567567544E-2</v>
      </c>
      <c r="AA22" s="15">
        <f t="shared" si="9"/>
        <v>8.3455344070278326E-2</v>
      </c>
      <c r="AB22" s="15">
        <f t="shared" si="10"/>
        <v>5.1308363263211865E-2</v>
      </c>
      <c r="AC22" s="15">
        <f t="shared" si="11"/>
        <v>6.8530701754385914E-2</v>
      </c>
      <c r="AD22" s="15">
        <f t="shared" si="12"/>
        <v>-0.11240875912408765</v>
      </c>
      <c r="AE22" s="15">
        <f t="shared" si="13"/>
        <v>1.9851116625310361E-2</v>
      </c>
      <c r="AF22" s="15">
        <f t="shared" si="14"/>
        <v>3.9731682146542768E-2</v>
      </c>
      <c r="AG22" s="15">
        <f t="shared" si="15"/>
        <v>-0.10319296621934293</v>
      </c>
      <c r="AH22" s="15">
        <f t="shared" si="16"/>
        <v>0.28478002378121281</v>
      </c>
      <c r="AI22" s="15">
        <f t="shared" si="17"/>
        <v>-4.3774872086412731E-2</v>
      </c>
      <c r="AJ22" s="15">
        <f t="shared" si="18"/>
        <v>99.999989999999997</v>
      </c>
      <c r="AK22" s="5">
        <f t="shared" si="19"/>
        <v>-0.11240875912408765</v>
      </c>
    </row>
    <row r="23" spans="1:37">
      <c r="A23" t="s">
        <v>30</v>
      </c>
      <c r="B23" t="s">
        <v>31</v>
      </c>
      <c r="C23" s="60">
        <v>31</v>
      </c>
      <c r="D23" s="60">
        <v>12</v>
      </c>
      <c r="E23" s="60">
        <v>2016</v>
      </c>
      <c r="F23" s="101">
        <v>3.88</v>
      </c>
      <c r="G23" s="101">
        <v>4.01</v>
      </c>
      <c r="H23" s="101">
        <v>3.02</v>
      </c>
      <c r="I23" s="96">
        <v>2.41</v>
      </c>
      <c r="J23" s="57">
        <v>2.72</v>
      </c>
      <c r="K23" s="57">
        <v>3.27</v>
      </c>
      <c r="L23" s="57">
        <v>3.69</v>
      </c>
      <c r="M23" s="57">
        <v>4.03</v>
      </c>
      <c r="N23" s="57">
        <v>4.54</v>
      </c>
      <c r="O23" s="57">
        <v>3.76</v>
      </c>
      <c r="P23" s="57">
        <v>3.43</v>
      </c>
      <c r="Q23" s="57">
        <v>3.39</v>
      </c>
      <c r="R23" s="57"/>
      <c r="S23" s="97">
        <f t="shared" si="1"/>
        <v>3.5124999999999997</v>
      </c>
      <c r="T23" s="4">
        <f t="shared" ca="1" si="2"/>
        <v>0</v>
      </c>
      <c r="U23" s="4">
        <f t="shared" ca="1" si="3"/>
        <v>108</v>
      </c>
      <c r="V23" s="4">
        <f t="shared" ca="1" si="4"/>
        <v>252</v>
      </c>
      <c r="W23" s="13">
        <f t="shared" ca="1" si="5"/>
        <v>3.3170000000000002</v>
      </c>
      <c r="X23" s="5">
        <f t="shared" ca="1" si="6"/>
        <v>-5.5658362989323695E-2</v>
      </c>
      <c r="Y23" s="15">
        <f t="shared" si="7"/>
        <v>-3.2418952618453845E-2</v>
      </c>
      <c r="Z23" s="15">
        <f t="shared" si="8"/>
        <v>0.32781456953642385</v>
      </c>
      <c r="AA23" s="15">
        <f t="shared" si="9"/>
        <v>0.25311203319502074</v>
      </c>
      <c r="AB23" s="15">
        <f t="shared" si="10"/>
        <v>-0.11397058823529416</v>
      </c>
      <c r="AC23" s="15">
        <f t="shared" si="11"/>
        <v>-0.16819571865443417</v>
      </c>
      <c r="AD23" s="15">
        <f t="shared" si="12"/>
        <v>-0.11382113821138207</v>
      </c>
      <c r="AE23" s="15">
        <f t="shared" si="13"/>
        <v>-8.4367245657568257E-2</v>
      </c>
      <c r="AF23" s="15">
        <f t="shared" si="14"/>
        <v>-0.11233480176211452</v>
      </c>
      <c r="AG23" s="15">
        <f t="shared" si="15"/>
        <v>0.20744680851063846</v>
      </c>
      <c r="AH23" s="15">
        <f t="shared" si="16"/>
        <v>9.6209912536443065E-2</v>
      </c>
      <c r="AI23" s="15">
        <f t="shared" si="17"/>
        <v>1.1799410029498469E-2</v>
      </c>
      <c r="AJ23" s="15">
        <f t="shared" si="18"/>
        <v>99.999989999999997</v>
      </c>
      <c r="AK23" s="5">
        <f t="shared" si="19"/>
        <v>-0.16819571865443417</v>
      </c>
    </row>
    <row r="24" spans="1:37">
      <c r="A24" t="s">
        <v>32</v>
      </c>
      <c r="B24" t="s">
        <v>33</v>
      </c>
      <c r="C24" s="60">
        <v>30</v>
      </c>
      <c r="D24" s="60">
        <v>9</v>
      </c>
      <c r="E24" s="60">
        <v>2016</v>
      </c>
      <c r="F24" s="101">
        <v>6.6400000000000006</v>
      </c>
      <c r="G24" s="101">
        <v>6.41</v>
      </c>
      <c r="H24" s="101">
        <v>5.98</v>
      </c>
      <c r="I24" s="96">
        <v>5.14</v>
      </c>
      <c r="J24" s="57">
        <v>4.8899999999999997</v>
      </c>
      <c r="K24" s="57">
        <v>5.24</v>
      </c>
      <c r="L24" s="57">
        <v>5.65</v>
      </c>
      <c r="M24" s="57">
        <v>7.17</v>
      </c>
      <c r="N24" s="57">
        <v>6.58</v>
      </c>
      <c r="O24" s="57">
        <v>6.12</v>
      </c>
      <c r="P24" s="57">
        <v>5.91</v>
      </c>
      <c r="Q24" s="58"/>
      <c r="R24" s="57"/>
      <c r="S24" s="97">
        <f t="shared" si="1"/>
        <v>5.9754545454545456</v>
      </c>
      <c r="T24" s="4">
        <f t="shared" ca="1" si="2"/>
        <v>0</v>
      </c>
      <c r="U24" s="4">
        <f t="shared" ca="1" si="3"/>
        <v>199</v>
      </c>
      <c r="V24" s="4">
        <f t="shared" ca="1" si="4"/>
        <v>161</v>
      </c>
      <c r="W24" s="13">
        <f t="shared" ca="1" si="5"/>
        <v>6.2176944444444446</v>
      </c>
      <c r="X24" s="5">
        <f t="shared" ca="1" si="6"/>
        <v>4.0539158510404461E-2</v>
      </c>
      <c r="Y24" s="15">
        <f t="shared" si="7"/>
        <v>3.5881435257410388E-2</v>
      </c>
      <c r="Z24" s="15">
        <f t="shared" si="8"/>
        <v>7.1906354515050008E-2</v>
      </c>
      <c r="AA24" s="15">
        <f t="shared" si="9"/>
        <v>0.16342412451361876</v>
      </c>
      <c r="AB24" s="15">
        <f t="shared" si="10"/>
        <v>5.112474437627812E-2</v>
      </c>
      <c r="AC24" s="15">
        <f t="shared" si="11"/>
        <v>-6.6793893129771131E-2</v>
      </c>
      <c r="AD24" s="15">
        <f t="shared" si="12"/>
        <v>-7.2566371681415998E-2</v>
      </c>
      <c r="AE24" s="15">
        <f t="shared" si="13"/>
        <v>-0.21199442119944212</v>
      </c>
      <c r="AF24" s="15">
        <f t="shared" si="14"/>
        <v>8.9665653495440756E-2</v>
      </c>
      <c r="AG24" s="15">
        <f t="shared" si="15"/>
        <v>7.5163398692810413E-2</v>
      </c>
      <c r="AH24" s="15">
        <f t="shared" si="16"/>
        <v>3.5532994923857864E-2</v>
      </c>
      <c r="AI24" s="15">
        <f t="shared" si="17"/>
        <v>99.999989999999997</v>
      </c>
      <c r="AJ24" s="15">
        <f t="shared" si="18"/>
        <v>99.999989999999997</v>
      </c>
      <c r="AK24" s="5">
        <f t="shared" si="19"/>
        <v>-0.21199442119944212</v>
      </c>
    </row>
    <row r="25" spans="1:37">
      <c r="A25" t="s">
        <v>34</v>
      </c>
      <c r="B25" t="s">
        <v>35</v>
      </c>
      <c r="C25" s="60">
        <v>31</v>
      </c>
      <c r="D25" s="60">
        <v>3</v>
      </c>
      <c r="E25" s="60">
        <v>2016</v>
      </c>
      <c r="F25" s="101">
        <v>2.2200000000000002</v>
      </c>
      <c r="G25" s="101">
        <v>2.2600000000000002</v>
      </c>
      <c r="H25" s="101">
        <v>2.3199999999999998</v>
      </c>
      <c r="I25" s="96">
        <v>2.2999999999999998</v>
      </c>
      <c r="J25" s="57">
        <v>2.46</v>
      </c>
      <c r="K25" s="58"/>
      <c r="L25" s="58"/>
      <c r="M25" s="58"/>
      <c r="N25" s="58"/>
      <c r="O25" s="58"/>
      <c r="P25" s="58"/>
      <c r="Q25" s="58"/>
      <c r="R25" s="58"/>
      <c r="S25" s="97">
        <f t="shared" si="1"/>
        <v>2.3120000000000003</v>
      </c>
      <c r="T25" s="4">
        <f t="shared" ca="1" si="2"/>
        <v>18</v>
      </c>
      <c r="U25" s="4">
        <f t="shared" ca="1" si="3"/>
        <v>342</v>
      </c>
      <c r="V25" s="4">
        <f t="shared" ca="1" si="4"/>
        <v>0</v>
      </c>
      <c r="W25" s="13">
        <f t="shared" ca="1" si="5"/>
        <v>2.2580000000000005</v>
      </c>
      <c r="X25" s="5">
        <f t="shared" ca="1" si="6"/>
        <v>-2.3356401384083014E-2</v>
      </c>
      <c r="Y25" s="15">
        <f t="shared" si="7"/>
        <v>-1.7699115044247815E-2</v>
      </c>
      <c r="Z25" s="15">
        <f t="shared" si="8"/>
        <v>-2.5862068965517127E-2</v>
      </c>
      <c r="AA25" s="15">
        <f t="shared" si="9"/>
        <v>8.6956521739129933E-3</v>
      </c>
      <c r="AB25" s="15">
        <f t="shared" si="10"/>
        <v>-6.5040650406504086E-2</v>
      </c>
      <c r="AC25" s="15">
        <f t="shared" si="11"/>
        <v>99.999989999999997</v>
      </c>
      <c r="AD25" s="15">
        <f t="shared" si="12"/>
        <v>99.999989999999997</v>
      </c>
      <c r="AE25" s="15">
        <f t="shared" si="13"/>
        <v>99.999989999999997</v>
      </c>
      <c r="AF25" s="15">
        <f t="shared" si="14"/>
        <v>99.999989999999997</v>
      </c>
      <c r="AG25" s="15">
        <f t="shared" si="15"/>
        <v>99.999989999999997</v>
      </c>
      <c r="AH25" s="15">
        <f t="shared" si="16"/>
        <v>99.999989999999997</v>
      </c>
      <c r="AI25" s="15">
        <f t="shared" si="17"/>
        <v>99.999989999999997</v>
      </c>
      <c r="AJ25" s="15">
        <f t="shared" si="18"/>
        <v>99.999989999999997</v>
      </c>
      <c r="AK25" s="5">
        <f t="shared" si="19"/>
        <v>-6.5040650406504086E-2</v>
      </c>
    </row>
    <row r="26" spans="1:37">
      <c r="A26" s="52" t="s">
        <v>277</v>
      </c>
      <c r="B26" s="52" t="s">
        <v>278</v>
      </c>
      <c r="C26" s="104">
        <v>31</v>
      </c>
      <c r="D26" s="104">
        <v>8</v>
      </c>
      <c r="E26" s="104">
        <v>2016</v>
      </c>
      <c r="F26" s="101">
        <v>14.3</v>
      </c>
      <c r="G26" s="101">
        <v>11.5</v>
      </c>
      <c r="H26" s="101">
        <v>10.5</v>
      </c>
      <c r="I26" s="96">
        <v>9.44</v>
      </c>
      <c r="J26" s="57">
        <v>8.73</v>
      </c>
      <c r="K26" s="57">
        <v>7.44</v>
      </c>
      <c r="L26" s="57">
        <v>6.13</v>
      </c>
      <c r="M26" s="57">
        <v>5.62</v>
      </c>
      <c r="N26" s="57">
        <v>4.07</v>
      </c>
      <c r="O26" s="57">
        <v>3.98</v>
      </c>
      <c r="P26" s="57">
        <v>3.47</v>
      </c>
      <c r="Q26" s="57">
        <v>2.71</v>
      </c>
      <c r="R26" s="57">
        <v>2.29</v>
      </c>
      <c r="S26" s="97">
        <f t="shared" si="1"/>
        <v>6.9369230769230761</v>
      </c>
      <c r="T26" s="4">
        <f t="shared" ca="1" si="2"/>
        <v>0</v>
      </c>
      <c r="U26" s="4">
        <f t="shared" ca="1" si="3"/>
        <v>228</v>
      </c>
      <c r="V26" s="4">
        <f t="shared" ca="1" si="4"/>
        <v>132</v>
      </c>
      <c r="W26" s="13">
        <f t="shared" ca="1" si="5"/>
        <v>11.133333333333333</v>
      </c>
      <c r="X26" s="5">
        <f t="shared" ca="1" si="6"/>
        <v>0.60493827160493829</v>
      </c>
      <c r="Y26" s="15">
        <f t="shared" si="7"/>
        <v>0.24347826086956537</v>
      </c>
      <c r="Z26" s="15">
        <f t="shared" si="8"/>
        <v>9.5238095238095344E-2</v>
      </c>
      <c r="AA26" s="15">
        <f t="shared" si="9"/>
        <v>0.11228813559322037</v>
      </c>
      <c r="AB26" s="15">
        <f t="shared" si="10"/>
        <v>8.1328751431844148E-2</v>
      </c>
      <c r="AC26" s="15">
        <f t="shared" si="11"/>
        <v>0.17338709677419351</v>
      </c>
      <c r="AD26" s="15">
        <f t="shared" si="12"/>
        <v>0.21370309951060373</v>
      </c>
      <c r="AE26" s="15">
        <f t="shared" si="13"/>
        <v>9.0747330960853967E-2</v>
      </c>
      <c r="AF26" s="15">
        <f t="shared" si="14"/>
        <v>0.38083538083538082</v>
      </c>
      <c r="AG26" s="15">
        <f t="shared" si="15"/>
        <v>2.2613065326633208E-2</v>
      </c>
      <c r="AH26" s="15">
        <f t="shared" si="16"/>
        <v>0.14697406340057628</v>
      </c>
      <c r="AI26" s="15">
        <f t="shared" si="17"/>
        <v>0.28044280442804448</v>
      </c>
      <c r="AJ26" s="15">
        <f t="shared" si="18"/>
        <v>0.18340611353711789</v>
      </c>
      <c r="AK26" s="5">
        <f t="shared" si="19"/>
        <v>2.2613065326633208E-2</v>
      </c>
    </row>
    <row r="27" spans="1:37">
      <c r="A27" t="s">
        <v>36</v>
      </c>
      <c r="B27" t="s">
        <v>37</v>
      </c>
      <c r="C27" s="60">
        <v>31</v>
      </c>
      <c r="D27" s="60">
        <v>12</v>
      </c>
      <c r="E27" s="60">
        <v>2016</v>
      </c>
      <c r="F27" s="101">
        <v>6.94</v>
      </c>
      <c r="G27" s="101">
        <v>6.45</v>
      </c>
      <c r="H27" s="101">
        <v>5.81</v>
      </c>
      <c r="I27" s="96">
        <v>5.15</v>
      </c>
      <c r="J27" s="57">
        <v>4.55</v>
      </c>
      <c r="K27" s="57">
        <v>4.78</v>
      </c>
      <c r="L27" s="57">
        <v>5.05</v>
      </c>
      <c r="M27" s="57">
        <v>4.76</v>
      </c>
      <c r="N27" s="57">
        <v>4.83</v>
      </c>
      <c r="O27" s="57">
        <v>4.0199999999999996</v>
      </c>
      <c r="P27" s="57">
        <v>3.32</v>
      </c>
      <c r="Q27" s="57">
        <v>4.13</v>
      </c>
      <c r="R27" s="57">
        <v>3.74</v>
      </c>
      <c r="S27" s="97">
        <f t="shared" si="1"/>
        <v>4.8869230769230763</v>
      </c>
      <c r="T27" s="4">
        <f t="shared" ca="1" si="2"/>
        <v>0</v>
      </c>
      <c r="U27" s="4">
        <f t="shared" ca="1" si="3"/>
        <v>108</v>
      </c>
      <c r="V27" s="4">
        <f t="shared" ca="1" si="4"/>
        <v>252</v>
      </c>
      <c r="W27" s="13">
        <f t="shared" ca="1" si="5"/>
        <v>6.0019999999999989</v>
      </c>
      <c r="X27" s="5">
        <f t="shared" ca="1" si="6"/>
        <v>0.22817566504013853</v>
      </c>
      <c r="Y27" s="15">
        <f t="shared" si="7"/>
        <v>7.5968992248061973E-2</v>
      </c>
      <c r="Z27" s="15">
        <f t="shared" si="8"/>
        <v>0.11015490533562833</v>
      </c>
      <c r="AA27" s="15">
        <f t="shared" si="9"/>
        <v>0.12815533980582505</v>
      </c>
      <c r="AB27" s="15">
        <f t="shared" si="10"/>
        <v>0.13186813186813207</v>
      </c>
      <c r="AC27" s="15">
        <f t="shared" si="11"/>
        <v>-4.8117154811715523E-2</v>
      </c>
      <c r="AD27" s="15">
        <f t="shared" si="12"/>
        <v>-5.3465346534653402E-2</v>
      </c>
      <c r="AE27" s="15">
        <f t="shared" si="13"/>
        <v>6.0924369747899165E-2</v>
      </c>
      <c r="AF27" s="15">
        <f t="shared" si="14"/>
        <v>-1.449275362318847E-2</v>
      </c>
      <c r="AG27" s="15">
        <f t="shared" si="15"/>
        <v>0.20149253731343308</v>
      </c>
      <c r="AH27" s="15">
        <f t="shared" si="16"/>
        <v>0.21084337349397586</v>
      </c>
      <c r="AI27" s="15">
        <f t="shared" si="17"/>
        <v>-0.19612590799031482</v>
      </c>
      <c r="AJ27" s="15">
        <f t="shared" si="18"/>
        <v>0.10427807486631013</v>
      </c>
      <c r="AK27" s="5">
        <f t="shared" si="19"/>
        <v>-0.19612590799031482</v>
      </c>
    </row>
    <row r="28" spans="1:37">
      <c r="A28" t="s">
        <v>38</v>
      </c>
      <c r="B28" t="s">
        <v>39</v>
      </c>
      <c r="C28" s="60">
        <v>31</v>
      </c>
      <c r="D28" s="60">
        <v>12</v>
      </c>
      <c r="E28" s="60">
        <v>2016</v>
      </c>
      <c r="F28" s="101">
        <v>22</v>
      </c>
      <c r="G28" s="101">
        <v>20.9</v>
      </c>
      <c r="H28" s="101">
        <v>19.600000000000001</v>
      </c>
      <c r="I28" s="96">
        <v>20.12</v>
      </c>
      <c r="J28" s="57">
        <v>16.760000000000002</v>
      </c>
      <c r="K28" s="57">
        <v>17.5</v>
      </c>
      <c r="L28" s="57">
        <v>16.61</v>
      </c>
      <c r="M28" s="57">
        <v>17.850000000000001</v>
      </c>
      <c r="N28" s="57">
        <v>18.940000000000001</v>
      </c>
      <c r="O28" s="57">
        <v>17.34</v>
      </c>
      <c r="P28" s="57">
        <v>16.350000000000001</v>
      </c>
      <c r="Q28" s="57">
        <v>19.09</v>
      </c>
      <c r="R28" s="57">
        <v>18.52</v>
      </c>
      <c r="S28" s="97">
        <f t="shared" si="1"/>
        <v>18.583076923076923</v>
      </c>
      <c r="T28" s="4">
        <f t="shared" ca="1" si="2"/>
        <v>0</v>
      </c>
      <c r="U28" s="4">
        <f t="shared" ca="1" si="3"/>
        <v>108</v>
      </c>
      <c r="V28" s="4">
        <f t="shared" ca="1" si="4"/>
        <v>252</v>
      </c>
      <c r="W28" s="13">
        <f t="shared" ca="1" si="5"/>
        <v>19.990000000000002</v>
      </c>
      <c r="X28" s="5">
        <f t="shared" ca="1" si="6"/>
        <v>7.5709909760741878E-2</v>
      </c>
      <c r="Y28" s="15">
        <f t="shared" si="7"/>
        <v>5.2631578947368585E-2</v>
      </c>
      <c r="Z28" s="15">
        <f t="shared" si="8"/>
        <v>6.6326530612244694E-2</v>
      </c>
      <c r="AA28" s="15">
        <f t="shared" si="9"/>
        <v>-2.5844930417495027E-2</v>
      </c>
      <c r="AB28" s="15">
        <f t="shared" si="10"/>
        <v>0.20047732696897369</v>
      </c>
      <c r="AC28" s="15">
        <f t="shared" si="11"/>
        <v>-4.2285714285714149E-2</v>
      </c>
      <c r="AD28" s="15">
        <f t="shared" si="12"/>
        <v>5.3582179409993991E-2</v>
      </c>
      <c r="AE28" s="15">
        <f t="shared" si="13"/>
        <v>-6.9467787114846025E-2</v>
      </c>
      <c r="AF28" s="15">
        <f t="shared" si="14"/>
        <v>-5.7550158394931383E-2</v>
      </c>
      <c r="AG28" s="15">
        <f t="shared" si="15"/>
        <v>9.2272202998846753E-2</v>
      </c>
      <c r="AH28" s="15">
        <f t="shared" si="16"/>
        <v>6.0550458715596278E-2</v>
      </c>
      <c r="AI28" s="15">
        <f t="shared" si="17"/>
        <v>-0.14353064431639595</v>
      </c>
      <c r="AJ28" s="15">
        <f t="shared" si="18"/>
        <v>3.077753779697634E-2</v>
      </c>
      <c r="AK28" s="5">
        <f t="shared" si="19"/>
        <v>-0.14353064431639595</v>
      </c>
    </row>
    <row r="29" spans="1:37">
      <c r="A29" s="52" t="s">
        <v>318</v>
      </c>
      <c r="B29" s="52" t="s">
        <v>319</v>
      </c>
      <c r="C29" s="104">
        <v>31</v>
      </c>
      <c r="D29" s="104">
        <v>12</v>
      </c>
      <c r="E29" s="104">
        <v>2016</v>
      </c>
      <c r="F29" s="101">
        <v>296</v>
      </c>
      <c r="G29" s="101">
        <v>253</v>
      </c>
      <c r="H29" s="101">
        <v>213</v>
      </c>
      <c r="I29" s="96">
        <v>175.07</v>
      </c>
      <c r="J29" s="57">
        <v>153.63999999999999</v>
      </c>
      <c r="K29" s="57">
        <v>129.99</v>
      </c>
      <c r="L29" s="57">
        <v>108.67</v>
      </c>
      <c r="M29" s="57">
        <v>89.48</v>
      </c>
      <c r="N29" s="57">
        <v>71.959999999999994</v>
      </c>
      <c r="O29" s="57">
        <v>56.65</v>
      </c>
      <c r="P29" s="57">
        <v>44.81</v>
      </c>
      <c r="Q29" s="57">
        <v>36.26</v>
      </c>
      <c r="R29" s="57">
        <v>27.57</v>
      </c>
      <c r="S29" s="97">
        <f t="shared" si="1"/>
        <v>127.3923076923077</v>
      </c>
      <c r="T29" s="4">
        <f t="shared" ca="1" si="2"/>
        <v>0</v>
      </c>
      <c r="U29" s="4">
        <f t="shared" ca="1" si="3"/>
        <v>108</v>
      </c>
      <c r="V29" s="4">
        <f t="shared" ca="1" si="4"/>
        <v>252</v>
      </c>
      <c r="W29" s="13">
        <f t="shared" ca="1" si="5"/>
        <v>225</v>
      </c>
      <c r="X29" s="5">
        <f t="shared" ca="1" si="6"/>
        <v>0.76619769337600374</v>
      </c>
      <c r="Y29" s="15">
        <f t="shared" si="7"/>
        <v>0.1699604743083003</v>
      </c>
      <c r="Z29" s="15">
        <f t="shared" si="8"/>
        <v>0.18779342723004699</v>
      </c>
      <c r="AA29" s="15">
        <f t="shared" si="9"/>
        <v>0.2166561946649912</v>
      </c>
      <c r="AB29" s="15">
        <f t="shared" si="10"/>
        <v>0.13948190575371</v>
      </c>
      <c r="AC29" s="15">
        <f t="shared" si="11"/>
        <v>0.18193707208246779</v>
      </c>
      <c r="AD29" s="15">
        <f t="shared" si="12"/>
        <v>0.19619030091101508</v>
      </c>
      <c r="AE29" s="15">
        <f t="shared" si="13"/>
        <v>0.21446133214126051</v>
      </c>
      <c r="AF29" s="15">
        <f t="shared" si="14"/>
        <v>0.24346859366314644</v>
      </c>
      <c r="AG29" s="15">
        <f t="shared" si="15"/>
        <v>0.27025595763459842</v>
      </c>
      <c r="AH29" s="15">
        <f t="shared" si="16"/>
        <v>0.26422673510377148</v>
      </c>
      <c r="AI29" s="15">
        <f t="shared" si="17"/>
        <v>0.23579702151130744</v>
      </c>
      <c r="AJ29" s="15">
        <f t="shared" si="18"/>
        <v>0.31519767863619874</v>
      </c>
      <c r="AK29" s="5">
        <f t="shared" si="19"/>
        <v>0.13948190575371</v>
      </c>
    </row>
    <row r="30" spans="1:37">
      <c r="A30" t="s">
        <v>91</v>
      </c>
      <c r="B30" t="s">
        <v>194</v>
      </c>
      <c r="C30" s="60">
        <v>31</v>
      </c>
      <c r="D30" s="60">
        <v>12</v>
      </c>
      <c r="E30" s="60">
        <v>2016</v>
      </c>
      <c r="F30" s="101">
        <v>193</v>
      </c>
      <c r="G30" s="101">
        <v>183</v>
      </c>
      <c r="H30" s="101">
        <v>176</v>
      </c>
      <c r="I30" s="96">
        <v>169.07</v>
      </c>
      <c r="J30" s="57">
        <v>166.79</v>
      </c>
      <c r="K30" s="57">
        <v>158.83000000000001</v>
      </c>
      <c r="L30" s="57">
        <v>147.43</v>
      </c>
      <c r="M30" s="57">
        <v>140.47999999999999</v>
      </c>
      <c r="N30" s="57">
        <v>136.47999999999999</v>
      </c>
      <c r="O30" s="57">
        <v>128.85</v>
      </c>
      <c r="P30" s="57">
        <v>102.13</v>
      </c>
      <c r="Q30" s="57">
        <v>98.87</v>
      </c>
      <c r="R30" s="57">
        <v>92.6</v>
      </c>
      <c r="S30" s="97">
        <f t="shared" si="1"/>
        <v>145.65615384615381</v>
      </c>
      <c r="T30" s="4">
        <f t="shared" ca="1" si="2"/>
        <v>0</v>
      </c>
      <c r="U30" s="4">
        <f t="shared" ca="1" si="3"/>
        <v>108</v>
      </c>
      <c r="V30" s="4">
        <f t="shared" ca="1" si="4"/>
        <v>252</v>
      </c>
      <c r="W30" s="13">
        <f t="shared" ca="1" si="5"/>
        <v>178.1</v>
      </c>
      <c r="X30" s="5">
        <f t="shared" ca="1" si="6"/>
        <v>0.22274270806377539</v>
      </c>
      <c r="Y30" s="15">
        <f t="shared" si="7"/>
        <v>5.464480874316946E-2</v>
      </c>
      <c r="Z30" s="15">
        <f t="shared" si="8"/>
        <v>3.9772727272727293E-2</v>
      </c>
      <c r="AA30" s="15">
        <f t="shared" si="9"/>
        <v>4.0988939492518028E-2</v>
      </c>
      <c r="AB30" s="15">
        <f t="shared" si="10"/>
        <v>1.3669884285628653E-2</v>
      </c>
      <c r="AC30" s="15">
        <f t="shared" si="11"/>
        <v>5.0116476736132842E-2</v>
      </c>
      <c r="AD30" s="15">
        <f t="shared" si="12"/>
        <v>7.7324832123719656E-2</v>
      </c>
      <c r="AE30" s="15">
        <f t="shared" si="13"/>
        <v>4.947323462414599E-2</v>
      </c>
      <c r="AF30" s="15">
        <f t="shared" si="14"/>
        <v>2.9308323563892236E-2</v>
      </c>
      <c r="AG30" s="15">
        <f t="shared" si="15"/>
        <v>5.9216142801707283E-2</v>
      </c>
      <c r="AH30" s="15">
        <f t="shared" si="16"/>
        <v>0.26162733770684432</v>
      </c>
      <c r="AI30" s="15">
        <f t="shared" si="17"/>
        <v>3.2972590270051505E-2</v>
      </c>
      <c r="AJ30" s="15">
        <f t="shared" si="18"/>
        <v>6.771058315334777E-2</v>
      </c>
      <c r="AK30" s="5">
        <f t="shared" si="19"/>
        <v>1.3669884285628653E-2</v>
      </c>
    </row>
    <row r="31" spans="1:37">
      <c r="A31" s="52" t="s">
        <v>267</v>
      </c>
      <c r="B31" s="52" t="s">
        <v>273</v>
      </c>
      <c r="C31" s="104">
        <v>31</v>
      </c>
      <c r="D31" s="104">
        <v>12</v>
      </c>
      <c r="E31" s="104">
        <v>2016</v>
      </c>
      <c r="F31" s="101">
        <v>36.799999999999997</v>
      </c>
      <c r="G31" s="101">
        <v>35.700000000000003</v>
      </c>
      <c r="H31" s="101">
        <v>34.5</v>
      </c>
      <c r="I31" s="96">
        <v>33.79</v>
      </c>
      <c r="J31" s="57">
        <v>33.299999999999997</v>
      </c>
      <c r="K31" s="57">
        <v>32.15</v>
      </c>
      <c r="L31" s="57">
        <v>30.62</v>
      </c>
      <c r="M31" s="57">
        <v>29.32</v>
      </c>
      <c r="N31" s="57">
        <v>27.66</v>
      </c>
      <c r="O31" s="57">
        <v>25.72</v>
      </c>
      <c r="P31" s="57">
        <v>24.03</v>
      </c>
      <c r="Q31" s="57">
        <v>21.8</v>
      </c>
      <c r="R31" s="58"/>
      <c r="S31" s="97">
        <f t="shared" si="1"/>
        <v>30.44916666666667</v>
      </c>
      <c r="T31" s="4">
        <f t="shared" ca="1" si="2"/>
        <v>0</v>
      </c>
      <c r="U31" s="4">
        <f t="shared" ca="1" si="3"/>
        <v>108</v>
      </c>
      <c r="V31" s="4">
        <f t="shared" ca="1" si="4"/>
        <v>252</v>
      </c>
      <c r="W31" s="13">
        <f t="shared" ca="1" si="5"/>
        <v>34.86</v>
      </c>
      <c r="X31" s="5">
        <f t="shared" ca="1" si="6"/>
        <v>0.14485891786857863</v>
      </c>
      <c r="Y31" s="15">
        <f t="shared" si="7"/>
        <v>3.0812324929971879E-2</v>
      </c>
      <c r="Z31" s="15">
        <f t="shared" si="8"/>
        <v>3.4782608695652195E-2</v>
      </c>
      <c r="AA31" s="15">
        <f t="shared" si="9"/>
        <v>2.1012133767386754E-2</v>
      </c>
      <c r="AB31" s="15">
        <f t="shared" si="10"/>
        <v>1.471471471471486E-2</v>
      </c>
      <c r="AC31" s="15">
        <f t="shared" si="11"/>
        <v>3.5769828926905056E-2</v>
      </c>
      <c r="AD31" s="15">
        <f t="shared" si="12"/>
        <v>4.9967341606792948E-2</v>
      </c>
      <c r="AE31" s="15">
        <f t="shared" si="13"/>
        <v>4.4338335607094104E-2</v>
      </c>
      <c r="AF31" s="15">
        <f t="shared" si="14"/>
        <v>6.001446131597965E-2</v>
      </c>
      <c r="AG31" s="15">
        <f t="shared" si="15"/>
        <v>7.5427682737169599E-2</v>
      </c>
      <c r="AH31" s="15">
        <f t="shared" si="16"/>
        <v>7.0328755722014025E-2</v>
      </c>
      <c r="AI31" s="15">
        <f t="shared" si="17"/>
        <v>0.1022935779816514</v>
      </c>
      <c r="AJ31" s="15">
        <f t="shared" si="18"/>
        <v>99.999989999999997</v>
      </c>
      <c r="AK31" s="5">
        <f t="shared" si="19"/>
        <v>1.471471471471486E-2</v>
      </c>
    </row>
    <row r="32" spans="1:37">
      <c r="A32" s="52" t="s">
        <v>279</v>
      </c>
      <c r="B32" s="52" t="s">
        <v>280</v>
      </c>
      <c r="C32" s="104">
        <v>31</v>
      </c>
      <c r="D32" s="104">
        <v>7</v>
      </c>
      <c r="E32" s="104">
        <v>2016</v>
      </c>
      <c r="F32" s="101">
        <v>13.9</v>
      </c>
      <c r="G32" s="101">
        <v>13.5</v>
      </c>
      <c r="H32" s="101">
        <v>12.4</v>
      </c>
      <c r="I32" s="96">
        <v>11.74</v>
      </c>
      <c r="J32" s="96">
        <v>11.09</v>
      </c>
      <c r="K32" s="57">
        <v>10.97</v>
      </c>
      <c r="L32" s="57">
        <v>9.68</v>
      </c>
      <c r="M32" s="57">
        <v>8.69</v>
      </c>
      <c r="N32" s="57">
        <v>7.83</v>
      </c>
      <c r="O32" s="57">
        <v>6.68</v>
      </c>
      <c r="P32" s="57">
        <v>5.83</v>
      </c>
      <c r="Q32" s="57">
        <v>5.2</v>
      </c>
      <c r="R32" s="57">
        <v>3.95</v>
      </c>
      <c r="S32" s="97">
        <f t="shared" si="1"/>
        <v>9.3430769230769233</v>
      </c>
      <c r="T32" s="4">
        <f t="shared" ca="1" si="2"/>
        <v>0</v>
      </c>
      <c r="U32" s="4">
        <f t="shared" ca="1" si="3"/>
        <v>258</v>
      </c>
      <c r="V32" s="4">
        <f t="shared" ca="1" si="4"/>
        <v>102</v>
      </c>
      <c r="W32" s="13">
        <f t="shared" ca="1" si="5"/>
        <v>13.188333333333333</v>
      </c>
      <c r="X32" s="5">
        <f t="shared" ca="1" si="6"/>
        <v>0.4115621054942642</v>
      </c>
      <c r="Y32" s="15">
        <f t="shared" si="7"/>
        <v>2.9629629629629672E-2</v>
      </c>
      <c r="Z32" s="15">
        <f t="shared" si="8"/>
        <v>8.870967741935476E-2</v>
      </c>
      <c r="AA32" s="15">
        <f t="shared" si="9"/>
        <v>5.6218057921635367E-2</v>
      </c>
      <c r="AB32" s="15">
        <f t="shared" si="10"/>
        <v>5.8611361587015409E-2</v>
      </c>
      <c r="AC32" s="15">
        <f t="shared" si="11"/>
        <v>1.0938924339106482E-2</v>
      </c>
      <c r="AD32" s="15">
        <f t="shared" si="12"/>
        <v>0.13326446280991755</v>
      </c>
      <c r="AE32" s="15">
        <f t="shared" si="13"/>
        <v>0.11392405063291133</v>
      </c>
      <c r="AF32" s="15">
        <f t="shared" si="14"/>
        <v>0.10983397190293731</v>
      </c>
      <c r="AG32" s="15">
        <f t="shared" si="15"/>
        <v>0.17215568862275465</v>
      </c>
      <c r="AH32" s="15">
        <f t="shared" si="16"/>
        <v>0.14579759862778729</v>
      </c>
      <c r="AI32" s="15">
        <f t="shared" si="17"/>
        <v>0.12115384615384617</v>
      </c>
      <c r="AJ32" s="15">
        <f t="shared" si="18"/>
        <v>0.31645569620253156</v>
      </c>
      <c r="AK32" s="5">
        <f t="shared" si="19"/>
        <v>1.0938924339106482E-2</v>
      </c>
    </row>
    <row r="33" spans="1:37">
      <c r="A33" t="s">
        <v>40</v>
      </c>
      <c r="B33" t="s">
        <v>41</v>
      </c>
      <c r="C33" s="60">
        <v>31</v>
      </c>
      <c r="D33" s="60">
        <v>12</v>
      </c>
      <c r="E33" s="60">
        <v>2016</v>
      </c>
      <c r="F33" s="101">
        <v>4.37</v>
      </c>
      <c r="G33" s="101">
        <v>4.8499999999999996</v>
      </c>
      <c r="H33" s="101">
        <v>5.44</v>
      </c>
      <c r="I33" s="96">
        <v>5.88</v>
      </c>
      <c r="J33" s="57">
        <v>6.94</v>
      </c>
      <c r="K33" s="57">
        <v>7.54</v>
      </c>
      <c r="L33" s="57">
        <v>7.34</v>
      </c>
      <c r="M33" s="57">
        <v>6.99</v>
      </c>
      <c r="N33" s="57">
        <v>6.76</v>
      </c>
      <c r="O33" s="57">
        <v>5.38</v>
      </c>
      <c r="P33" s="57">
        <v>4.43</v>
      </c>
      <c r="Q33" s="57">
        <v>4.6900000000000004</v>
      </c>
      <c r="R33" s="57">
        <v>3.65</v>
      </c>
      <c r="S33" s="97">
        <f t="shared" si="1"/>
        <v>5.712307692307693</v>
      </c>
      <c r="T33" s="4">
        <f t="shared" ca="1" si="2"/>
        <v>0</v>
      </c>
      <c r="U33" s="4">
        <f t="shared" ca="1" si="3"/>
        <v>108</v>
      </c>
      <c r="V33" s="4">
        <f t="shared" ca="1" si="4"/>
        <v>252</v>
      </c>
      <c r="W33" s="13">
        <f t="shared" ca="1" si="5"/>
        <v>5.2629999999999999</v>
      </c>
      <c r="X33" s="5">
        <f t="shared" ca="1" si="6"/>
        <v>-7.8656073256127224E-2</v>
      </c>
      <c r="Y33" s="15">
        <f t="shared" si="7"/>
        <v>-9.8969072164948324E-2</v>
      </c>
      <c r="Z33" s="15">
        <f t="shared" si="8"/>
        <v>-0.10845588235294135</v>
      </c>
      <c r="AA33" s="15">
        <f t="shared" si="9"/>
        <v>-7.4829931972789088E-2</v>
      </c>
      <c r="AB33" s="15">
        <f t="shared" si="10"/>
        <v>-0.1527377521613833</v>
      </c>
      <c r="AC33" s="15">
        <f t="shared" si="11"/>
        <v>-7.9575596816976124E-2</v>
      </c>
      <c r="AD33" s="15">
        <f t="shared" si="12"/>
        <v>2.7247956403269713E-2</v>
      </c>
      <c r="AE33" s="15">
        <f t="shared" si="13"/>
        <v>5.0071530758226013E-2</v>
      </c>
      <c r="AF33" s="15">
        <f t="shared" si="14"/>
        <v>3.4023668639053373E-2</v>
      </c>
      <c r="AG33" s="15">
        <f t="shared" si="15"/>
        <v>0.25650557620817849</v>
      </c>
      <c r="AH33" s="15">
        <f t="shared" si="16"/>
        <v>0.21444695259593693</v>
      </c>
      <c r="AI33" s="15">
        <f t="shared" si="17"/>
        <v>-5.5437100213219792E-2</v>
      </c>
      <c r="AJ33" s="15">
        <f t="shared" si="18"/>
        <v>0.28493150684931523</v>
      </c>
      <c r="AK33" s="5">
        <f t="shared" si="19"/>
        <v>-0.1527377521613833</v>
      </c>
    </row>
    <row r="34" spans="1:37">
      <c r="A34" t="s">
        <v>42</v>
      </c>
      <c r="B34" t="s">
        <v>43</v>
      </c>
      <c r="C34" s="60">
        <v>31</v>
      </c>
      <c r="D34" s="60">
        <v>12</v>
      </c>
      <c r="E34" s="60">
        <v>2016</v>
      </c>
      <c r="F34" s="101">
        <v>-0.14000000000000001</v>
      </c>
      <c r="G34" s="101">
        <v>-0.3</v>
      </c>
      <c r="H34" s="101">
        <v>-0.28999999999999998</v>
      </c>
      <c r="I34" s="96">
        <v>-0.05</v>
      </c>
      <c r="J34" s="57">
        <v>1.53</v>
      </c>
      <c r="K34" s="57">
        <v>2.76</v>
      </c>
      <c r="L34" s="57">
        <v>2.56</v>
      </c>
      <c r="M34" s="57">
        <v>2.65</v>
      </c>
      <c r="N34" s="57">
        <v>2.85</v>
      </c>
      <c r="O34" s="57">
        <v>3.3</v>
      </c>
      <c r="P34" s="57">
        <v>1.92</v>
      </c>
      <c r="Q34" s="57">
        <v>2.25</v>
      </c>
      <c r="R34" s="57">
        <v>1.38</v>
      </c>
      <c r="S34" s="97">
        <f t="shared" si="1"/>
        <v>1.5707692307692307</v>
      </c>
      <c r="T34" s="4">
        <f t="shared" ca="1" si="2"/>
        <v>0</v>
      </c>
      <c r="U34" s="4">
        <f t="shared" ca="1" si="3"/>
        <v>108</v>
      </c>
      <c r="V34" s="4">
        <f t="shared" ca="1" si="4"/>
        <v>252</v>
      </c>
      <c r="W34" s="13">
        <f t="shared" ca="1" si="5"/>
        <v>-0.29299999999999998</v>
      </c>
      <c r="X34" s="5">
        <f t="shared" ca="1" si="6"/>
        <v>-1.1865328109696376</v>
      </c>
      <c r="Y34" s="15">
        <f t="shared" si="7"/>
        <v>0.53333333333333321</v>
      </c>
      <c r="Z34" s="15">
        <f t="shared" si="8"/>
        <v>-3.4482758620689724E-2</v>
      </c>
      <c r="AA34" s="15">
        <f t="shared" si="9"/>
        <v>-4.7999999999999989</v>
      </c>
      <c r="AB34" s="15">
        <f t="shared" si="10"/>
        <v>-1.0326797385620916</v>
      </c>
      <c r="AC34" s="15">
        <f t="shared" si="11"/>
        <v>-0.44565217391304346</v>
      </c>
      <c r="AD34" s="15">
        <f t="shared" si="12"/>
        <v>7.8125E-2</v>
      </c>
      <c r="AE34" s="15">
        <f t="shared" si="13"/>
        <v>-3.3962264150943389E-2</v>
      </c>
      <c r="AF34" s="15">
        <f t="shared" si="14"/>
        <v>-7.0175438596491335E-2</v>
      </c>
      <c r="AG34" s="15">
        <f t="shared" si="15"/>
        <v>-0.13636363636363624</v>
      </c>
      <c r="AH34" s="15">
        <f t="shared" si="16"/>
        <v>0.71875</v>
      </c>
      <c r="AI34" s="15">
        <f t="shared" si="17"/>
        <v>-0.14666666666666672</v>
      </c>
      <c r="AJ34" s="15">
        <f t="shared" si="18"/>
        <v>0.63043478260869579</v>
      </c>
      <c r="AK34" s="5">
        <f t="shared" si="19"/>
        <v>-4.7999999999999989</v>
      </c>
    </row>
    <row r="35" spans="1:37">
      <c r="A35" t="s">
        <v>44</v>
      </c>
      <c r="B35" t="s">
        <v>45</v>
      </c>
      <c r="C35" s="60">
        <v>31</v>
      </c>
      <c r="D35" s="60">
        <v>12</v>
      </c>
      <c r="E35" s="60">
        <v>2016</v>
      </c>
      <c r="F35" s="101">
        <v>9.9700000000000006</v>
      </c>
      <c r="G35" s="101">
        <v>9.7799999999999994</v>
      </c>
      <c r="H35" s="101">
        <v>9.81</v>
      </c>
      <c r="I35" s="96">
        <v>10.48</v>
      </c>
      <c r="J35" s="57">
        <v>12.74</v>
      </c>
      <c r="K35" s="57">
        <v>12.98</v>
      </c>
      <c r="L35" s="57">
        <v>11.82</v>
      </c>
      <c r="M35" s="57">
        <v>11.01</v>
      </c>
      <c r="N35" s="57">
        <v>11.2</v>
      </c>
      <c r="O35" s="57">
        <v>11</v>
      </c>
      <c r="P35" s="57">
        <v>9.93</v>
      </c>
      <c r="Q35" s="57">
        <v>11.57</v>
      </c>
      <c r="R35" s="57">
        <v>10.93</v>
      </c>
      <c r="S35" s="97">
        <f t="shared" si="1"/>
        <v>11.01692307692308</v>
      </c>
      <c r="T35" s="4">
        <f t="shared" ca="1" si="2"/>
        <v>0</v>
      </c>
      <c r="U35" s="4">
        <f t="shared" ca="1" si="3"/>
        <v>108</v>
      </c>
      <c r="V35" s="4">
        <f t="shared" ca="1" si="4"/>
        <v>252</v>
      </c>
      <c r="W35" s="13">
        <f t="shared" ca="1" si="5"/>
        <v>9.8010000000000002</v>
      </c>
      <c r="X35" s="5">
        <f t="shared" ca="1" si="6"/>
        <v>-0.11036866359447028</v>
      </c>
      <c r="Y35" s="15">
        <f t="shared" si="7"/>
        <v>1.9427402862985721E-2</v>
      </c>
      <c r="Z35" s="15">
        <f t="shared" si="8"/>
        <v>-3.0581039755352979E-3</v>
      </c>
      <c r="AA35" s="15">
        <f t="shared" si="9"/>
        <v>-6.3931297709923673E-2</v>
      </c>
      <c r="AB35" s="15">
        <f t="shared" si="10"/>
        <v>-0.17739403453689162</v>
      </c>
      <c r="AC35" s="15">
        <f t="shared" si="11"/>
        <v>-1.8489984591679498E-2</v>
      </c>
      <c r="AD35" s="15">
        <f t="shared" si="12"/>
        <v>9.8138747884940702E-2</v>
      </c>
      <c r="AE35" s="15">
        <f t="shared" si="13"/>
        <v>7.3569482288828425E-2</v>
      </c>
      <c r="AF35" s="15">
        <f t="shared" si="14"/>
        <v>-1.6964285714285654E-2</v>
      </c>
      <c r="AG35" s="15">
        <f t="shared" si="15"/>
        <v>1.8181818181818077E-2</v>
      </c>
      <c r="AH35" s="15">
        <f t="shared" si="16"/>
        <v>0.10775427995971798</v>
      </c>
      <c r="AI35" s="15">
        <f t="shared" si="17"/>
        <v>-0.1417458945548834</v>
      </c>
      <c r="AJ35" s="15">
        <f t="shared" si="18"/>
        <v>5.855443732845389E-2</v>
      </c>
      <c r="AK35" s="5">
        <f t="shared" si="19"/>
        <v>-0.17739403453689162</v>
      </c>
    </row>
    <row r="36" spans="1:37">
      <c r="A36" t="s">
        <v>46</v>
      </c>
      <c r="B36" t="s">
        <v>47</v>
      </c>
      <c r="C36" s="60">
        <v>31</v>
      </c>
      <c r="D36" s="60">
        <v>12</v>
      </c>
      <c r="E36" s="60">
        <v>2016</v>
      </c>
      <c r="F36" s="101">
        <v>18.7</v>
      </c>
      <c r="G36" s="101">
        <v>17.3</v>
      </c>
      <c r="H36" s="101">
        <v>16.8</v>
      </c>
      <c r="I36" s="96">
        <v>14.87</v>
      </c>
      <c r="J36" s="57">
        <v>12.13</v>
      </c>
      <c r="K36" s="57">
        <v>21.75</v>
      </c>
      <c r="L36" s="57">
        <v>16.989999999999998</v>
      </c>
      <c r="M36" s="57">
        <v>17.399999999999999</v>
      </c>
      <c r="N36" s="57">
        <v>19</v>
      </c>
      <c r="O36" s="57">
        <v>17.43</v>
      </c>
      <c r="P36" s="57">
        <v>10.06</v>
      </c>
      <c r="Q36" s="57">
        <v>20.55</v>
      </c>
      <c r="R36" s="57">
        <v>18.920000000000002</v>
      </c>
      <c r="S36" s="97">
        <f t="shared" ref="S36:S67" si="20">AVERAGE(F36:R36)</f>
        <v>17.069230769230771</v>
      </c>
      <c r="T36" s="4">
        <f t="shared" ref="T36:T67" ca="1" si="21">IF(DAYS360(TODAY(),DATE(E36+2,D36,C36))&gt;=720,0,360-U36)</f>
        <v>0</v>
      </c>
      <c r="U36" s="4">
        <f t="shared" ref="U36:U67" ca="1" si="22">IF(DAYS360(TODAY(),DATE(E36+1,D36,C36))&lt;=360,DAYS360(TODAY(),DATE(E36+1,D36,C36)),360-V36)</f>
        <v>108</v>
      </c>
      <c r="V36" s="4">
        <f t="shared" ref="V36:V67" ca="1" si="23">IF(DATE(E36,D36,C36)&lt;=TODAY(),0,DAYS360(TODAY(),DATE(E36,D36,C36)))</f>
        <v>252</v>
      </c>
      <c r="W36" s="13">
        <f t="shared" ref="W36:W67" ca="1" si="24">(F36/360*T36)+(G36/360*U36)+(H36/360*V36)</f>
        <v>16.95</v>
      </c>
      <c r="X36" s="5">
        <f t="shared" ref="X36:X67" ca="1" si="25">IF(W36&lt;0,IF(S36&lt;0,((W36/S36)-1)*-1,(W36/S36)-1),IF(S36&lt;0,ABS((W36/S36)-1),(W36/S36)-1))</f>
        <v>-6.9851284362326682E-3</v>
      </c>
      <c r="Y36" s="15">
        <f t="shared" ref="Y36:Y67" si="26">IF(F36&lt;&gt;"",IF(G36&lt;&gt;"",IF(F36&lt;0,IF(G36&lt;0,((F36/G36)-1)*-1,(F36/G36)-1),IF(G36&lt;0,ABS((F36/G36)-1),(F36/G36)-1))),99.99999)</f>
        <v>8.0924855491329328E-2</v>
      </c>
      <c r="Z36" s="15">
        <f t="shared" ref="Z36:Z67" si="27">IF(H36&lt;&gt;"",IF(G36&lt;0,IF(H36&lt;0,((G36/H36)-1)*-1,(G36/H36)-1),IF(H36&lt;0,ABS((G36/H36)-1),(G36/H36)-1)),99.99999)</f>
        <v>2.9761904761904656E-2</v>
      </c>
      <c r="AA36" s="15">
        <f t="shared" ref="AA36:AA67" si="28">IF(I36&lt;&gt;"",IF(H36&lt;0,IF(I36&lt;0,((H36/I36)-1)*-1,(H36/I36)-1),IF(I36&lt;0,ABS((H36/I36)-1),(H36/I36)-1)),99.99999)</f>
        <v>0.12979152656355097</v>
      </c>
      <c r="AB36" s="15">
        <f t="shared" ref="AB36:AB67" si="29">IF(J36&lt;&gt;"",IF(I36&lt;0,IF(J36&lt;0,((I36/J36)-1)*-1,(I36/J36)-1),IF(J36&lt;0,ABS((I36/J36)-1),(I36/J36)-1)),99.99999)</f>
        <v>0.22588623248145079</v>
      </c>
      <c r="AC36" s="15">
        <f t="shared" ref="AC36:AC67" si="30">IF(K36&lt;&gt;"",IF(J36&lt;0,IF(K36&lt;0,((J36/K36)-1)*-1,(J36/K36)-1),IF(K36&lt;0,ABS((J36/K36)-1),(J36/K36)-1)),99.99999)</f>
        <v>-0.44229885057471263</v>
      </c>
      <c r="AD36" s="15">
        <f t="shared" ref="AD36:AD67" si="31">IF(L36&lt;&gt;"",IF(K36&lt;0,IF(L36&lt;0,((K36/L36)-1)*-1,(K36/L36)-1),IF(L36&lt;0,ABS((K36/L36)-1),(K36/L36)-1)),99.99999)</f>
        <v>0.28016480282519152</v>
      </c>
      <c r="AE36" s="15">
        <f t="shared" ref="AE36:AE67" si="32">IF(M36&lt;&gt;"",IF(L36&lt;0,IF(M36&lt;0,((L36/M36)-1)*-1,(L36/M36)-1),IF(M36&lt;0,ABS((L36/M36)-1),(L36/M36)-1)),99.99999)</f>
        <v>-2.3563218390804552E-2</v>
      </c>
      <c r="AF36" s="15">
        <f t="shared" ref="AF36:AF67" si="33">IF(N36&lt;&gt;"",IF(M36&lt;0,IF(N36&lt;0,((M36/N36)-1)*-1,(M36/N36)-1),IF(N36&lt;0,ABS((M36/N36)-1),(M36/N36)-1)),99.99999)</f>
        <v>-8.4210526315789513E-2</v>
      </c>
      <c r="AG36" s="15">
        <f t="shared" ref="AG36:AG67" si="34">IF(O36&lt;&gt;"",IF(N36&lt;0,IF(O36&lt;0,((N36/O36)-1)*-1,(N36/O36)-1),IF(O36&lt;0,ABS((N36/O36)-1),(N36/O36)-1)),99.99999)</f>
        <v>9.0074584050487738E-2</v>
      </c>
      <c r="AH36" s="15">
        <f t="shared" ref="AH36:AH67" si="35">IF(P36&lt;&gt;"",IF(O36&lt;0,IF(P36&lt;0,((O36/P36)-1)*-1,(O36/P36)-1),IF(P36&lt;0,ABS((O36/P36)-1),(O36/P36)-1)),99.99999)</f>
        <v>0.73260437375745524</v>
      </c>
      <c r="AI36" s="15">
        <f t="shared" ref="AI36:AI67" si="36">IF(Q36&lt;&gt;"",IF(P36&lt;0,IF(Q36&lt;0,((P36/Q36)-1)*-1,(P36/Q36)-1),IF(Q36&lt;0,ABS((P36/Q36)-1),(P36/Q36)-1)),99.99999)</f>
        <v>-0.51046228710462294</v>
      </c>
      <c r="AJ36" s="15">
        <f t="shared" ref="AJ36:AJ67" si="37">IF(R36&lt;&gt;"",IF(Q36&lt;0,IF(R36&lt;0,((Q36/R36)-1)*-1,(Q36/R36)-1),IF(R36&lt;0,ABS((Q36/R36)-1),(Q36/R36)-1)),99.99999)</f>
        <v>8.6152219873150138E-2</v>
      </c>
      <c r="AK36" s="5">
        <f t="shared" ref="AK36:AK67" si="38">MIN(Y36:AJ36)</f>
        <v>-0.51046228710462294</v>
      </c>
    </row>
    <row r="37" spans="1:37">
      <c r="A37" t="s">
        <v>48</v>
      </c>
      <c r="B37" t="s">
        <v>49</v>
      </c>
      <c r="C37" s="60">
        <v>31</v>
      </c>
      <c r="D37" s="60">
        <v>12</v>
      </c>
      <c r="E37" s="60">
        <v>2016</v>
      </c>
      <c r="F37" s="101">
        <v>33.200000000000003</v>
      </c>
      <c r="G37" s="101">
        <v>29.2</v>
      </c>
      <c r="H37" s="101">
        <v>26.6</v>
      </c>
      <c r="I37" s="96">
        <v>25.82</v>
      </c>
      <c r="J37" s="57">
        <v>25.06</v>
      </c>
      <c r="K37" s="57">
        <v>26.25</v>
      </c>
      <c r="L37" s="57">
        <v>23.33</v>
      </c>
      <c r="M37" s="57">
        <v>20.95</v>
      </c>
      <c r="N37" s="57">
        <v>20.66</v>
      </c>
      <c r="O37" s="57">
        <v>18.37</v>
      </c>
      <c r="P37" s="57">
        <v>15.35</v>
      </c>
      <c r="Q37" s="57">
        <v>15.25</v>
      </c>
      <c r="R37" s="57">
        <v>13.59</v>
      </c>
      <c r="S37" s="97">
        <f t="shared" si="20"/>
        <v>22.586923076923071</v>
      </c>
      <c r="T37" s="4">
        <f t="shared" ca="1" si="21"/>
        <v>0</v>
      </c>
      <c r="U37" s="4">
        <f t="shared" ca="1" si="22"/>
        <v>108</v>
      </c>
      <c r="V37" s="4">
        <f t="shared" ca="1" si="23"/>
        <v>252</v>
      </c>
      <c r="W37" s="13">
        <f t="shared" ca="1" si="24"/>
        <v>27.380000000000003</v>
      </c>
      <c r="X37" s="5">
        <f t="shared" ca="1" si="25"/>
        <v>0.21220583727820763</v>
      </c>
      <c r="Y37" s="15">
        <f t="shared" si="26"/>
        <v>0.13698630136986312</v>
      </c>
      <c r="Z37" s="15">
        <f t="shared" si="27"/>
        <v>9.7744360902255467E-2</v>
      </c>
      <c r="AA37" s="15">
        <f t="shared" si="28"/>
        <v>3.0209140201394202E-2</v>
      </c>
      <c r="AB37" s="15">
        <f t="shared" si="29"/>
        <v>3.0327214684756632E-2</v>
      </c>
      <c r="AC37" s="15">
        <f t="shared" si="30"/>
        <v>-4.5333333333333337E-2</v>
      </c>
      <c r="AD37" s="15">
        <f t="shared" si="31"/>
        <v>0.12516073724817844</v>
      </c>
      <c r="AE37" s="15">
        <f t="shared" si="32"/>
        <v>0.11360381861575175</v>
      </c>
      <c r="AF37" s="15">
        <f t="shared" si="33"/>
        <v>1.4036786060019235E-2</v>
      </c>
      <c r="AG37" s="15">
        <f t="shared" si="34"/>
        <v>0.1246597713663582</v>
      </c>
      <c r="AH37" s="15">
        <f t="shared" si="35"/>
        <v>0.19674267100977216</v>
      </c>
      <c r="AI37" s="15">
        <f t="shared" si="36"/>
        <v>6.5573770491802463E-3</v>
      </c>
      <c r="AJ37" s="15">
        <f t="shared" si="37"/>
        <v>0.1221486387049302</v>
      </c>
      <c r="AK37" s="5">
        <f t="shared" si="38"/>
        <v>-4.5333333333333337E-2</v>
      </c>
    </row>
    <row r="38" spans="1:37">
      <c r="A38" t="s">
        <v>314</v>
      </c>
      <c r="B38" t="s">
        <v>315</v>
      </c>
      <c r="C38" s="104">
        <v>31</v>
      </c>
      <c r="D38" s="104">
        <v>12</v>
      </c>
      <c r="E38" s="60">
        <v>2016</v>
      </c>
      <c r="F38" s="101">
        <v>49.4</v>
      </c>
      <c r="G38" s="101">
        <v>48.5</v>
      </c>
      <c r="H38" s="101">
        <v>46.9</v>
      </c>
      <c r="I38" s="96">
        <v>47.69</v>
      </c>
      <c r="J38" s="57"/>
      <c r="K38" s="57"/>
      <c r="L38" s="57"/>
      <c r="M38" s="57"/>
      <c r="N38" s="57"/>
      <c r="O38" s="57"/>
      <c r="P38" s="57"/>
      <c r="Q38" s="57"/>
      <c r="R38" s="57"/>
      <c r="S38" s="97">
        <f t="shared" si="20"/>
        <v>48.122500000000002</v>
      </c>
      <c r="T38" s="4">
        <f t="shared" ca="1" si="21"/>
        <v>0</v>
      </c>
      <c r="U38" s="4">
        <f t="shared" ca="1" si="22"/>
        <v>108</v>
      </c>
      <c r="V38" s="4">
        <f t="shared" ca="1" si="23"/>
        <v>252</v>
      </c>
      <c r="W38" s="13">
        <f t="shared" ca="1" si="24"/>
        <v>47.379999999999995</v>
      </c>
      <c r="X38" s="5">
        <f t="shared" ca="1" si="25"/>
        <v>-1.5429372954439358E-2</v>
      </c>
      <c r="Y38" s="15">
        <f t="shared" si="26"/>
        <v>1.8556701030927769E-2</v>
      </c>
      <c r="Z38" s="15">
        <f t="shared" si="27"/>
        <v>3.4115138592750505E-2</v>
      </c>
      <c r="AA38" s="15">
        <f t="shared" si="28"/>
        <v>-1.6565317676661806E-2</v>
      </c>
      <c r="AB38" s="15">
        <f t="shared" si="29"/>
        <v>99.999989999999997</v>
      </c>
      <c r="AC38" s="15">
        <f t="shared" si="30"/>
        <v>99.999989999999997</v>
      </c>
      <c r="AD38" s="15">
        <f t="shared" si="31"/>
        <v>99.999989999999997</v>
      </c>
      <c r="AE38" s="15">
        <f t="shared" si="32"/>
        <v>99.999989999999997</v>
      </c>
      <c r="AF38" s="15">
        <f t="shared" si="33"/>
        <v>99.999989999999997</v>
      </c>
      <c r="AG38" s="15">
        <f t="shared" si="34"/>
        <v>99.999989999999997</v>
      </c>
      <c r="AH38" s="15">
        <f t="shared" si="35"/>
        <v>99.999989999999997</v>
      </c>
      <c r="AI38" s="15">
        <f t="shared" si="36"/>
        <v>99.999989999999997</v>
      </c>
      <c r="AJ38" s="15">
        <f t="shared" si="37"/>
        <v>99.999989999999997</v>
      </c>
      <c r="AK38" s="5">
        <f t="shared" si="38"/>
        <v>-1.6565317676661806E-2</v>
      </c>
    </row>
    <row r="39" spans="1:37">
      <c r="A39" t="s">
        <v>50</v>
      </c>
      <c r="B39" t="s">
        <v>51</v>
      </c>
      <c r="C39" s="60">
        <v>31</v>
      </c>
      <c r="D39" s="60">
        <v>12</v>
      </c>
      <c r="E39" s="60">
        <v>2016</v>
      </c>
      <c r="F39" s="101">
        <v>-3.66</v>
      </c>
      <c r="G39" s="101">
        <v>-4.6900000000000004</v>
      </c>
      <c r="H39" s="101">
        <v>-2.64</v>
      </c>
      <c r="I39" s="96">
        <v>7.82</v>
      </c>
      <c r="J39" s="57">
        <v>13.35</v>
      </c>
      <c r="K39" s="57">
        <v>16.16</v>
      </c>
      <c r="L39" s="57">
        <v>15.25</v>
      </c>
      <c r="M39" s="57">
        <v>14.09</v>
      </c>
      <c r="N39" s="57">
        <v>13.89</v>
      </c>
      <c r="O39" s="57">
        <v>12.67</v>
      </c>
      <c r="P39" s="57">
        <v>12</v>
      </c>
      <c r="Q39" s="57">
        <v>13.11</v>
      </c>
      <c r="R39" s="57">
        <v>12.84</v>
      </c>
      <c r="S39" s="97">
        <f t="shared" si="20"/>
        <v>9.2453846153846158</v>
      </c>
      <c r="T39" s="4">
        <f t="shared" ca="1" si="21"/>
        <v>0</v>
      </c>
      <c r="U39" s="4">
        <f t="shared" ca="1" si="22"/>
        <v>108</v>
      </c>
      <c r="V39" s="4">
        <f t="shared" ca="1" si="23"/>
        <v>252</v>
      </c>
      <c r="W39" s="13">
        <f t="shared" ca="1" si="24"/>
        <v>-3.2549999999999999</v>
      </c>
      <c r="X39" s="5">
        <f t="shared" ca="1" si="25"/>
        <v>-1.3520675596971461</v>
      </c>
      <c r="Y39" s="15">
        <f t="shared" si="26"/>
        <v>0.21961620469083154</v>
      </c>
      <c r="Z39" s="15">
        <f t="shared" si="27"/>
        <v>-0.7765151515151516</v>
      </c>
      <c r="AA39" s="15">
        <f t="shared" si="28"/>
        <v>-1.3375959079283888</v>
      </c>
      <c r="AB39" s="15">
        <f t="shared" si="29"/>
        <v>-0.41423220973782771</v>
      </c>
      <c r="AC39" s="15">
        <f t="shared" si="30"/>
        <v>-0.17388613861386137</v>
      </c>
      <c r="AD39" s="15">
        <f t="shared" si="31"/>
        <v>5.9672131147540997E-2</v>
      </c>
      <c r="AE39" s="15">
        <f t="shared" si="32"/>
        <v>8.2327892122072477E-2</v>
      </c>
      <c r="AF39" s="15">
        <f t="shared" si="33"/>
        <v>1.4398848092152639E-2</v>
      </c>
      <c r="AG39" s="15">
        <f t="shared" si="34"/>
        <v>9.6290449881610174E-2</v>
      </c>
      <c r="AH39" s="15">
        <f t="shared" si="35"/>
        <v>5.5833333333333401E-2</v>
      </c>
      <c r="AI39" s="15">
        <f t="shared" si="36"/>
        <v>-8.4668192219679583E-2</v>
      </c>
      <c r="AJ39" s="15">
        <f t="shared" si="37"/>
        <v>2.1028037383177489E-2</v>
      </c>
      <c r="AK39" s="5">
        <f t="shared" si="38"/>
        <v>-1.3375959079283888</v>
      </c>
    </row>
    <row r="40" spans="1:37">
      <c r="A40" t="s">
        <v>52</v>
      </c>
      <c r="B40" t="s">
        <v>53</v>
      </c>
      <c r="C40" s="60">
        <v>31</v>
      </c>
      <c r="D40" s="60">
        <v>12</v>
      </c>
      <c r="E40" s="60">
        <v>2016</v>
      </c>
      <c r="F40" s="101">
        <v>17.600000000000001</v>
      </c>
      <c r="G40" s="101">
        <v>17.100000000000001</v>
      </c>
      <c r="H40" s="101">
        <v>17.5</v>
      </c>
      <c r="I40" s="96">
        <v>16.059999999999999</v>
      </c>
      <c r="J40" s="57">
        <v>17.14</v>
      </c>
      <c r="K40" s="57">
        <v>17</v>
      </c>
      <c r="L40" s="57">
        <v>17.52</v>
      </c>
      <c r="M40" s="57">
        <v>17.93</v>
      </c>
      <c r="N40" s="57">
        <v>17.64</v>
      </c>
      <c r="O40" s="57">
        <v>19</v>
      </c>
      <c r="P40" s="58"/>
      <c r="Q40" s="58"/>
      <c r="R40" s="58"/>
      <c r="S40" s="97">
        <f t="shared" si="20"/>
        <v>17.449000000000002</v>
      </c>
      <c r="T40" s="4">
        <f t="shared" ca="1" si="21"/>
        <v>0</v>
      </c>
      <c r="U40" s="4">
        <f t="shared" ca="1" si="22"/>
        <v>108</v>
      </c>
      <c r="V40" s="4">
        <f t="shared" ca="1" si="23"/>
        <v>252</v>
      </c>
      <c r="W40" s="13">
        <f t="shared" ca="1" si="24"/>
        <v>17.38</v>
      </c>
      <c r="X40" s="5">
        <f t="shared" ca="1" si="25"/>
        <v>-3.9543813399049998E-3</v>
      </c>
      <c r="Y40" s="15">
        <f t="shared" si="26"/>
        <v>2.9239766081871288E-2</v>
      </c>
      <c r="Z40" s="15">
        <f t="shared" si="27"/>
        <v>-2.2857142857142798E-2</v>
      </c>
      <c r="AA40" s="15">
        <f t="shared" si="28"/>
        <v>8.9663760896637745E-2</v>
      </c>
      <c r="AB40" s="15">
        <f t="shared" si="29"/>
        <v>-6.301050175029177E-2</v>
      </c>
      <c r="AC40" s="15">
        <f t="shared" si="30"/>
        <v>8.2352941176471184E-3</v>
      </c>
      <c r="AD40" s="15">
        <f t="shared" si="31"/>
        <v>-2.9680365296803624E-2</v>
      </c>
      <c r="AE40" s="15">
        <f t="shared" si="32"/>
        <v>-2.2866703848298919E-2</v>
      </c>
      <c r="AF40" s="15">
        <f t="shared" si="33"/>
        <v>1.6439909297052191E-2</v>
      </c>
      <c r="AG40" s="15">
        <f t="shared" si="34"/>
        <v>-7.1578947368421075E-2</v>
      </c>
      <c r="AH40" s="15">
        <f t="shared" si="35"/>
        <v>99.999989999999997</v>
      </c>
      <c r="AI40" s="15">
        <f t="shared" si="36"/>
        <v>99.999989999999997</v>
      </c>
      <c r="AJ40" s="15">
        <f t="shared" si="37"/>
        <v>99.999989999999997</v>
      </c>
      <c r="AK40" s="5">
        <f t="shared" si="38"/>
        <v>-7.1578947368421075E-2</v>
      </c>
    </row>
    <row r="41" spans="1:37">
      <c r="A41" t="s">
        <v>54</v>
      </c>
      <c r="B41" t="s">
        <v>55</v>
      </c>
      <c r="C41" s="60">
        <v>30</v>
      </c>
      <c r="D41" s="60">
        <v>6</v>
      </c>
      <c r="E41" s="60">
        <v>2016</v>
      </c>
      <c r="F41" s="101">
        <v>11.8</v>
      </c>
      <c r="G41" s="101">
        <v>10.5</v>
      </c>
      <c r="H41" s="101">
        <v>10.3</v>
      </c>
      <c r="I41" s="96">
        <v>9.98</v>
      </c>
      <c r="J41" s="57">
        <v>10.9</v>
      </c>
      <c r="K41" s="57">
        <v>9.48</v>
      </c>
      <c r="L41" s="57">
        <v>7.92</v>
      </c>
      <c r="M41" s="57">
        <v>6.82</v>
      </c>
      <c r="N41" s="57">
        <v>5.33</v>
      </c>
      <c r="O41" s="57">
        <v>4.4400000000000004</v>
      </c>
      <c r="P41" s="57">
        <v>3.97</v>
      </c>
      <c r="Q41" s="57">
        <v>3.32</v>
      </c>
      <c r="R41" s="57">
        <v>3.99</v>
      </c>
      <c r="S41" s="97">
        <f t="shared" si="20"/>
        <v>7.596153846153844</v>
      </c>
      <c r="T41" s="4">
        <f t="shared" ca="1" si="21"/>
        <v>0</v>
      </c>
      <c r="U41" s="4">
        <f t="shared" ca="1" si="22"/>
        <v>289</v>
      </c>
      <c r="V41" s="4">
        <f t="shared" ca="1" si="23"/>
        <v>71</v>
      </c>
      <c r="W41" s="13">
        <f t="shared" ca="1" si="24"/>
        <v>10.460555555555556</v>
      </c>
      <c r="X41" s="5">
        <f t="shared" ca="1" si="25"/>
        <v>0.37708579465541536</v>
      </c>
      <c r="Y41" s="15">
        <f t="shared" si="26"/>
        <v>0.12380952380952381</v>
      </c>
      <c r="Z41" s="15">
        <f t="shared" si="27"/>
        <v>1.9417475728155331E-2</v>
      </c>
      <c r="AA41" s="15">
        <f t="shared" si="28"/>
        <v>3.2064128256513058E-2</v>
      </c>
      <c r="AB41" s="15">
        <f t="shared" si="29"/>
        <v>-8.4403669724770647E-2</v>
      </c>
      <c r="AC41" s="15">
        <f t="shared" si="30"/>
        <v>0.14978902953586504</v>
      </c>
      <c r="AD41" s="15">
        <f t="shared" si="31"/>
        <v>0.19696969696969702</v>
      </c>
      <c r="AE41" s="15">
        <f t="shared" si="32"/>
        <v>0.16129032258064502</v>
      </c>
      <c r="AF41" s="15">
        <f t="shared" si="33"/>
        <v>0.27954971857410893</v>
      </c>
      <c r="AG41" s="15">
        <f t="shared" si="34"/>
        <v>0.20045045045045029</v>
      </c>
      <c r="AH41" s="15">
        <f t="shared" si="35"/>
        <v>0.1183879093198994</v>
      </c>
      <c r="AI41" s="15">
        <f t="shared" si="36"/>
        <v>0.1957831325301207</v>
      </c>
      <c r="AJ41" s="15">
        <f t="shared" si="37"/>
        <v>-0.16791979949874691</v>
      </c>
      <c r="AK41" s="5">
        <f t="shared" si="38"/>
        <v>-0.16791979949874691</v>
      </c>
    </row>
    <row r="42" spans="1:37">
      <c r="A42" t="s">
        <v>56</v>
      </c>
      <c r="B42" t="s">
        <v>57</v>
      </c>
      <c r="C42" s="60">
        <v>31</v>
      </c>
      <c r="D42" s="60">
        <v>12</v>
      </c>
      <c r="E42" s="60">
        <v>2016</v>
      </c>
      <c r="F42" s="101">
        <v>18.899999999999999</v>
      </c>
      <c r="G42" s="101">
        <v>19.600000000000001</v>
      </c>
      <c r="H42" s="101">
        <v>18.899999999999999</v>
      </c>
      <c r="I42" s="96">
        <v>17.73</v>
      </c>
      <c r="J42" s="57">
        <v>16.68</v>
      </c>
      <c r="K42" s="57">
        <v>18.98</v>
      </c>
      <c r="L42" s="57">
        <v>18.12</v>
      </c>
      <c r="M42" s="58">
        <v>14.940000000000001</v>
      </c>
      <c r="N42" s="58">
        <v>15.375</v>
      </c>
      <c r="O42" s="58">
        <v>13.1325</v>
      </c>
      <c r="P42" s="58">
        <v>11.385</v>
      </c>
      <c r="Q42" s="57"/>
      <c r="R42" s="57"/>
      <c r="S42" s="97">
        <f t="shared" si="20"/>
        <v>16.703863636363636</v>
      </c>
      <c r="T42" s="4">
        <f t="shared" ca="1" si="21"/>
        <v>0</v>
      </c>
      <c r="U42" s="4">
        <f t="shared" ca="1" si="22"/>
        <v>108</v>
      </c>
      <c r="V42" s="4">
        <f t="shared" ca="1" si="23"/>
        <v>252</v>
      </c>
      <c r="W42" s="13">
        <f t="shared" ca="1" si="24"/>
        <v>19.11</v>
      </c>
      <c r="X42" s="5">
        <f t="shared" ca="1" si="25"/>
        <v>0.14404669578350138</v>
      </c>
      <c r="Y42" s="15">
        <f t="shared" si="26"/>
        <v>-3.5714285714285809E-2</v>
      </c>
      <c r="Z42" s="15">
        <f t="shared" si="27"/>
        <v>3.7037037037037202E-2</v>
      </c>
      <c r="AA42" s="15">
        <f t="shared" si="28"/>
        <v>6.5989847715735905E-2</v>
      </c>
      <c r="AB42" s="15">
        <f t="shared" si="29"/>
        <v>6.2949640287769837E-2</v>
      </c>
      <c r="AC42" s="15">
        <f t="shared" si="30"/>
        <v>-0.12118018967334043</v>
      </c>
      <c r="AD42" s="15">
        <f t="shared" si="31"/>
        <v>4.7461368653421543E-2</v>
      </c>
      <c r="AE42" s="15">
        <f t="shared" si="32"/>
        <v>0.21285140562248994</v>
      </c>
      <c r="AF42" s="15">
        <f t="shared" si="33"/>
        <v>-2.8292682926829182E-2</v>
      </c>
      <c r="AG42" s="15">
        <f t="shared" si="34"/>
        <v>0.17075956596230712</v>
      </c>
      <c r="AH42" s="15">
        <f t="shared" si="35"/>
        <v>0.15349143610013183</v>
      </c>
      <c r="AI42" s="15">
        <f t="shared" si="36"/>
        <v>99.999989999999997</v>
      </c>
      <c r="AJ42" s="15">
        <f t="shared" si="37"/>
        <v>99.999989999999997</v>
      </c>
      <c r="AK42" s="5">
        <f t="shared" si="38"/>
        <v>-0.12118018967334043</v>
      </c>
    </row>
    <row r="43" spans="1:37">
      <c r="A43" t="s">
        <v>58</v>
      </c>
      <c r="B43" t="s">
        <v>59</v>
      </c>
      <c r="C43" s="60">
        <v>31</v>
      </c>
      <c r="D43" s="60">
        <v>8</v>
      </c>
      <c r="E43" s="60">
        <v>2016</v>
      </c>
      <c r="F43" s="101">
        <v>14</v>
      </c>
      <c r="G43" s="101">
        <v>13.7</v>
      </c>
      <c r="H43" s="101">
        <v>11.2</v>
      </c>
      <c r="I43" s="96">
        <v>14.94</v>
      </c>
      <c r="J43" s="57">
        <v>16.23</v>
      </c>
      <c r="K43" s="57">
        <v>23.74</v>
      </c>
      <c r="L43" s="57">
        <v>22.14</v>
      </c>
      <c r="M43" s="57">
        <v>21.57</v>
      </c>
      <c r="N43" s="57">
        <v>18.690000000000001</v>
      </c>
      <c r="O43" s="57">
        <v>18.420000000000002</v>
      </c>
      <c r="P43" s="57">
        <v>17.09</v>
      </c>
      <c r="Q43" s="57">
        <v>13.75</v>
      </c>
      <c r="R43" s="57">
        <v>12.01</v>
      </c>
      <c r="S43" s="97">
        <f t="shared" si="20"/>
        <v>16.729230769230767</v>
      </c>
      <c r="T43" s="4">
        <f t="shared" ca="1" si="21"/>
        <v>0</v>
      </c>
      <c r="U43" s="4">
        <f t="shared" ca="1" si="22"/>
        <v>228</v>
      </c>
      <c r="V43" s="4">
        <f t="shared" ca="1" si="23"/>
        <v>132</v>
      </c>
      <c r="W43" s="13">
        <f t="shared" ca="1" si="24"/>
        <v>12.783333333333331</v>
      </c>
      <c r="X43" s="5">
        <f t="shared" ca="1" si="25"/>
        <v>-0.23586843234626942</v>
      </c>
      <c r="Y43" s="15">
        <f t="shared" si="26"/>
        <v>2.1897810218978186E-2</v>
      </c>
      <c r="Z43" s="15">
        <f t="shared" si="27"/>
        <v>0.22321428571428581</v>
      </c>
      <c r="AA43" s="15">
        <f t="shared" si="28"/>
        <v>-0.25033467202141901</v>
      </c>
      <c r="AB43" s="15">
        <f t="shared" si="29"/>
        <v>-7.9482439926062853E-2</v>
      </c>
      <c r="AC43" s="15">
        <f t="shared" si="30"/>
        <v>-0.31634372367312547</v>
      </c>
      <c r="AD43" s="15">
        <f t="shared" si="31"/>
        <v>7.2267389340559873E-2</v>
      </c>
      <c r="AE43" s="15">
        <f t="shared" si="32"/>
        <v>2.6425591098748313E-2</v>
      </c>
      <c r="AF43" s="15">
        <f t="shared" si="33"/>
        <v>0.1540930979133226</v>
      </c>
      <c r="AG43" s="15">
        <f t="shared" si="34"/>
        <v>1.4657980456026065E-2</v>
      </c>
      <c r="AH43" s="15">
        <f t="shared" si="35"/>
        <v>7.7823288472791186E-2</v>
      </c>
      <c r="AI43" s="15">
        <f t="shared" si="36"/>
        <v>0.24290909090909096</v>
      </c>
      <c r="AJ43" s="15">
        <f t="shared" si="37"/>
        <v>0.14487926727726896</v>
      </c>
      <c r="AK43" s="5">
        <f t="shared" si="38"/>
        <v>-0.31634372367312547</v>
      </c>
    </row>
    <row r="44" spans="1:37">
      <c r="A44" t="s">
        <v>60</v>
      </c>
      <c r="B44" t="s">
        <v>61</v>
      </c>
      <c r="C44" s="60">
        <v>31</v>
      </c>
      <c r="D44" s="60">
        <v>5</v>
      </c>
      <c r="E44" s="60">
        <v>2016</v>
      </c>
      <c r="F44" s="101">
        <v>11.8</v>
      </c>
      <c r="G44" s="101">
        <v>11.4</v>
      </c>
      <c r="H44" s="101">
        <v>11</v>
      </c>
      <c r="I44" s="96">
        <v>11.2</v>
      </c>
      <c r="J44" s="57">
        <v>10.5</v>
      </c>
      <c r="K44" s="57">
        <v>9.61</v>
      </c>
      <c r="L44" s="57">
        <v>8.91</v>
      </c>
      <c r="M44" s="57">
        <v>7.85</v>
      </c>
      <c r="N44" s="57">
        <v>6.13</v>
      </c>
      <c r="O44" s="57">
        <v>5.01</v>
      </c>
      <c r="P44" s="57">
        <v>4.47</v>
      </c>
      <c r="Q44" s="57">
        <v>3.31</v>
      </c>
      <c r="R44" s="57">
        <v>2.87</v>
      </c>
      <c r="S44" s="97">
        <f t="shared" si="20"/>
        <v>8.0046153846153842</v>
      </c>
      <c r="T44" s="4">
        <f t="shared" ca="1" si="21"/>
        <v>0</v>
      </c>
      <c r="U44" s="4">
        <f t="shared" ca="1" si="22"/>
        <v>318</v>
      </c>
      <c r="V44" s="4">
        <f t="shared" ca="1" si="23"/>
        <v>42</v>
      </c>
      <c r="W44" s="13">
        <f t="shared" ca="1" si="24"/>
        <v>11.353333333333333</v>
      </c>
      <c r="X44" s="5">
        <f t="shared" ca="1" si="25"/>
        <v>0.41834838875008007</v>
      </c>
      <c r="Y44" s="15">
        <f t="shared" si="26"/>
        <v>3.5087719298245723E-2</v>
      </c>
      <c r="Z44" s="15">
        <f t="shared" si="27"/>
        <v>3.6363636363636376E-2</v>
      </c>
      <c r="AA44" s="15">
        <f t="shared" si="28"/>
        <v>-1.7857142857142794E-2</v>
      </c>
      <c r="AB44" s="15">
        <f t="shared" si="29"/>
        <v>6.6666666666666652E-2</v>
      </c>
      <c r="AC44" s="15">
        <f t="shared" si="30"/>
        <v>9.26118626430803E-2</v>
      </c>
      <c r="AD44" s="15">
        <f t="shared" si="31"/>
        <v>7.8563411896745095E-2</v>
      </c>
      <c r="AE44" s="15">
        <f t="shared" si="32"/>
        <v>0.13503184713375793</v>
      </c>
      <c r="AF44" s="15">
        <f t="shared" si="33"/>
        <v>0.28058727569331166</v>
      </c>
      <c r="AG44" s="15">
        <f t="shared" si="34"/>
        <v>0.22355289421157698</v>
      </c>
      <c r="AH44" s="15">
        <f t="shared" si="35"/>
        <v>0.12080536912751683</v>
      </c>
      <c r="AI44" s="15">
        <f t="shared" si="36"/>
        <v>0.35045317220543803</v>
      </c>
      <c r="AJ44" s="15">
        <f t="shared" si="37"/>
        <v>0.1533101045296168</v>
      </c>
      <c r="AK44" s="5">
        <f t="shared" si="38"/>
        <v>-1.7857142857142794E-2</v>
      </c>
    </row>
    <row r="45" spans="1:37">
      <c r="A45" t="s">
        <v>62</v>
      </c>
      <c r="B45" t="s">
        <v>63</v>
      </c>
      <c r="C45" s="60">
        <v>31</v>
      </c>
      <c r="D45" s="60">
        <v>12</v>
      </c>
      <c r="E45" s="60">
        <v>2016</v>
      </c>
      <c r="F45" s="101">
        <v>7.64</v>
      </c>
      <c r="G45" s="101">
        <v>8.52</v>
      </c>
      <c r="H45" s="101">
        <v>8.01</v>
      </c>
      <c r="I45" s="96">
        <v>8.42</v>
      </c>
      <c r="J45" s="57">
        <v>11.93</v>
      </c>
      <c r="K45" s="57">
        <v>16.100000000000001</v>
      </c>
      <c r="L45" s="57">
        <v>14.6</v>
      </c>
      <c r="M45" s="57">
        <v>13.44</v>
      </c>
      <c r="N45" s="57">
        <v>13.65</v>
      </c>
      <c r="O45" s="57">
        <v>11.21</v>
      </c>
      <c r="P45" s="57">
        <v>7.86</v>
      </c>
      <c r="Q45" s="57">
        <v>10.79</v>
      </c>
      <c r="R45" s="57">
        <v>9.43</v>
      </c>
      <c r="S45" s="97">
        <f t="shared" si="20"/>
        <v>10.892307692307694</v>
      </c>
      <c r="T45" s="4">
        <f t="shared" ca="1" si="21"/>
        <v>0</v>
      </c>
      <c r="U45" s="4">
        <f t="shared" ca="1" si="22"/>
        <v>108</v>
      </c>
      <c r="V45" s="4">
        <f t="shared" ca="1" si="23"/>
        <v>252</v>
      </c>
      <c r="W45" s="13">
        <f t="shared" ca="1" si="24"/>
        <v>8.1630000000000003</v>
      </c>
      <c r="X45" s="5">
        <f t="shared" ca="1" si="25"/>
        <v>-0.25057203389830518</v>
      </c>
      <c r="Y45" s="15">
        <f t="shared" si="26"/>
        <v>-0.10328638497652587</v>
      </c>
      <c r="Z45" s="15">
        <f t="shared" si="27"/>
        <v>6.367041198501866E-2</v>
      </c>
      <c r="AA45" s="15">
        <f t="shared" si="28"/>
        <v>-4.8693586698337343E-2</v>
      </c>
      <c r="AB45" s="15">
        <f t="shared" si="29"/>
        <v>-0.29421626152556579</v>
      </c>
      <c r="AC45" s="15">
        <f t="shared" si="30"/>
        <v>-0.25900621118012435</v>
      </c>
      <c r="AD45" s="15">
        <f t="shared" si="31"/>
        <v>0.10273972602739745</v>
      </c>
      <c r="AE45" s="15">
        <f t="shared" si="32"/>
        <v>8.6309523809523725E-2</v>
      </c>
      <c r="AF45" s="15">
        <f t="shared" si="33"/>
        <v>-1.5384615384615441E-2</v>
      </c>
      <c r="AG45" s="15">
        <f t="shared" si="34"/>
        <v>0.21766280107047264</v>
      </c>
      <c r="AH45" s="15">
        <f t="shared" si="35"/>
        <v>0.42620865139949116</v>
      </c>
      <c r="AI45" s="15">
        <f t="shared" si="36"/>
        <v>-0.27154772937905458</v>
      </c>
      <c r="AJ45" s="15">
        <f t="shared" si="37"/>
        <v>0.14422057264050903</v>
      </c>
      <c r="AK45" s="5">
        <f t="shared" si="38"/>
        <v>-0.29421626152556579</v>
      </c>
    </row>
    <row r="46" spans="1:37">
      <c r="A46" t="s">
        <v>64</v>
      </c>
      <c r="B46" t="s">
        <v>65</v>
      </c>
      <c r="C46" s="60">
        <v>31</v>
      </c>
      <c r="D46" s="60">
        <v>12</v>
      </c>
      <c r="E46" s="60">
        <v>2016</v>
      </c>
      <c r="F46" s="101">
        <v>11.8</v>
      </c>
      <c r="G46" s="101">
        <v>11.1</v>
      </c>
      <c r="H46" s="101">
        <v>10.7</v>
      </c>
      <c r="I46" s="96">
        <v>10.48</v>
      </c>
      <c r="J46" s="57">
        <v>11.33</v>
      </c>
      <c r="K46" s="57">
        <v>11.92</v>
      </c>
      <c r="L46" s="57">
        <v>11.17</v>
      </c>
      <c r="M46" s="57">
        <v>10.85</v>
      </c>
      <c r="N46" s="57">
        <v>10.96</v>
      </c>
      <c r="O46" s="57">
        <v>11.15</v>
      </c>
      <c r="P46" s="58"/>
      <c r="Q46" s="58"/>
      <c r="R46" s="58"/>
      <c r="S46" s="97">
        <f t="shared" si="20"/>
        <v>11.146000000000001</v>
      </c>
      <c r="T46" s="4">
        <f t="shared" ca="1" si="21"/>
        <v>0</v>
      </c>
      <c r="U46" s="4">
        <f t="shared" ca="1" si="22"/>
        <v>108</v>
      </c>
      <c r="V46" s="4">
        <f t="shared" ca="1" si="23"/>
        <v>252</v>
      </c>
      <c r="W46" s="13">
        <f t="shared" ca="1" si="24"/>
        <v>10.819999999999999</v>
      </c>
      <c r="X46" s="5">
        <f t="shared" ca="1" si="25"/>
        <v>-2.9248160775166232E-2</v>
      </c>
      <c r="Y46" s="15">
        <f t="shared" si="26"/>
        <v>6.3063063063063085E-2</v>
      </c>
      <c r="Z46" s="15">
        <f t="shared" si="27"/>
        <v>3.7383177570093462E-2</v>
      </c>
      <c r="AA46" s="15">
        <f t="shared" si="28"/>
        <v>2.0992366412213581E-2</v>
      </c>
      <c r="AB46" s="15">
        <f t="shared" si="29"/>
        <v>-7.5022065313327446E-2</v>
      </c>
      <c r="AC46" s="15">
        <f t="shared" si="30"/>
        <v>-4.9496644295301984E-2</v>
      </c>
      <c r="AD46" s="15">
        <f t="shared" si="31"/>
        <v>6.7144136078782557E-2</v>
      </c>
      <c r="AE46" s="15">
        <f t="shared" si="32"/>
        <v>2.9493087557603603E-2</v>
      </c>
      <c r="AF46" s="15">
        <f t="shared" si="33"/>
        <v>-1.0036496350365076E-2</v>
      </c>
      <c r="AG46" s="15">
        <f t="shared" si="34"/>
        <v>-1.7040358744394579E-2</v>
      </c>
      <c r="AH46" s="15">
        <f t="shared" si="35"/>
        <v>99.999989999999997</v>
      </c>
      <c r="AI46" s="15">
        <f t="shared" si="36"/>
        <v>99.999989999999997</v>
      </c>
      <c r="AJ46" s="15">
        <f t="shared" si="37"/>
        <v>99.999989999999997</v>
      </c>
      <c r="AK46" s="5">
        <f t="shared" si="38"/>
        <v>-7.5022065313327446E-2</v>
      </c>
    </row>
    <row r="47" spans="1:37">
      <c r="A47" t="s">
        <v>66</v>
      </c>
      <c r="B47" t="s">
        <v>67</v>
      </c>
      <c r="C47" s="60">
        <v>31</v>
      </c>
      <c r="D47" s="60">
        <v>12</v>
      </c>
      <c r="E47" s="60">
        <v>2016</v>
      </c>
      <c r="F47" s="101">
        <v>-2.21</v>
      </c>
      <c r="G47" s="101">
        <v>-3.41</v>
      </c>
      <c r="H47" s="101">
        <v>-3.48</v>
      </c>
      <c r="I47" s="96">
        <v>-8.5500000000000007</v>
      </c>
      <c r="J47" s="57">
        <v>-8.16</v>
      </c>
      <c r="K47" s="57">
        <v>-4.8899999999999997</v>
      </c>
      <c r="L47" s="57">
        <v>-2.2200000000000002</v>
      </c>
      <c r="M47" s="57">
        <v>0.13</v>
      </c>
      <c r="N47" s="57">
        <v>1.95</v>
      </c>
      <c r="O47" s="57">
        <v>3.03</v>
      </c>
      <c r="P47" s="57"/>
      <c r="Q47" s="57"/>
      <c r="R47" s="57"/>
      <c r="S47" s="97">
        <f t="shared" si="20"/>
        <v>-2.7809999999999997</v>
      </c>
      <c r="T47" s="4">
        <f t="shared" ca="1" si="21"/>
        <v>0</v>
      </c>
      <c r="U47" s="4">
        <f t="shared" ca="1" si="22"/>
        <v>108</v>
      </c>
      <c r="V47" s="4">
        <f t="shared" ca="1" si="23"/>
        <v>252</v>
      </c>
      <c r="W47" s="13">
        <f t="shared" ca="1" si="24"/>
        <v>-3.4589999999999996</v>
      </c>
      <c r="X47" s="5">
        <f t="shared" ca="1" si="25"/>
        <v>-0.24379719525350585</v>
      </c>
      <c r="Y47" s="15">
        <f t="shared" si="26"/>
        <v>0.35190615835777128</v>
      </c>
      <c r="Z47" s="15">
        <f t="shared" si="27"/>
        <v>2.011494252873558E-2</v>
      </c>
      <c r="AA47" s="15">
        <f t="shared" si="28"/>
        <v>0.59298245614035094</v>
      </c>
      <c r="AB47" s="15">
        <f t="shared" si="29"/>
        <v>-4.7794117647058876E-2</v>
      </c>
      <c r="AC47" s="15">
        <f t="shared" si="30"/>
        <v>-0.66871165644171793</v>
      </c>
      <c r="AD47" s="15">
        <f t="shared" si="31"/>
        <v>-1.2027027027027022</v>
      </c>
      <c r="AE47" s="15">
        <f t="shared" si="32"/>
        <v>-18.076923076923077</v>
      </c>
      <c r="AF47" s="15">
        <f t="shared" si="33"/>
        <v>-0.93333333333333335</v>
      </c>
      <c r="AG47" s="15">
        <f t="shared" si="34"/>
        <v>-0.35643564356435642</v>
      </c>
      <c r="AH47" s="15">
        <f t="shared" si="35"/>
        <v>99.999989999999997</v>
      </c>
      <c r="AI47" s="15">
        <f t="shared" si="36"/>
        <v>99.999989999999997</v>
      </c>
      <c r="AJ47" s="15">
        <f t="shared" si="37"/>
        <v>99.999989999999997</v>
      </c>
      <c r="AK47" s="5">
        <f t="shared" si="38"/>
        <v>-18.076923076923077</v>
      </c>
    </row>
    <row r="48" spans="1:37">
      <c r="A48" t="s">
        <v>68</v>
      </c>
      <c r="B48" t="s">
        <v>69</v>
      </c>
      <c r="C48" s="60">
        <v>30</v>
      </c>
      <c r="D48" s="60">
        <v>6</v>
      </c>
      <c r="E48" s="60">
        <v>2016</v>
      </c>
      <c r="F48" s="101">
        <v>22.9</v>
      </c>
      <c r="G48" s="101">
        <v>22.7</v>
      </c>
      <c r="H48" s="101">
        <v>22</v>
      </c>
      <c r="I48" s="96">
        <v>23.23</v>
      </c>
      <c r="J48" s="57">
        <v>25.81</v>
      </c>
      <c r="K48" s="57">
        <v>25.06</v>
      </c>
      <c r="L48" s="57">
        <v>23.3</v>
      </c>
      <c r="M48" s="57">
        <v>24.59</v>
      </c>
      <c r="N48" s="57">
        <v>21.61</v>
      </c>
      <c r="O48" s="57">
        <v>21.65</v>
      </c>
      <c r="P48" s="57">
        <v>22.91</v>
      </c>
      <c r="Q48" s="57">
        <v>21.32</v>
      </c>
      <c r="R48" s="57">
        <v>19.79</v>
      </c>
      <c r="S48" s="97">
        <f t="shared" si="20"/>
        <v>22.836153846153845</v>
      </c>
      <c r="T48" s="4">
        <f t="shared" ca="1" si="21"/>
        <v>0</v>
      </c>
      <c r="U48" s="4">
        <f t="shared" ca="1" si="22"/>
        <v>289</v>
      </c>
      <c r="V48" s="4">
        <f t="shared" ca="1" si="23"/>
        <v>71</v>
      </c>
      <c r="W48" s="13">
        <f t="shared" ca="1" si="24"/>
        <v>22.561944444444446</v>
      </c>
      <c r="X48" s="5">
        <f t="shared" ca="1" si="25"/>
        <v>-1.20076876148556E-2</v>
      </c>
      <c r="Y48" s="15">
        <f t="shared" si="26"/>
        <v>8.8105726872247381E-3</v>
      </c>
      <c r="Z48" s="15">
        <f t="shared" si="27"/>
        <v>3.1818181818181746E-2</v>
      </c>
      <c r="AA48" s="15">
        <f t="shared" si="28"/>
        <v>-5.2948773138183358E-2</v>
      </c>
      <c r="AB48" s="15">
        <f t="shared" si="29"/>
        <v>-9.9961255327392418E-2</v>
      </c>
      <c r="AC48" s="15">
        <f t="shared" si="30"/>
        <v>2.9928172386272989E-2</v>
      </c>
      <c r="AD48" s="15">
        <f t="shared" si="31"/>
        <v>7.5536480686695162E-2</v>
      </c>
      <c r="AE48" s="15">
        <f t="shared" si="32"/>
        <v>-5.2460349735664824E-2</v>
      </c>
      <c r="AF48" s="15">
        <f t="shared" si="33"/>
        <v>0.13789912077741784</v>
      </c>
      <c r="AG48" s="15">
        <f t="shared" si="34"/>
        <v>-1.8475750577366945E-3</v>
      </c>
      <c r="AH48" s="15">
        <f t="shared" si="35"/>
        <v>-5.4997817546922789E-2</v>
      </c>
      <c r="AI48" s="15">
        <f t="shared" si="36"/>
        <v>7.4577861163227066E-2</v>
      </c>
      <c r="AJ48" s="15">
        <f t="shared" si="37"/>
        <v>7.7311773623041979E-2</v>
      </c>
      <c r="AK48" s="5">
        <f t="shared" si="38"/>
        <v>-9.9961255327392418E-2</v>
      </c>
    </row>
    <row r="49" spans="1:37">
      <c r="A49" t="s">
        <v>70</v>
      </c>
      <c r="B49" t="s">
        <v>71</v>
      </c>
      <c r="C49" s="60">
        <v>31</v>
      </c>
      <c r="D49" s="60">
        <v>12</v>
      </c>
      <c r="E49" s="60">
        <v>2016</v>
      </c>
      <c r="F49" s="101">
        <v>10.199999999999999</v>
      </c>
      <c r="G49" s="101">
        <v>8.08</v>
      </c>
      <c r="H49" s="101">
        <v>6.45</v>
      </c>
      <c r="I49" s="96">
        <v>4.03</v>
      </c>
      <c r="J49" s="57">
        <v>2.96</v>
      </c>
      <c r="K49" s="58"/>
      <c r="L49" s="58"/>
      <c r="M49" s="58"/>
      <c r="N49" s="58"/>
      <c r="O49" s="58"/>
      <c r="P49" s="58"/>
      <c r="Q49" s="58"/>
      <c r="R49" s="58"/>
      <c r="S49" s="97">
        <f t="shared" si="20"/>
        <v>6.3440000000000003</v>
      </c>
      <c r="T49" s="4">
        <f t="shared" ca="1" si="21"/>
        <v>0</v>
      </c>
      <c r="U49" s="4">
        <f t="shared" ca="1" si="22"/>
        <v>108</v>
      </c>
      <c r="V49" s="4">
        <f t="shared" ca="1" si="23"/>
        <v>252</v>
      </c>
      <c r="W49" s="13">
        <f t="shared" ca="1" si="24"/>
        <v>6.9390000000000001</v>
      </c>
      <c r="X49" s="5">
        <f t="shared" ca="1" si="25"/>
        <v>9.3789407313997541E-2</v>
      </c>
      <c r="Y49" s="15">
        <f t="shared" si="26"/>
        <v>0.26237623762376239</v>
      </c>
      <c r="Z49" s="15">
        <f t="shared" si="27"/>
        <v>0.25271317829457352</v>
      </c>
      <c r="AA49" s="15">
        <f t="shared" si="28"/>
        <v>0.60049627791563265</v>
      </c>
      <c r="AB49" s="15">
        <f t="shared" si="29"/>
        <v>0.36148648648648662</v>
      </c>
      <c r="AC49" s="15">
        <f t="shared" si="30"/>
        <v>99.999989999999997</v>
      </c>
      <c r="AD49" s="15">
        <f t="shared" si="31"/>
        <v>99.999989999999997</v>
      </c>
      <c r="AE49" s="15">
        <f t="shared" si="32"/>
        <v>99.999989999999997</v>
      </c>
      <c r="AF49" s="15">
        <f t="shared" si="33"/>
        <v>99.999989999999997</v>
      </c>
      <c r="AG49" s="15">
        <f t="shared" si="34"/>
        <v>99.999989999999997</v>
      </c>
      <c r="AH49" s="15">
        <f t="shared" si="35"/>
        <v>99.999989999999997</v>
      </c>
      <c r="AI49" s="15">
        <f t="shared" si="36"/>
        <v>99.999989999999997</v>
      </c>
      <c r="AJ49" s="15">
        <f t="shared" si="37"/>
        <v>99.999989999999997</v>
      </c>
      <c r="AK49" s="5">
        <f t="shared" si="38"/>
        <v>0.25271317829457352</v>
      </c>
    </row>
    <row r="50" spans="1:37">
      <c r="A50" t="s">
        <v>260</v>
      </c>
      <c r="B50" t="s">
        <v>265</v>
      </c>
      <c r="C50" s="60">
        <v>30</v>
      </c>
      <c r="D50" s="60">
        <v>9</v>
      </c>
      <c r="E50" s="60">
        <v>2016</v>
      </c>
      <c r="F50" s="101">
        <v>19.8</v>
      </c>
      <c r="G50" s="101">
        <v>16</v>
      </c>
      <c r="H50" s="101">
        <v>13.4</v>
      </c>
      <c r="I50" s="96">
        <v>13.47</v>
      </c>
      <c r="J50" s="57">
        <v>8.7899999999999991</v>
      </c>
      <c r="K50" s="57">
        <v>8.61</v>
      </c>
      <c r="L50" s="57">
        <v>8.52</v>
      </c>
      <c r="M50" s="57">
        <v>8.02</v>
      </c>
      <c r="N50" s="57">
        <v>7.49</v>
      </c>
      <c r="O50" s="57"/>
      <c r="P50" s="57"/>
      <c r="Q50" s="57"/>
      <c r="R50" s="57"/>
      <c r="S50" s="97">
        <f t="shared" si="20"/>
        <v>11.566666666666665</v>
      </c>
      <c r="T50" s="4">
        <f t="shared" ca="1" si="21"/>
        <v>0</v>
      </c>
      <c r="U50" s="4">
        <f t="shared" ca="1" si="22"/>
        <v>199</v>
      </c>
      <c r="V50" s="4">
        <f t="shared" ca="1" si="23"/>
        <v>161</v>
      </c>
      <c r="W50" s="13">
        <f t="shared" ca="1" si="24"/>
        <v>14.837222222222223</v>
      </c>
      <c r="X50" s="5">
        <f t="shared" ca="1" si="25"/>
        <v>0.28275696445725296</v>
      </c>
      <c r="Y50" s="15">
        <f t="shared" si="26"/>
        <v>0.23750000000000004</v>
      </c>
      <c r="Z50" s="15">
        <f t="shared" si="27"/>
        <v>0.19402985074626855</v>
      </c>
      <c r="AA50" s="15">
        <f t="shared" si="28"/>
        <v>-5.1967334818114885E-3</v>
      </c>
      <c r="AB50" s="15">
        <f t="shared" si="29"/>
        <v>0.53242320819112643</v>
      </c>
      <c r="AC50" s="15">
        <f t="shared" si="30"/>
        <v>2.0905923344947785E-2</v>
      </c>
      <c r="AD50" s="15">
        <f t="shared" si="31"/>
        <v>1.0563380281690016E-2</v>
      </c>
      <c r="AE50" s="15">
        <f t="shared" si="32"/>
        <v>6.2344139650872821E-2</v>
      </c>
      <c r="AF50" s="15">
        <f t="shared" si="33"/>
        <v>7.0761014686248291E-2</v>
      </c>
      <c r="AG50" s="15">
        <f t="shared" si="34"/>
        <v>99.999989999999997</v>
      </c>
      <c r="AH50" s="15">
        <f t="shared" si="35"/>
        <v>99.999989999999997</v>
      </c>
      <c r="AI50" s="15">
        <f t="shared" si="36"/>
        <v>99.999989999999997</v>
      </c>
      <c r="AJ50" s="15">
        <f t="shared" si="37"/>
        <v>99.999989999999997</v>
      </c>
      <c r="AK50" s="5">
        <f t="shared" si="38"/>
        <v>-5.1967334818114885E-3</v>
      </c>
    </row>
    <row r="51" spans="1:37">
      <c r="A51" t="s">
        <v>72</v>
      </c>
      <c r="B51" t="s">
        <v>73</v>
      </c>
      <c r="C51" s="60">
        <v>31</v>
      </c>
      <c r="D51" s="60">
        <v>1</v>
      </c>
      <c r="E51" s="60">
        <v>2016</v>
      </c>
      <c r="F51" s="101">
        <v>26.9</v>
      </c>
      <c r="G51" s="101">
        <v>26.5</v>
      </c>
      <c r="H51" s="101">
        <v>25.1</v>
      </c>
      <c r="I51" s="57">
        <v>25.21</v>
      </c>
      <c r="J51" s="57">
        <v>23.59</v>
      </c>
      <c r="K51" s="57">
        <v>23.04</v>
      </c>
      <c r="L51" s="57">
        <v>20.86</v>
      </c>
      <c r="M51" s="57">
        <v>19.489999999999998</v>
      </c>
      <c r="N51" s="57">
        <v>18.82</v>
      </c>
      <c r="O51" s="57">
        <v>16.63</v>
      </c>
      <c r="P51" s="57">
        <v>16.260000000000002</v>
      </c>
      <c r="Q51" s="57">
        <v>14.91</v>
      </c>
      <c r="R51" s="57">
        <v>12.77</v>
      </c>
      <c r="S51" s="97">
        <f t="shared" si="20"/>
        <v>20.775384615384613</v>
      </c>
      <c r="T51" s="4">
        <f t="shared" ca="1" si="21"/>
        <v>78</v>
      </c>
      <c r="U51" s="4">
        <f t="shared" ca="1" si="22"/>
        <v>282</v>
      </c>
      <c r="V51" s="4">
        <f t="shared" ca="1" si="23"/>
        <v>0</v>
      </c>
      <c r="W51" s="13">
        <f t="shared" ca="1" si="24"/>
        <v>26.586666666666666</v>
      </c>
      <c r="X51" s="5">
        <f t="shared" ca="1" si="25"/>
        <v>0.27971958925750395</v>
      </c>
      <c r="Y51" s="15">
        <f t="shared" si="26"/>
        <v>1.5094339622641506E-2</v>
      </c>
      <c r="Z51" s="15">
        <f t="shared" si="27"/>
        <v>5.5776892430278835E-2</v>
      </c>
      <c r="AA51" s="15">
        <f t="shared" si="28"/>
        <v>-4.363347877826218E-3</v>
      </c>
      <c r="AB51" s="15">
        <f t="shared" si="29"/>
        <v>6.8673166596015411E-2</v>
      </c>
      <c r="AC51" s="15">
        <f t="shared" si="30"/>
        <v>2.3871527777777901E-2</v>
      </c>
      <c r="AD51" s="15">
        <f t="shared" si="31"/>
        <v>0.10450623202301057</v>
      </c>
      <c r="AE51" s="15">
        <f t="shared" si="32"/>
        <v>7.0292457670600328E-2</v>
      </c>
      <c r="AF51" s="15">
        <f t="shared" si="33"/>
        <v>3.5600425079702402E-2</v>
      </c>
      <c r="AG51" s="15">
        <f t="shared" si="34"/>
        <v>0.1316897173782321</v>
      </c>
      <c r="AH51" s="15">
        <f t="shared" si="35"/>
        <v>2.2755227552275326E-2</v>
      </c>
      <c r="AI51" s="15">
        <f t="shared" si="36"/>
        <v>9.0543259557344102E-2</v>
      </c>
      <c r="AJ51" s="15">
        <f t="shared" si="37"/>
        <v>0.16758026624902111</v>
      </c>
      <c r="AK51" s="5">
        <f t="shared" si="38"/>
        <v>-4.363347877826218E-3</v>
      </c>
    </row>
    <row r="52" spans="1:37">
      <c r="A52" t="s">
        <v>74</v>
      </c>
      <c r="B52" t="s">
        <v>75</v>
      </c>
      <c r="C52" s="60">
        <v>31</v>
      </c>
      <c r="D52" s="60">
        <v>12</v>
      </c>
      <c r="E52" s="60">
        <v>2016</v>
      </c>
      <c r="F52" s="101">
        <v>29.1</v>
      </c>
      <c r="G52" s="101">
        <v>27.9</v>
      </c>
      <c r="H52" s="101">
        <v>29.7</v>
      </c>
      <c r="I52" s="96">
        <v>26.2</v>
      </c>
      <c r="J52" s="57">
        <v>31.08</v>
      </c>
      <c r="K52" s="57">
        <v>31.32</v>
      </c>
      <c r="L52" s="57">
        <v>25.6</v>
      </c>
      <c r="M52" s="57">
        <v>23.34</v>
      </c>
      <c r="N52" s="57">
        <v>21.97</v>
      </c>
      <c r="O52" s="57">
        <v>18.899999999999999</v>
      </c>
      <c r="P52" s="57"/>
      <c r="Q52" s="57"/>
      <c r="R52" s="57"/>
      <c r="S52" s="97">
        <f t="shared" si="20"/>
        <v>26.511000000000003</v>
      </c>
      <c r="T52" s="4">
        <f t="shared" ca="1" si="21"/>
        <v>0</v>
      </c>
      <c r="U52" s="4">
        <f t="shared" ca="1" si="22"/>
        <v>108</v>
      </c>
      <c r="V52" s="4">
        <f t="shared" ca="1" si="23"/>
        <v>252</v>
      </c>
      <c r="W52" s="13">
        <f t="shared" ca="1" si="24"/>
        <v>29.160000000000004</v>
      </c>
      <c r="X52" s="5">
        <f t="shared" ca="1" si="25"/>
        <v>9.9920787597600924E-2</v>
      </c>
      <c r="Y52" s="15">
        <f t="shared" si="26"/>
        <v>4.3010752688172227E-2</v>
      </c>
      <c r="Z52" s="15">
        <f t="shared" si="27"/>
        <v>-6.0606060606060663E-2</v>
      </c>
      <c r="AA52" s="15">
        <f t="shared" si="28"/>
        <v>0.13358778625954204</v>
      </c>
      <c r="AB52" s="15">
        <f t="shared" si="29"/>
        <v>-0.157014157014157</v>
      </c>
      <c r="AC52" s="15">
        <f t="shared" si="30"/>
        <v>-7.6628352490422103E-3</v>
      </c>
      <c r="AD52" s="15">
        <f t="shared" si="31"/>
        <v>0.22343749999999996</v>
      </c>
      <c r="AE52" s="15">
        <f t="shared" si="32"/>
        <v>9.682947729220226E-2</v>
      </c>
      <c r="AF52" s="15">
        <f t="shared" si="33"/>
        <v>6.2357760582612665E-2</v>
      </c>
      <c r="AG52" s="15">
        <f t="shared" si="34"/>
        <v>0.16243386243386237</v>
      </c>
      <c r="AH52" s="15">
        <f t="shared" si="35"/>
        <v>99.999989999999997</v>
      </c>
      <c r="AI52" s="15">
        <f t="shared" si="36"/>
        <v>99.999989999999997</v>
      </c>
      <c r="AJ52" s="15">
        <f t="shared" si="37"/>
        <v>99.999989999999997</v>
      </c>
      <c r="AK52" s="5">
        <f t="shared" si="38"/>
        <v>-0.157014157014157</v>
      </c>
    </row>
    <row r="53" spans="1:37">
      <c r="A53" t="s">
        <v>76</v>
      </c>
      <c r="B53" t="s">
        <v>77</v>
      </c>
      <c r="C53" s="60">
        <v>31</v>
      </c>
      <c r="D53" s="60">
        <v>12</v>
      </c>
      <c r="E53" s="60">
        <v>2016</v>
      </c>
      <c r="F53" s="101">
        <v>12471</v>
      </c>
      <c r="G53" s="101">
        <v>16156</v>
      </c>
      <c r="H53" s="101">
        <v>15168</v>
      </c>
      <c r="I53" s="96">
        <v>25660</v>
      </c>
      <c r="J53" s="57">
        <v>22071</v>
      </c>
      <c r="K53" s="57">
        <v>19373</v>
      </c>
      <c r="L53" s="57">
        <v>12607</v>
      </c>
      <c r="M53" s="57">
        <v>11565</v>
      </c>
      <c r="N53" s="57">
        <v>11946</v>
      </c>
      <c r="O53" s="57">
        <v>16177</v>
      </c>
      <c r="P53" s="57">
        <v>14790</v>
      </c>
      <c r="Q53" s="57">
        <v>13894</v>
      </c>
      <c r="R53" s="57">
        <v>11558</v>
      </c>
      <c r="S53" s="97">
        <f t="shared" si="20"/>
        <v>15648.923076923076</v>
      </c>
      <c r="T53" s="4">
        <f t="shared" ca="1" si="21"/>
        <v>0</v>
      </c>
      <c r="U53" s="4">
        <f t="shared" ca="1" si="22"/>
        <v>108</v>
      </c>
      <c r="V53" s="4">
        <f t="shared" ca="1" si="23"/>
        <v>252</v>
      </c>
      <c r="W53" s="13">
        <f t="shared" ca="1" si="24"/>
        <v>15464.400000000001</v>
      </c>
      <c r="X53" s="5">
        <f t="shared" ca="1" si="25"/>
        <v>-1.1791423346900087E-2</v>
      </c>
      <c r="Y53" s="15">
        <f t="shared" si="26"/>
        <v>-0.22808863580094085</v>
      </c>
      <c r="Z53" s="15">
        <f t="shared" si="27"/>
        <v>6.5137130801687704E-2</v>
      </c>
      <c r="AA53" s="15">
        <f t="shared" si="28"/>
        <v>-0.40888542478565859</v>
      </c>
      <c r="AB53" s="15">
        <f t="shared" si="29"/>
        <v>0.16261157174572971</v>
      </c>
      <c r="AC53" s="15">
        <f t="shared" si="30"/>
        <v>0.13926598874722562</v>
      </c>
      <c r="AD53" s="15">
        <f t="shared" si="31"/>
        <v>0.53668596811295322</v>
      </c>
      <c r="AE53" s="15">
        <f t="shared" si="32"/>
        <v>9.009943795936004E-2</v>
      </c>
      <c r="AF53" s="15">
        <f t="shared" si="33"/>
        <v>-3.1893520843797041E-2</v>
      </c>
      <c r="AG53" s="15">
        <f t="shared" si="34"/>
        <v>-0.26154416764542254</v>
      </c>
      <c r="AH53" s="15">
        <f t="shared" si="35"/>
        <v>9.3779580797836326E-2</v>
      </c>
      <c r="AI53" s="15">
        <f t="shared" si="36"/>
        <v>6.4488268317259179E-2</v>
      </c>
      <c r="AJ53" s="15">
        <f t="shared" si="37"/>
        <v>0.20211109188440912</v>
      </c>
      <c r="AK53" s="5">
        <f t="shared" si="38"/>
        <v>-0.40888542478565859</v>
      </c>
    </row>
    <row r="54" spans="1:37">
      <c r="A54" t="s">
        <v>79</v>
      </c>
      <c r="B54" t="s">
        <v>80</v>
      </c>
      <c r="C54" s="60">
        <v>31</v>
      </c>
      <c r="D54" s="60">
        <v>12</v>
      </c>
      <c r="E54" s="60">
        <v>2016</v>
      </c>
      <c r="F54" s="101">
        <v>40.799999999999997</v>
      </c>
      <c r="G54" s="101">
        <v>39.6</v>
      </c>
      <c r="H54" s="101">
        <v>36.299999999999997</v>
      </c>
      <c r="I54" s="96">
        <v>31.53</v>
      </c>
      <c r="J54" s="57">
        <v>26.59</v>
      </c>
      <c r="K54" s="57">
        <v>23.19</v>
      </c>
      <c r="L54" s="57">
        <v>21.72</v>
      </c>
      <c r="M54" s="57">
        <v>20</v>
      </c>
      <c r="N54" s="57">
        <v>18.149999999999999</v>
      </c>
      <c r="O54" s="57">
        <v>14.94</v>
      </c>
      <c r="P54" s="57">
        <v>14.92</v>
      </c>
      <c r="Q54" s="57">
        <v>13.03</v>
      </c>
      <c r="R54" s="57">
        <v>12.66</v>
      </c>
      <c r="S54" s="97">
        <f t="shared" si="20"/>
        <v>24.11</v>
      </c>
      <c r="T54" s="4">
        <f t="shared" ca="1" si="21"/>
        <v>0</v>
      </c>
      <c r="U54" s="4">
        <f t="shared" ca="1" si="22"/>
        <v>108</v>
      </c>
      <c r="V54" s="4">
        <f t="shared" ca="1" si="23"/>
        <v>252</v>
      </c>
      <c r="W54" s="13">
        <f t="shared" ca="1" si="24"/>
        <v>37.29</v>
      </c>
      <c r="X54" s="5">
        <f t="shared" ca="1" si="25"/>
        <v>0.54666113645790126</v>
      </c>
      <c r="Y54" s="15">
        <f t="shared" si="26"/>
        <v>3.0303030303030276E-2</v>
      </c>
      <c r="Z54" s="15">
        <f t="shared" si="27"/>
        <v>9.090909090909105E-2</v>
      </c>
      <c r="AA54" s="15">
        <f t="shared" si="28"/>
        <v>0.15128449096098939</v>
      </c>
      <c r="AB54" s="15">
        <f t="shared" si="29"/>
        <v>0.18578412937194444</v>
      </c>
      <c r="AC54" s="15">
        <f t="shared" si="30"/>
        <v>0.14661492022423461</v>
      </c>
      <c r="AD54" s="15">
        <f t="shared" si="31"/>
        <v>6.7679558011049856E-2</v>
      </c>
      <c r="AE54" s="15">
        <f t="shared" si="32"/>
        <v>8.5999999999999854E-2</v>
      </c>
      <c r="AF54" s="15">
        <f t="shared" si="33"/>
        <v>0.10192837465564741</v>
      </c>
      <c r="AG54" s="15">
        <f t="shared" si="34"/>
        <v>0.21485943775100402</v>
      </c>
      <c r="AH54" s="15">
        <f t="shared" si="35"/>
        <v>1.3404825737264314E-3</v>
      </c>
      <c r="AI54" s="15">
        <f t="shared" si="36"/>
        <v>0.14504988488104376</v>
      </c>
      <c r="AJ54" s="15">
        <f t="shared" si="37"/>
        <v>2.922590837282768E-2</v>
      </c>
      <c r="AK54" s="5">
        <f t="shared" si="38"/>
        <v>1.3404825737264314E-3</v>
      </c>
    </row>
    <row r="55" spans="1:37">
      <c r="A55" s="52" t="s">
        <v>266</v>
      </c>
      <c r="B55" s="52" t="s">
        <v>270</v>
      </c>
      <c r="C55" s="104">
        <v>31</v>
      </c>
      <c r="D55" s="104">
        <v>12</v>
      </c>
      <c r="E55" s="104">
        <v>2016</v>
      </c>
      <c r="F55" s="101">
        <v>89.7</v>
      </c>
      <c r="G55" s="101">
        <v>80.7</v>
      </c>
      <c r="H55" s="101">
        <v>77.599999999999994</v>
      </c>
      <c r="I55" s="96">
        <v>83.18</v>
      </c>
      <c r="J55" s="57">
        <v>76.81</v>
      </c>
      <c r="K55" s="57">
        <v>73.180000000000007</v>
      </c>
      <c r="L55" s="57">
        <v>73.739999999999995</v>
      </c>
      <c r="M55" s="57">
        <v>70.98</v>
      </c>
      <c r="N55" s="57">
        <v>66.72</v>
      </c>
      <c r="O55" s="57">
        <v>54.39</v>
      </c>
      <c r="P55" s="57">
        <v>48.96</v>
      </c>
      <c r="Q55" s="57">
        <v>55.38</v>
      </c>
      <c r="R55" s="57">
        <v>51.18</v>
      </c>
      <c r="S55" s="97">
        <f t="shared" si="20"/>
        <v>69.424615384615379</v>
      </c>
      <c r="T55" s="4">
        <f t="shared" ca="1" si="21"/>
        <v>0</v>
      </c>
      <c r="U55" s="4">
        <f t="shared" ca="1" si="22"/>
        <v>108</v>
      </c>
      <c r="V55" s="4">
        <f t="shared" ca="1" si="23"/>
        <v>252</v>
      </c>
      <c r="W55" s="13">
        <f t="shared" ca="1" si="24"/>
        <v>78.53</v>
      </c>
      <c r="X55" s="5">
        <f t="shared" ca="1" si="25"/>
        <v>0.13115498825510796</v>
      </c>
      <c r="Y55" s="15">
        <f t="shared" si="26"/>
        <v>0.11152416356877315</v>
      </c>
      <c r="Z55" s="15">
        <f t="shared" si="27"/>
        <v>3.9948453608247503E-2</v>
      </c>
      <c r="AA55" s="15">
        <f t="shared" si="28"/>
        <v>-6.7083433517672653E-2</v>
      </c>
      <c r="AB55" s="15">
        <f t="shared" si="29"/>
        <v>8.2931909907564272E-2</v>
      </c>
      <c r="AC55" s="15">
        <f t="shared" si="30"/>
        <v>4.9603716862530733E-2</v>
      </c>
      <c r="AD55" s="15">
        <f t="shared" si="31"/>
        <v>-7.5942500678056746E-3</v>
      </c>
      <c r="AE55" s="15">
        <f t="shared" si="32"/>
        <v>3.888419273034649E-2</v>
      </c>
      <c r="AF55" s="15">
        <f t="shared" si="33"/>
        <v>6.3848920863309511E-2</v>
      </c>
      <c r="AG55" s="15">
        <f t="shared" si="34"/>
        <v>0.22669608383894091</v>
      </c>
      <c r="AH55" s="15">
        <f t="shared" si="35"/>
        <v>0.11090686274509798</v>
      </c>
      <c r="AI55" s="15">
        <f t="shared" si="36"/>
        <v>-0.11592632719393281</v>
      </c>
      <c r="AJ55" s="15">
        <f t="shared" si="37"/>
        <v>8.2063305978897993E-2</v>
      </c>
      <c r="AK55" s="5">
        <f t="shared" si="38"/>
        <v>-0.11592632719393281</v>
      </c>
    </row>
    <row r="56" spans="1:37">
      <c r="A56" s="52" t="s">
        <v>320</v>
      </c>
      <c r="B56" s="52" t="s">
        <v>321</v>
      </c>
      <c r="C56" s="104">
        <v>31</v>
      </c>
      <c r="D56" s="104">
        <v>8</v>
      </c>
      <c r="E56" s="104">
        <v>2016</v>
      </c>
      <c r="F56" s="101">
        <v>30.3</v>
      </c>
      <c r="G56" s="101">
        <v>27.8</v>
      </c>
      <c r="H56" s="101">
        <v>25.3</v>
      </c>
      <c r="I56" s="96">
        <v>23.61</v>
      </c>
      <c r="J56" s="57">
        <v>20.3</v>
      </c>
      <c r="K56" s="57">
        <v>18.8</v>
      </c>
      <c r="L56" s="57">
        <v>19.309999999999999</v>
      </c>
      <c r="M56" s="57">
        <v>16.14</v>
      </c>
      <c r="N56" s="57">
        <v>17.23</v>
      </c>
      <c r="O56" s="57">
        <v>14.51</v>
      </c>
      <c r="P56" s="57">
        <v>12.78</v>
      </c>
      <c r="Q56" s="57">
        <v>14.59</v>
      </c>
      <c r="R56" s="57">
        <v>13.56</v>
      </c>
      <c r="S56" s="97">
        <f t="shared" si="20"/>
        <v>19.556153846153844</v>
      </c>
      <c r="T56" s="4">
        <f t="shared" ca="1" si="21"/>
        <v>0</v>
      </c>
      <c r="U56" s="4">
        <f t="shared" ca="1" si="22"/>
        <v>228</v>
      </c>
      <c r="V56" s="4">
        <f t="shared" ca="1" si="23"/>
        <v>132</v>
      </c>
      <c r="W56" s="13">
        <f t="shared" ca="1" si="24"/>
        <v>26.883333333333333</v>
      </c>
      <c r="X56" s="5">
        <f t="shared" ca="1" si="25"/>
        <v>0.37467385176152845</v>
      </c>
      <c r="Y56" s="15">
        <f t="shared" si="26"/>
        <v>8.9928057553956942E-2</v>
      </c>
      <c r="Z56" s="15">
        <f t="shared" si="27"/>
        <v>9.8814229249011953E-2</v>
      </c>
      <c r="AA56" s="15">
        <f t="shared" si="28"/>
        <v>7.1579839051249428E-2</v>
      </c>
      <c r="AB56" s="15">
        <f t="shared" si="29"/>
        <v>0.16305418719211806</v>
      </c>
      <c r="AC56" s="15">
        <f t="shared" si="30"/>
        <v>7.9787234042553168E-2</v>
      </c>
      <c r="AD56" s="15">
        <f t="shared" si="31"/>
        <v>-2.641118591403413E-2</v>
      </c>
      <c r="AE56" s="15">
        <f t="shared" si="32"/>
        <v>0.19640644361833948</v>
      </c>
      <c r="AF56" s="15">
        <f t="shared" si="33"/>
        <v>-6.3261752756819445E-2</v>
      </c>
      <c r="AG56" s="15">
        <f t="shared" si="34"/>
        <v>0.18745692625775323</v>
      </c>
      <c r="AH56" s="15">
        <f t="shared" si="35"/>
        <v>0.13536776212832557</v>
      </c>
      <c r="AI56" s="15">
        <f t="shared" si="36"/>
        <v>-0.12405757368060322</v>
      </c>
      <c r="AJ56" s="15">
        <f t="shared" si="37"/>
        <v>7.5958702064896633E-2</v>
      </c>
      <c r="AK56" s="5">
        <f t="shared" si="38"/>
        <v>-0.12405757368060322</v>
      </c>
    </row>
    <row r="57" spans="1:37">
      <c r="A57" t="s">
        <v>83</v>
      </c>
      <c r="B57" t="s">
        <v>84</v>
      </c>
      <c r="C57" s="60">
        <v>30</v>
      </c>
      <c r="D57" s="60">
        <v>6</v>
      </c>
      <c r="E57" s="60">
        <v>2016</v>
      </c>
      <c r="F57" s="101">
        <v>4.01</v>
      </c>
      <c r="G57" s="101">
        <v>3.77</v>
      </c>
      <c r="H57" s="101">
        <v>3.34</v>
      </c>
      <c r="I57" s="96">
        <v>2.82</v>
      </c>
      <c r="J57" s="57">
        <v>2.48</v>
      </c>
      <c r="K57" s="57">
        <v>2.5499999999999998</v>
      </c>
      <c r="L57" s="57">
        <v>2.0299999999999998</v>
      </c>
      <c r="M57" s="57">
        <v>1.9</v>
      </c>
      <c r="N57" s="57">
        <v>1.45</v>
      </c>
      <c r="O57" s="57">
        <v>1.1399999999999999</v>
      </c>
      <c r="P57" s="57">
        <v>1.25</v>
      </c>
      <c r="Q57" s="57">
        <v>1.36</v>
      </c>
      <c r="R57" s="57">
        <v>1.48</v>
      </c>
      <c r="S57" s="97">
        <f t="shared" si="20"/>
        <v>2.2753846153846151</v>
      </c>
      <c r="T57" s="4">
        <f t="shared" ca="1" si="21"/>
        <v>0</v>
      </c>
      <c r="U57" s="4">
        <f t="shared" ca="1" si="22"/>
        <v>289</v>
      </c>
      <c r="V57" s="4">
        <f t="shared" ca="1" si="23"/>
        <v>71</v>
      </c>
      <c r="W57" s="13">
        <f t="shared" ca="1" si="24"/>
        <v>3.6851944444444449</v>
      </c>
      <c r="X57" s="5">
        <f t="shared" ca="1" si="25"/>
        <v>0.61959187889715306</v>
      </c>
      <c r="Y57" s="15">
        <f t="shared" si="26"/>
        <v>6.3660477453580944E-2</v>
      </c>
      <c r="Z57" s="15">
        <f t="shared" si="27"/>
        <v>0.12874251497005984</v>
      </c>
      <c r="AA57" s="15">
        <f t="shared" si="28"/>
        <v>0.18439716312056742</v>
      </c>
      <c r="AB57" s="15">
        <f t="shared" si="29"/>
        <v>0.13709677419354827</v>
      </c>
      <c r="AC57" s="15">
        <f t="shared" si="30"/>
        <v>-2.7450980392156765E-2</v>
      </c>
      <c r="AD57" s="15">
        <f t="shared" si="31"/>
        <v>0.25615763546798043</v>
      </c>
      <c r="AE57" s="15">
        <f t="shared" si="32"/>
        <v>6.8421052631578938E-2</v>
      </c>
      <c r="AF57" s="15">
        <f t="shared" si="33"/>
        <v>0.31034482758620685</v>
      </c>
      <c r="AG57" s="15">
        <f t="shared" si="34"/>
        <v>0.27192982456140369</v>
      </c>
      <c r="AH57" s="15">
        <f t="shared" si="35"/>
        <v>-8.8000000000000078E-2</v>
      </c>
      <c r="AI57" s="15">
        <f t="shared" si="36"/>
        <v>-8.0882352941176516E-2</v>
      </c>
      <c r="AJ57" s="15">
        <f t="shared" si="37"/>
        <v>-8.108108108108103E-2</v>
      </c>
      <c r="AK57" s="5">
        <f t="shared" si="38"/>
        <v>-8.8000000000000078E-2</v>
      </c>
    </row>
    <row r="58" spans="1:37">
      <c r="A58" t="s">
        <v>85</v>
      </c>
      <c r="B58" t="s">
        <v>86</v>
      </c>
      <c r="C58" s="60">
        <v>31</v>
      </c>
      <c r="D58" s="60">
        <v>3</v>
      </c>
      <c r="E58" s="60">
        <v>2016</v>
      </c>
      <c r="F58" s="101">
        <v>17.2</v>
      </c>
      <c r="G58" s="101">
        <v>16.2</v>
      </c>
      <c r="H58" s="101">
        <v>15.2</v>
      </c>
      <c r="I58" s="96">
        <v>13.83</v>
      </c>
      <c r="J58" s="57">
        <v>15.74</v>
      </c>
      <c r="K58" s="57">
        <v>15.79</v>
      </c>
      <c r="L58" s="57">
        <v>15.07</v>
      </c>
      <c r="M58" s="57">
        <v>13.27</v>
      </c>
      <c r="N58" s="57">
        <v>12.13</v>
      </c>
      <c r="O58" s="57">
        <v>9.6999999999999993</v>
      </c>
      <c r="P58" s="57">
        <v>11.65</v>
      </c>
      <c r="Q58" s="57">
        <v>9.57</v>
      </c>
      <c r="R58" s="57"/>
      <c r="S58" s="97">
        <f t="shared" si="20"/>
        <v>13.779166666666663</v>
      </c>
      <c r="T58" s="4">
        <f t="shared" ca="1" si="21"/>
        <v>18</v>
      </c>
      <c r="U58" s="4">
        <f t="shared" ca="1" si="22"/>
        <v>342</v>
      </c>
      <c r="V58" s="4">
        <f t="shared" ca="1" si="23"/>
        <v>0</v>
      </c>
      <c r="W58" s="13">
        <f t="shared" ca="1" si="24"/>
        <v>16.25</v>
      </c>
      <c r="X58" s="5">
        <f t="shared" ca="1" si="25"/>
        <v>0.1793166011490781</v>
      </c>
      <c r="Y58" s="15">
        <f t="shared" si="26"/>
        <v>6.1728395061728447E-2</v>
      </c>
      <c r="Z58" s="15">
        <f t="shared" si="27"/>
        <v>6.578947368421062E-2</v>
      </c>
      <c r="AA58" s="15">
        <f t="shared" si="28"/>
        <v>9.9060014461315848E-2</v>
      </c>
      <c r="AB58" s="15">
        <f t="shared" si="29"/>
        <v>-0.12134688691232531</v>
      </c>
      <c r="AC58" s="15">
        <f t="shared" si="30"/>
        <v>-3.1665611146294292E-3</v>
      </c>
      <c r="AD58" s="15">
        <f t="shared" si="31"/>
        <v>4.7777040477770427E-2</v>
      </c>
      <c r="AE58" s="15">
        <f t="shared" si="32"/>
        <v>0.13564431047475511</v>
      </c>
      <c r="AF58" s="15">
        <f t="shared" si="33"/>
        <v>9.3981863149216638E-2</v>
      </c>
      <c r="AG58" s="15">
        <f t="shared" si="34"/>
        <v>0.25051546391752599</v>
      </c>
      <c r="AH58" s="15">
        <f t="shared" si="35"/>
        <v>-0.16738197424892709</v>
      </c>
      <c r="AI58" s="15">
        <f t="shared" si="36"/>
        <v>0.21734587251828641</v>
      </c>
      <c r="AJ58" s="15">
        <f t="shared" si="37"/>
        <v>99.999989999999997</v>
      </c>
      <c r="AK58" s="5">
        <f t="shared" si="38"/>
        <v>-0.16738197424892709</v>
      </c>
    </row>
    <row r="59" spans="1:37">
      <c r="A59" t="s">
        <v>87</v>
      </c>
      <c r="B59" t="s">
        <v>88</v>
      </c>
      <c r="C59" s="60">
        <v>31</v>
      </c>
      <c r="D59" s="60">
        <v>12</v>
      </c>
      <c r="E59" s="60">
        <v>2016</v>
      </c>
      <c r="F59" s="101">
        <v>12.200000000000001</v>
      </c>
      <c r="G59" s="101">
        <v>11.34</v>
      </c>
      <c r="H59" s="101">
        <v>10.33</v>
      </c>
      <c r="I59" s="96">
        <v>9.3699999999999992</v>
      </c>
      <c r="J59" s="57">
        <v>9.2799999999999994</v>
      </c>
      <c r="K59" s="57">
        <v>8.6</v>
      </c>
      <c r="L59" s="57">
        <v>8.06</v>
      </c>
      <c r="M59" s="57">
        <v>7.84</v>
      </c>
      <c r="N59" s="57">
        <v>6.97</v>
      </c>
      <c r="O59" s="57">
        <v>5.55</v>
      </c>
      <c r="P59" s="57">
        <v>4.5599999999999996</v>
      </c>
      <c r="Q59" s="57">
        <v>3.3</v>
      </c>
      <c r="R59" s="57">
        <v>2.59</v>
      </c>
      <c r="S59" s="97">
        <f t="shared" si="20"/>
        <v>7.6915384615384612</v>
      </c>
      <c r="T59" s="4">
        <f t="shared" ca="1" si="21"/>
        <v>0</v>
      </c>
      <c r="U59" s="4">
        <f t="shared" ca="1" si="22"/>
        <v>108</v>
      </c>
      <c r="V59" s="4">
        <f t="shared" ca="1" si="23"/>
        <v>252</v>
      </c>
      <c r="W59" s="13">
        <f t="shared" ca="1" si="24"/>
        <v>10.633000000000001</v>
      </c>
      <c r="X59" s="5">
        <f t="shared" ca="1" si="25"/>
        <v>0.38242824282428267</v>
      </c>
      <c r="Y59" s="15">
        <f t="shared" si="26"/>
        <v>7.5837742504409222E-2</v>
      </c>
      <c r="Z59" s="15">
        <f t="shared" si="27"/>
        <v>9.7773475314617553E-2</v>
      </c>
      <c r="AA59" s="15">
        <f t="shared" si="28"/>
        <v>0.10245464247598735</v>
      </c>
      <c r="AB59" s="15">
        <f t="shared" si="29"/>
        <v>9.6982758620689502E-3</v>
      </c>
      <c r="AC59" s="15">
        <f t="shared" si="30"/>
        <v>7.9069767441860339E-2</v>
      </c>
      <c r="AD59" s="15">
        <f t="shared" si="31"/>
        <v>6.6997518610421691E-2</v>
      </c>
      <c r="AE59" s="15">
        <f t="shared" si="32"/>
        <v>2.8061224489795977E-2</v>
      </c>
      <c r="AF59" s="15">
        <f t="shared" si="33"/>
        <v>0.12482065997130554</v>
      </c>
      <c r="AG59" s="15">
        <f t="shared" si="34"/>
        <v>0.25585585585585591</v>
      </c>
      <c r="AH59" s="15">
        <f t="shared" si="35"/>
        <v>0.21710526315789491</v>
      </c>
      <c r="AI59" s="15">
        <f t="shared" si="36"/>
        <v>0.38181818181818183</v>
      </c>
      <c r="AJ59" s="15">
        <f t="shared" si="37"/>
        <v>0.27413127413127403</v>
      </c>
      <c r="AK59" s="5">
        <f t="shared" si="38"/>
        <v>9.6982758620689502E-3</v>
      </c>
    </row>
    <row r="60" spans="1:37">
      <c r="A60" t="s">
        <v>252</v>
      </c>
      <c r="B60" t="s">
        <v>253</v>
      </c>
      <c r="C60" s="60">
        <v>30</v>
      </c>
      <c r="D60" s="60">
        <v>4</v>
      </c>
      <c r="E60" s="60">
        <v>2016</v>
      </c>
      <c r="F60" s="101">
        <v>40.299999999999997</v>
      </c>
      <c r="G60" s="101">
        <v>38.5</v>
      </c>
      <c r="H60" s="101">
        <v>37.200000000000003</v>
      </c>
      <c r="I60" s="96">
        <v>37.44</v>
      </c>
      <c r="J60" s="57">
        <v>19.46</v>
      </c>
      <c r="K60" s="57">
        <v>18.38</v>
      </c>
      <c r="L60" s="57">
        <v>16.5</v>
      </c>
      <c r="M60" s="57">
        <v>14.92</v>
      </c>
      <c r="N60" s="57">
        <v>13.33</v>
      </c>
      <c r="O60" s="57">
        <v>11.78</v>
      </c>
      <c r="P60" s="57">
        <v>10.26</v>
      </c>
      <c r="Q60" s="57">
        <v>9.6</v>
      </c>
      <c r="R60" s="57">
        <v>8.1199999999999992</v>
      </c>
      <c r="S60" s="97">
        <f t="shared" si="20"/>
        <v>21.214615384615385</v>
      </c>
      <c r="T60" s="4">
        <f t="shared" ca="1" si="21"/>
        <v>0</v>
      </c>
      <c r="U60" s="4">
        <f t="shared" ca="1" si="22"/>
        <v>349</v>
      </c>
      <c r="V60" s="4">
        <f t="shared" ca="1" si="23"/>
        <v>11</v>
      </c>
      <c r="W60" s="13">
        <f t="shared" ca="1" si="24"/>
        <v>38.460277777777776</v>
      </c>
      <c r="X60" s="5">
        <f t="shared" ca="1" si="25"/>
        <v>0.81291421411621556</v>
      </c>
      <c r="Y60" s="15">
        <f t="shared" si="26"/>
        <v>4.6753246753246769E-2</v>
      </c>
      <c r="Z60" s="15">
        <f t="shared" si="27"/>
        <v>3.4946236559139754E-2</v>
      </c>
      <c r="AA60" s="15">
        <f t="shared" si="28"/>
        <v>-6.4102564102562765E-3</v>
      </c>
      <c r="AB60" s="15">
        <f t="shared" si="29"/>
        <v>0.92394655704008199</v>
      </c>
      <c r="AC60" s="15">
        <f t="shared" si="30"/>
        <v>5.8759521218716193E-2</v>
      </c>
      <c r="AD60" s="15">
        <f t="shared" si="31"/>
        <v>0.11393939393939378</v>
      </c>
      <c r="AE60" s="15">
        <f t="shared" si="32"/>
        <v>0.10589812332439674</v>
      </c>
      <c r="AF60" s="15">
        <f t="shared" si="33"/>
        <v>0.11927981995498871</v>
      </c>
      <c r="AG60" s="15">
        <f t="shared" si="34"/>
        <v>0.13157894736842102</v>
      </c>
      <c r="AH60" s="15">
        <f t="shared" si="35"/>
        <v>0.14814814814814814</v>
      </c>
      <c r="AI60" s="15">
        <f t="shared" si="36"/>
        <v>6.8750000000000089E-2</v>
      </c>
      <c r="AJ60" s="15">
        <f t="shared" si="37"/>
        <v>0.18226600985221686</v>
      </c>
      <c r="AK60" s="5">
        <f t="shared" si="38"/>
        <v>-6.4102564102562765E-3</v>
      </c>
    </row>
    <row r="61" spans="1:37">
      <c r="A61" t="s">
        <v>89</v>
      </c>
      <c r="B61" t="s">
        <v>90</v>
      </c>
      <c r="C61" s="60">
        <v>31</v>
      </c>
      <c r="D61" s="60">
        <v>12</v>
      </c>
      <c r="E61" s="60">
        <v>2016</v>
      </c>
      <c r="F61" s="101">
        <v>1.34</v>
      </c>
      <c r="G61" s="101">
        <v>1.52</v>
      </c>
      <c r="H61" s="101">
        <v>1.65</v>
      </c>
      <c r="I61" s="96">
        <v>1.47</v>
      </c>
      <c r="J61" s="57">
        <v>1.53</v>
      </c>
      <c r="K61" s="57">
        <v>2.0699999999999998</v>
      </c>
      <c r="L61" s="57">
        <v>1.58</v>
      </c>
      <c r="M61" s="57">
        <v>1.8</v>
      </c>
      <c r="N61" s="57">
        <v>2.4900000000000002</v>
      </c>
      <c r="O61" s="57">
        <v>1.96</v>
      </c>
      <c r="P61" s="58"/>
      <c r="Q61" s="58"/>
      <c r="R61" s="58"/>
      <c r="S61" s="97">
        <f t="shared" si="20"/>
        <v>1.7410000000000001</v>
      </c>
      <c r="T61" s="4">
        <f t="shared" ca="1" si="21"/>
        <v>0</v>
      </c>
      <c r="U61" s="4">
        <f t="shared" ca="1" si="22"/>
        <v>108</v>
      </c>
      <c r="V61" s="4">
        <f t="shared" ca="1" si="23"/>
        <v>252</v>
      </c>
      <c r="W61" s="13">
        <f t="shared" ca="1" si="24"/>
        <v>1.6110000000000002</v>
      </c>
      <c r="X61" s="5">
        <f t="shared" ca="1" si="25"/>
        <v>-7.4669730040206717E-2</v>
      </c>
      <c r="Y61" s="15">
        <f t="shared" si="26"/>
        <v>-0.11842105263157887</v>
      </c>
      <c r="Z61" s="15">
        <f t="shared" si="27"/>
        <v>-7.878787878787874E-2</v>
      </c>
      <c r="AA61" s="15">
        <f t="shared" si="28"/>
        <v>0.12244897959183665</v>
      </c>
      <c r="AB61" s="15">
        <f t="shared" si="29"/>
        <v>-3.9215686274509887E-2</v>
      </c>
      <c r="AC61" s="15">
        <f t="shared" si="30"/>
        <v>-0.26086956521739124</v>
      </c>
      <c r="AD61" s="15">
        <f t="shared" si="31"/>
        <v>0.31012658227848089</v>
      </c>
      <c r="AE61" s="15">
        <f t="shared" si="32"/>
        <v>-0.12222222222222223</v>
      </c>
      <c r="AF61" s="15">
        <f t="shared" si="33"/>
        <v>-0.27710843373493976</v>
      </c>
      <c r="AG61" s="15">
        <f t="shared" si="34"/>
        <v>0.27040816326530615</v>
      </c>
      <c r="AH61" s="15">
        <f t="shared" si="35"/>
        <v>99.999989999999997</v>
      </c>
      <c r="AI61" s="15">
        <f t="shared" si="36"/>
        <v>99.999989999999997</v>
      </c>
      <c r="AJ61" s="15">
        <f t="shared" si="37"/>
        <v>99.999989999999997</v>
      </c>
      <c r="AK61" s="5">
        <f t="shared" si="38"/>
        <v>-0.27710843373493976</v>
      </c>
    </row>
    <row r="62" spans="1:37">
      <c r="A62" t="s">
        <v>92</v>
      </c>
      <c r="B62" t="s">
        <v>93</v>
      </c>
      <c r="C62" s="60">
        <v>31</v>
      </c>
      <c r="D62" s="60">
        <v>5</v>
      </c>
      <c r="E62" s="60">
        <v>2016</v>
      </c>
      <c r="F62" s="101">
        <v>8.98</v>
      </c>
      <c r="G62" s="101">
        <v>8.8699999999999992</v>
      </c>
      <c r="H62" s="101">
        <v>8.51</v>
      </c>
      <c r="I62" s="96">
        <v>8.35</v>
      </c>
      <c r="J62" s="57">
        <v>10.67</v>
      </c>
      <c r="K62" s="57">
        <v>10.41</v>
      </c>
      <c r="L62" s="57">
        <v>9.9</v>
      </c>
      <c r="M62" s="57">
        <v>9.8699999999999992</v>
      </c>
      <c r="N62" s="57">
        <v>8.3000000000000007</v>
      </c>
      <c r="O62" s="57">
        <v>7.95</v>
      </c>
      <c r="P62" s="57">
        <v>10.45</v>
      </c>
      <c r="Q62" s="57">
        <v>7.82</v>
      </c>
      <c r="R62" s="57">
        <v>8.11</v>
      </c>
      <c r="S62" s="97">
        <f t="shared" si="20"/>
        <v>9.0915384615384625</v>
      </c>
      <c r="T62" s="4">
        <f t="shared" ca="1" si="21"/>
        <v>0</v>
      </c>
      <c r="U62" s="4">
        <f t="shared" ca="1" si="22"/>
        <v>318</v>
      </c>
      <c r="V62" s="4">
        <f t="shared" ca="1" si="23"/>
        <v>42</v>
      </c>
      <c r="W62" s="13">
        <f t="shared" ca="1" si="24"/>
        <v>8.8279999999999994</v>
      </c>
      <c r="X62" s="5">
        <f t="shared" ca="1" si="25"/>
        <v>-2.8987223961418174E-2</v>
      </c>
      <c r="Y62" s="15">
        <f t="shared" si="26"/>
        <v>1.2401352874859217E-2</v>
      </c>
      <c r="Z62" s="15">
        <f t="shared" si="27"/>
        <v>4.2303172737955252E-2</v>
      </c>
      <c r="AA62" s="15">
        <f t="shared" si="28"/>
        <v>1.9161676646706649E-2</v>
      </c>
      <c r="AB62" s="15">
        <f t="shared" si="29"/>
        <v>-0.21743205248359887</v>
      </c>
      <c r="AC62" s="15">
        <f t="shared" si="30"/>
        <v>2.4975984630163373E-2</v>
      </c>
      <c r="AD62" s="15">
        <f t="shared" si="31"/>
        <v>5.1515151515151514E-2</v>
      </c>
      <c r="AE62" s="15">
        <f t="shared" si="32"/>
        <v>3.0395136778116338E-3</v>
      </c>
      <c r="AF62" s="15">
        <f t="shared" si="33"/>
        <v>0.18915662650602383</v>
      </c>
      <c r="AG62" s="15">
        <f t="shared" si="34"/>
        <v>4.4025157232704393E-2</v>
      </c>
      <c r="AH62" s="15">
        <f t="shared" si="35"/>
        <v>-0.23923444976076547</v>
      </c>
      <c r="AI62" s="15">
        <f t="shared" si="36"/>
        <v>0.33631713554987197</v>
      </c>
      <c r="AJ62" s="15">
        <f t="shared" si="37"/>
        <v>-3.5758323057953012E-2</v>
      </c>
      <c r="AK62" s="5">
        <f t="shared" si="38"/>
        <v>-0.23923444976076547</v>
      </c>
    </row>
    <row r="63" spans="1:37">
      <c r="A63" s="52" t="s">
        <v>323</v>
      </c>
      <c r="B63" s="52" t="s">
        <v>324</v>
      </c>
      <c r="C63" s="104">
        <v>31</v>
      </c>
      <c r="D63" s="104">
        <v>12</v>
      </c>
      <c r="E63" s="104">
        <v>2016</v>
      </c>
      <c r="F63" s="101">
        <v>6.99</v>
      </c>
      <c r="G63" s="101">
        <v>6.08</v>
      </c>
      <c r="H63" s="101">
        <v>6.53</v>
      </c>
      <c r="I63" s="96">
        <v>4.5999999999999996</v>
      </c>
      <c r="J63" s="57">
        <v>6.58</v>
      </c>
      <c r="K63" s="57">
        <v>7.17</v>
      </c>
      <c r="L63" s="57">
        <v>4.63</v>
      </c>
      <c r="M63" s="57">
        <v>3.77</v>
      </c>
      <c r="N63" s="57">
        <v>3.97</v>
      </c>
      <c r="O63" s="57">
        <v>3.16</v>
      </c>
      <c r="P63" s="57">
        <v>1.4</v>
      </c>
      <c r="Q63" s="57">
        <v>2.61</v>
      </c>
      <c r="R63" s="57">
        <v>2.97</v>
      </c>
      <c r="S63" s="97">
        <f t="shared" si="20"/>
        <v>4.6507692307692308</v>
      </c>
      <c r="T63" s="4">
        <f t="shared" ca="1" si="21"/>
        <v>0</v>
      </c>
      <c r="U63" s="4">
        <f t="shared" ca="1" si="22"/>
        <v>108</v>
      </c>
      <c r="V63" s="4">
        <f t="shared" ca="1" si="23"/>
        <v>252</v>
      </c>
      <c r="W63" s="13">
        <f t="shared" ca="1" si="24"/>
        <v>6.3949999999999996</v>
      </c>
      <c r="X63" s="5">
        <f t="shared" ca="1" si="25"/>
        <v>0.37504134965266278</v>
      </c>
      <c r="Y63" s="15">
        <f t="shared" si="26"/>
        <v>0.14967105263157898</v>
      </c>
      <c r="Z63" s="15">
        <f t="shared" si="27"/>
        <v>-6.8912710566615631E-2</v>
      </c>
      <c r="AA63" s="15">
        <f t="shared" si="28"/>
        <v>0.41956521739130448</v>
      </c>
      <c r="AB63" s="15">
        <f t="shared" si="29"/>
        <v>-0.30091185410334353</v>
      </c>
      <c r="AC63" s="15">
        <f t="shared" si="30"/>
        <v>-8.228730822873076E-2</v>
      </c>
      <c r="AD63" s="15">
        <f t="shared" si="31"/>
        <v>0.54859611231101524</v>
      </c>
      <c r="AE63" s="15">
        <f t="shared" si="32"/>
        <v>0.22811671087533147</v>
      </c>
      <c r="AF63" s="15">
        <f t="shared" si="33"/>
        <v>-5.0377833753148638E-2</v>
      </c>
      <c r="AG63" s="15">
        <f t="shared" si="34"/>
        <v>0.25632911392405067</v>
      </c>
      <c r="AH63" s="15">
        <f t="shared" si="35"/>
        <v>1.2571428571428576</v>
      </c>
      <c r="AI63" s="15">
        <f t="shared" si="36"/>
        <v>-0.46360153256704983</v>
      </c>
      <c r="AJ63" s="15">
        <f t="shared" si="37"/>
        <v>-0.12121212121212133</v>
      </c>
      <c r="AK63" s="5">
        <f t="shared" si="38"/>
        <v>-0.46360153256704983</v>
      </c>
    </row>
    <row r="64" spans="1:37">
      <c r="A64" t="s">
        <v>254</v>
      </c>
      <c r="B64" t="s">
        <v>255</v>
      </c>
      <c r="C64" s="60">
        <v>31</v>
      </c>
      <c r="D64" s="60">
        <v>12</v>
      </c>
      <c r="E64" s="60">
        <v>2016</v>
      </c>
      <c r="F64" s="101">
        <v>5.53</v>
      </c>
      <c r="G64" s="101">
        <v>4.82</v>
      </c>
      <c r="H64" s="101">
        <v>5.87</v>
      </c>
      <c r="I64" s="96">
        <v>6.08</v>
      </c>
      <c r="J64" s="57">
        <v>7.83</v>
      </c>
      <c r="K64" s="57">
        <v>9.77</v>
      </c>
      <c r="L64" s="57">
        <v>6.7</v>
      </c>
      <c r="M64" s="57">
        <v>4.93</v>
      </c>
      <c r="N64" s="57">
        <v>5.91</v>
      </c>
      <c r="O64" s="57">
        <v>5.97</v>
      </c>
      <c r="P64" s="57">
        <v>3.79</v>
      </c>
      <c r="Q64" s="57">
        <v>6.48</v>
      </c>
      <c r="R64" s="57">
        <v>5.2</v>
      </c>
      <c r="S64" s="97">
        <f t="shared" si="20"/>
        <v>6.0676923076923099</v>
      </c>
      <c r="T64" s="4">
        <f t="shared" ca="1" si="21"/>
        <v>0</v>
      </c>
      <c r="U64" s="4">
        <f t="shared" ca="1" si="22"/>
        <v>108</v>
      </c>
      <c r="V64" s="4">
        <f t="shared" ca="1" si="23"/>
        <v>252</v>
      </c>
      <c r="W64" s="13">
        <f t="shared" ca="1" si="24"/>
        <v>5.5549999999999997</v>
      </c>
      <c r="X64" s="5">
        <f t="shared" ca="1" si="25"/>
        <v>-8.4495436105477051E-2</v>
      </c>
      <c r="Y64" s="15">
        <f t="shared" si="26"/>
        <v>0.14730290456431527</v>
      </c>
      <c r="Z64" s="15">
        <f t="shared" si="27"/>
        <v>-0.17887563884156721</v>
      </c>
      <c r="AA64" s="15">
        <f t="shared" si="28"/>
        <v>-3.4539473684210509E-2</v>
      </c>
      <c r="AB64" s="15">
        <f t="shared" si="29"/>
        <v>-0.22349936143039595</v>
      </c>
      <c r="AC64" s="15">
        <f t="shared" si="30"/>
        <v>-0.19856704196519959</v>
      </c>
      <c r="AD64" s="15">
        <f t="shared" si="31"/>
        <v>0.45820895522388039</v>
      </c>
      <c r="AE64" s="15">
        <f t="shared" si="32"/>
        <v>0.35902636916835706</v>
      </c>
      <c r="AF64" s="15">
        <f t="shared" si="33"/>
        <v>-0.16582064297800347</v>
      </c>
      <c r="AG64" s="15">
        <f t="shared" si="34"/>
        <v>-1.005025125628134E-2</v>
      </c>
      <c r="AH64" s="15">
        <f t="shared" si="35"/>
        <v>0.57519788918205794</v>
      </c>
      <c r="AI64" s="15">
        <f t="shared" si="36"/>
        <v>-0.41512345679012352</v>
      </c>
      <c r="AJ64" s="15">
        <f t="shared" si="37"/>
        <v>0.24615384615384617</v>
      </c>
      <c r="AK64" s="5">
        <f t="shared" si="38"/>
        <v>-0.41512345679012352</v>
      </c>
    </row>
    <row r="65" spans="1:37">
      <c r="A65" t="s">
        <v>94</v>
      </c>
      <c r="B65" t="s">
        <v>95</v>
      </c>
      <c r="C65" s="60">
        <v>31</v>
      </c>
      <c r="D65" s="60">
        <v>12</v>
      </c>
      <c r="E65" s="60">
        <v>2016</v>
      </c>
      <c r="F65" s="101">
        <v>1.02</v>
      </c>
      <c r="G65" s="101">
        <v>1.26</v>
      </c>
      <c r="H65" s="101">
        <v>0.62</v>
      </c>
      <c r="I65" s="96">
        <v>-0.48</v>
      </c>
      <c r="J65" s="57">
        <v>2</v>
      </c>
      <c r="K65" s="58"/>
      <c r="L65" s="58"/>
      <c r="M65" s="58"/>
      <c r="N65" s="58"/>
      <c r="O65" s="58"/>
      <c r="P65" s="58"/>
      <c r="Q65" s="58"/>
      <c r="R65" s="58"/>
      <c r="S65" s="97">
        <f t="shared" si="20"/>
        <v>0.88400000000000001</v>
      </c>
      <c r="T65" s="4">
        <f t="shared" ca="1" si="21"/>
        <v>0</v>
      </c>
      <c r="U65" s="4">
        <f t="shared" ca="1" si="22"/>
        <v>108</v>
      </c>
      <c r="V65" s="4">
        <f t="shared" ca="1" si="23"/>
        <v>252</v>
      </c>
      <c r="W65" s="13">
        <f t="shared" ca="1" si="24"/>
        <v>0.81200000000000006</v>
      </c>
      <c r="X65" s="5">
        <f t="shared" ca="1" si="25"/>
        <v>-8.144796380090491E-2</v>
      </c>
      <c r="Y65" s="15">
        <f t="shared" si="26"/>
        <v>-0.19047619047619047</v>
      </c>
      <c r="Z65" s="15">
        <f t="shared" si="27"/>
        <v>1.032258064516129</v>
      </c>
      <c r="AA65" s="15">
        <f t="shared" si="28"/>
        <v>2.291666666666667</v>
      </c>
      <c r="AB65" s="15">
        <f t="shared" si="29"/>
        <v>-1.24</v>
      </c>
      <c r="AC65" s="15">
        <f t="shared" si="30"/>
        <v>99.999989999999997</v>
      </c>
      <c r="AD65" s="15">
        <f t="shared" si="31"/>
        <v>99.999989999999997</v>
      </c>
      <c r="AE65" s="15">
        <f t="shared" si="32"/>
        <v>99.999989999999997</v>
      </c>
      <c r="AF65" s="15">
        <f t="shared" si="33"/>
        <v>99.999989999999997</v>
      </c>
      <c r="AG65" s="15">
        <f t="shared" si="34"/>
        <v>99.999989999999997</v>
      </c>
      <c r="AH65" s="15">
        <f t="shared" si="35"/>
        <v>99.999989999999997</v>
      </c>
      <c r="AI65" s="15">
        <f t="shared" si="36"/>
        <v>99.999989999999997</v>
      </c>
      <c r="AJ65" s="15">
        <f t="shared" si="37"/>
        <v>99.999989999999997</v>
      </c>
      <c r="AK65" s="5">
        <f t="shared" si="38"/>
        <v>-1.24</v>
      </c>
    </row>
    <row r="66" spans="1:37">
      <c r="A66" t="s">
        <v>256</v>
      </c>
      <c r="B66" t="s">
        <v>257</v>
      </c>
      <c r="C66" s="60">
        <v>31</v>
      </c>
      <c r="D66" s="60">
        <v>12</v>
      </c>
      <c r="E66" s="60">
        <v>2016</v>
      </c>
      <c r="F66" s="101">
        <v>11.2</v>
      </c>
      <c r="G66" s="101">
        <v>8.24</v>
      </c>
      <c r="H66" s="101">
        <v>6.76</v>
      </c>
      <c r="I66" s="96">
        <v>5.4</v>
      </c>
      <c r="J66" s="57">
        <v>5.89</v>
      </c>
      <c r="K66" s="57">
        <v>6.27</v>
      </c>
      <c r="L66" s="57">
        <v>5.61</v>
      </c>
      <c r="M66" s="57">
        <v>4.63</v>
      </c>
      <c r="N66" s="57">
        <v>3.98</v>
      </c>
      <c r="O66" s="57">
        <v>2.7</v>
      </c>
      <c r="P66" s="57"/>
      <c r="Q66" s="57"/>
      <c r="R66" s="57"/>
      <c r="S66" s="97">
        <f t="shared" si="20"/>
        <v>6.0679999999999996</v>
      </c>
      <c r="T66" s="4">
        <f t="shared" ca="1" si="21"/>
        <v>0</v>
      </c>
      <c r="U66" s="4">
        <f t="shared" ca="1" si="22"/>
        <v>108</v>
      </c>
      <c r="V66" s="4">
        <f t="shared" ca="1" si="23"/>
        <v>252</v>
      </c>
      <c r="W66" s="13">
        <f t="shared" ca="1" si="24"/>
        <v>7.2040000000000006</v>
      </c>
      <c r="X66" s="5">
        <f t="shared" ca="1" si="25"/>
        <v>0.18721160184574837</v>
      </c>
      <c r="Y66" s="15">
        <f t="shared" si="26"/>
        <v>0.35922330097087363</v>
      </c>
      <c r="Z66" s="15">
        <f t="shared" si="27"/>
        <v>0.21893491124260356</v>
      </c>
      <c r="AA66" s="15">
        <f t="shared" si="28"/>
        <v>0.25185185185185177</v>
      </c>
      <c r="AB66" s="15">
        <f t="shared" si="29"/>
        <v>-8.3191850594227401E-2</v>
      </c>
      <c r="AC66" s="15">
        <f t="shared" si="30"/>
        <v>-6.0606060606060552E-2</v>
      </c>
      <c r="AD66" s="15">
        <f t="shared" si="31"/>
        <v>0.11764705882352922</v>
      </c>
      <c r="AE66" s="15">
        <f t="shared" si="32"/>
        <v>0.21166306695464376</v>
      </c>
      <c r="AF66" s="15">
        <f t="shared" si="33"/>
        <v>0.16331658291457285</v>
      </c>
      <c r="AG66" s="15">
        <f t="shared" si="34"/>
        <v>0.47407407407407387</v>
      </c>
      <c r="AH66" s="15">
        <f t="shared" si="35"/>
        <v>99.999989999999997</v>
      </c>
      <c r="AI66" s="15">
        <f t="shared" si="36"/>
        <v>99.999989999999997</v>
      </c>
      <c r="AJ66" s="15">
        <f t="shared" si="37"/>
        <v>99.999989999999997</v>
      </c>
      <c r="AK66" s="5">
        <f t="shared" si="38"/>
        <v>-8.3191850594227401E-2</v>
      </c>
    </row>
    <row r="67" spans="1:37">
      <c r="A67" t="s">
        <v>258</v>
      </c>
      <c r="B67" t="s">
        <v>259</v>
      </c>
      <c r="C67" s="60">
        <v>31</v>
      </c>
      <c r="D67" s="60">
        <v>12</v>
      </c>
      <c r="E67" s="60">
        <v>2016</v>
      </c>
      <c r="F67" s="101">
        <v>-6.43</v>
      </c>
      <c r="G67" s="101">
        <v>-5.41</v>
      </c>
      <c r="H67" s="101">
        <v>-4.04</v>
      </c>
      <c r="I67" s="96">
        <v>-2.88</v>
      </c>
      <c r="J67" s="57">
        <v>-0.92</v>
      </c>
      <c r="K67" s="57">
        <v>1.58</v>
      </c>
      <c r="L67" s="57">
        <v>1.73</v>
      </c>
      <c r="M67" s="57">
        <v>-0.76</v>
      </c>
      <c r="N67" s="57">
        <v>-1.34</v>
      </c>
      <c r="O67" s="57">
        <v>-2.56</v>
      </c>
      <c r="P67" s="57">
        <v>-4.2300000000000004</v>
      </c>
      <c r="Q67" s="57">
        <v>-3.12</v>
      </c>
      <c r="R67" s="57">
        <v>0.6</v>
      </c>
      <c r="S67" s="97">
        <f t="shared" si="20"/>
        <v>-2.1369230769230771</v>
      </c>
      <c r="T67" s="4">
        <f t="shared" ca="1" si="21"/>
        <v>0</v>
      </c>
      <c r="U67" s="4">
        <f t="shared" ca="1" si="22"/>
        <v>108</v>
      </c>
      <c r="V67" s="4">
        <f t="shared" ca="1" si="23"/>
        <v>252</v>
      </c>
      <c r="W67" s="13">
        <f t="shared" ca="1" si="24"/>
        <v>-4.4510000000000005</v>
      </c>
      <c r="X67" s="5">
        <f t="shared" ca="1" si="25"/>
        <v>-1.0829013678905688</v>
      </c>
      <c r="Y67" s="15">
        <f t="shared" si="26"/>
        <v>-0.18853974121996298</v>
      </c>
      <c r="Z67" s="15">
        <f t="shared" si="27"/>
        <v>-0.33910891089108919</v>
      </c>
      <c r="AA67" s="15">
        <f t="shared" si="28"/>
        <v>-0.4027777777777779</v>
      </c>
      <c r="AB67" s="15">
        <f t="shared" si="29"/>
        <v>-2.1304347826086953</v>
      </c>
      <c r="AC67" s="15">
        <f t="shared" si="30"/>
        <v>-1.5822784810126582</v>
      </c>
      <c r="AD67" s="15">
        <f t="shared" si="31"/>
        <v>-8.6705202312138629E-2</v>
      </c>
      <c r="AE67" s="15">
        <f t="shared" si="32"/>
        <v>3.2763157894736841</v>
      </c>
      <c r="AF67" s="15">
        <f t="shared" si="33"/>
        <v>0.43283582089552242</v>
      </c>
      <c r="AG67" s="15">
        <f t="shared" si="34"/>
        <v>0.4765625</v>
      </c>
      <c r="AH67" s="15">
        <f t="shared" si="35"/>
        <v>0.39479905437352247</v>
      </c>
      <c r="AI67" s="15">
        <f t="shared" si="36"/>
        <v>-0.35576923076923084</v>
      </c>
      <c r="AJ67" s="15">
        <f t="shared" si="37"/>
        <v>-6.2</v>
      </c>
      <c r="AK67" s="5">
        <f t="shared" si="38"/>
        <v>-6.2</v>
      </c>
    </row>
    <row r="68" spans="1:37">
      <c r="A68" s="52" t="s">
        <v>269</v>
      </c>
      <c r="B68" s="52" t="s">
        <v>271</v>
      </c>
      <c r="C68" s="104">
        <v>31</v>
      </c>
      <c r="D68" s="104">
        <v>12</v>
      </c>
      <c r="E68" s="104">
        <v>2016</v>
      </c>
      <c r="F68" s="101">
        <v>49.1</v>
      </c>
      <c r="G68" s="101">
        <v>46.6</v>
      </c>
      <c r="H68" s="101">
        <v>41.1</v>
      </c>
      <c r="I68" s="96">
        <v>37.21</v>
      </c>
      <c r="J68" s="57">
        <v>35.47</v>
      </c>
      <c r="K68" s="57">
        <v>33.729999999999997</v>
      </c>
      <c r="L68" s="57">
        <v>32.68</v>
      </c>
      <c r="M68" s="57">
        <v>27.23</v>
      </c>
      <c r="N68" s="57">
        <v>23.78</v>
      </c>
      <c r="O68" s="57">
        <v>20.58</v>
      </c>
      <c r="P68" s="57">
        <v>17.3</v>
      </c>
      <c r="Q68" s="57">
        <v>16.010000000000002</v>
      </c>
      <c r="R68" s="57">
        <v>15.47</v>
      </c>
      <c r="S68" s="97">
        <f t="shared" ref="S68:S99" si="39">AVERAGE(F68:R68)</f>
        <v>30.481538461538459</v>
      </c>
      <c r="T68" s="4">
        <f t="shared" ref="T68:T99" ca="1" si="40">IF(DAYS360(TODAY(),DATE(E68+2,D68,C68))&gt;=720,0,360-U68)</f>
        <v>0</v>
      </c>
      <c r="U68" s="4">
        <f t="shared" ref="U68:U99" ca="1" si="41">IF(DAYS360(TODAY(),DATE(E68+1,D68,C68))&lt;=360,DAYS360(TODAY(),DATE(E68+1,D68,C68)),360-V68)</f>
        <v>108</v>
      </c>
      <c r="V68" s="4">
        <f t="shared" ref="V68:V103" ca="1" si="42">IF(DATE(E68,D68,C68)&lt;=TODAY(),0,DAYS360(TODAY(),DATE(E68,D68,C68)))</f>
        <v>252</v>
      </c>
      <c r="W68" s="13">
        <f t="shared" ref="W68:W99" ca="1" si="43">(F68/360*T68)+(G68/360*U68)+(H68/360*V68)</f>
        <v>42.75</v>
      </c>
      <c r="X68" s="5">
        <f t="shared" ref="X68:X99" ca="1" si="44">IF(W68&lt;0,IF(S68&lt;0,((W68/S68)-1)*-1,(W68/S68)-1),IF(S68&lt;0,ABS((W68/S68)-1),(W68/S68)-1))</f>
        <v>0.40248826528037163</v>
      </c>
      <c r="Y68" s="15">
        <f t="shared" ref="Y68:Y103" si="45">IF(F68&lt;&gt;"",IF(G68&lt;&gt;"",IF(F68&lt;0,IF(G68&lt;0,((F68/G68)-1)*-1,(F68/G68)-1),IF(G68&lt;0,ABS((F68/G68)-1),(F68/G68)-1))),99.99999)</f>
        <v>5.3648068669527982E-2</v>
      </c>
      <c r="Z68" s="15">
        <f t="shared" ref="Z68:Z103" si="46">IF(H68&lt;&gt;"",IF(G68&lt;0,IF(H68&lt;0,((G68/H68)-1)*-1,(G68/H68)-1),IF(H68&lt;0,ABS((G68/H68)-1),(G68/H68)-1)),99.99999)</f>
        <v>0.13381995133819946</v>
      </c>
      <c r="AA68" s="15">
        <f t="shared" ref="AA68:AA103" si="47">IF(I68&lt;&gt;"",IF(H68&lt;0,IF(I68&lt;0,((H68/I68)-1)*-1,(H68/I68)-1),IF(I68&lt;0,ABS((H68/I68)-1),(H68/I68)-1)),99.99999)</f>
        <v>0.10454178984144047</v>
      </c>
      <c r="AB68" s="15">
        <f t="shared" ref="AB68:AB103" si="48">IF(J68&lt;&gt;"",IF(I68&lt;0,IF(J68&lt;0,((I68/J68)-1)*-1,(I68/J68)-1),IF(J68&lt;0,ABS((I68/J68)-1),(I68/J68)-1)),99.99999)</f>
        <v>4.9055539892867372E-2</v>
      </c>
      <c r="AC68" s="15">
        <f t="shared" ref="AC68:AC103" si="49">IF(K68&lt;&gt;"",IF(J68&lt;0,IF(K68&lt;0,((J68/K68)-1)*-1,(J68/K68)-1),IF(K68&lt;0,ABS((J68/K68)-1),(J68/K68)-1)),99.99999)</f>
        <v>5.1586125111177106E-2</v>
      </c>
      <c r="AD68" s="15">
        <f t="shared" ref="AD68:AD103" si="50">IF(L68&lt;&gt;"",IF(K68&lt;0,IF(L68&lt;0,((K68/L68)-1)*-1,(K68/L68)-1),IF(L68&lt;0,ABS((K68/L68)-1),(K68/L68)-1)),99.99999)</f>
        <v>3.2129742962056174E-2</v>
      </c>
      <c r="AE68" s="15">
        <f t="shared" ref="AE68:AE103" si="51">IF(M68&lt;&gt;"",IF(L68&lt;0,IF(M68&lt;0,((L68/M68)-1)*-1,(L68/M68)-1),IF(M68&lt;0,ABS((L68/M68)-1),(L68/M68)-1)),99.99999)</f>
        <v>0.20014689680499442</v>
      </c>
      <c r="AF68" s="15">
        <f t="shared" ref="AF68:AF103" si="52">IF(N68&lt;&gt;"",IF(M68&lt;0,IF(N68&lt;0,((M68/N68)-1)*-1,(M68/N68)-1),IF(N68&lt;0,ABS((M68/N68)-1),(M68/N68)-1)),99.99999)</f>
        <v>0.14507989907485275</v>
      </c>
      <c r="AG68" s="15">
        <f t="shared" ref="AG68:AG103" si="53">IF(O68&lt;&gt;"",IF(N68&lt;0,IF(O68&lt;0,((N68/O68)-1)*-1,(N68/O68)-1),IF(O68&lt;0,ABS((N68/O68)-1),(N68/O68)-1)),99.99999)</f>
        <v>0.15549076773566584</v>
      </c>
      <c r="AH68" s="15">
        <f t="shared" ref="AH68:AH103" si="54">IF(P68&lt;&gt;"",IF(O68&lt;0,IF(P68&lt;0,((O68/P68)-1)*-1,(O68/P68)-1),IF(P68&lt;0,ABS((O68/P68)-1),(O68/P68)-1)),99.99999)</f>
        <v>0.18959537572254326</v>
      </c>
      <c r="AI68" s="15">
        <f t="shared" ref="AI68:AI103" si="55">IF(Q68&lt;&gt;"",IF(P68&lt;0,IF(Q68&lt;0,((P68/Q68)-1)*-1,(P68/Q68)-1),IF(Q68&lt;0,ABS((P68/Q68)-1),(P68/Q68)-1)),99.99999)</f>
        <v>8.057464084946897E-2</v>
      </c>
      <c r="AJ68" s="15">
        <f t="shared" ref="AJ68:AJ103" si="56">IF(R68&lt;&gt;"",IF(Q68&lt;0,IF(R68&lt;0,((Q68/R68)-1)*-1,(Q68/R68)-1),IF(R68&lt;0,ABS((Q68/R68)-1),(Q68/R68)-1)),99.99999)</f>
        <v>3.4906270200387945E-2</v>
      </c>
      <c r="AK68" s="5">
        <f t="shared" ref="AK68:AK99" si="57">MIN(Y68:AJ68)</f>
        <v>3.2129742962056174E-2</v>
      </c>
    </row>
    <row r="69" spans="1:37">
      <c r="A69" s="52"/>
      <c r="B69" s="52"/>
      <c r="C69" s="104"/>
      <c r="D69" s="104"/>
      <c r="E69" s="104"/>
      <c r="F69" s="82"/>
      <c r="G69" s="82"/>
      <c r="H69" s="81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97" t="e">
        <f t="shared" si="39"/>
        <v>#DIV/0!</v>
      </c>
      <c r="T69" s="4">
        <f t="shared" ca="1" si="40"/>
        <v>41899</v>
      </c>
      <c r="U69" s="4">
        <f t="shared" ca="1" si="41"/>
        <v>-41539</v>
      </c>
      <c r="V69" s="4" t="e">
        <f t="shared" ca="1" si="42"/>
        <v>#NUM!</v>
      </c>
      <c r="W69" s="13" t="e">
        <f t="shared" ca="1" si="43"/>
        <v>#NUM!</v>
      </c>
      <c r="X69" s="5" t="e">
        <f t="shared" ca="1" si="44"/>
        <v>#NUM!</v>
      </c>
      <c r="Y69" s="15">
        <f t="shared" si="45"/>
        <v>99.999989999999997</v>
      </c>
      <c r="Z69" s="15">
        <f t="shared" si="46"/>
        <v>99.999989999999997</v>
      </c>
      <c r="AA69" s="15">
        <f t="shared" si="47"/>
        <v>99.999989999999997</v>
      </c>
      <c r="AB69" s="15">
        <f t="shared" si="48"/>
        <v>99.999989999999997</v>
      </c>
      <c r="AC69" s="15">
        <f t="shared" si="49"/>
        <v>99.999989999999997</v>
      </c>
      <c r="AD69" s="15">
        <f t="shared" si="50"/>
        <v>99.999989999999997</v>
      </c>
      <c r="AE69" s="15">
        <f t="shared" si="51"/>
        <v>99.999989999999997</v>
      </c>
      <c r="AF69" s="15">
        <f t="shared" si="52"/>
        <v>99.999989999999997</v>
      </c>
      <c r="AG69" s="15">
        <f t="shared" si="53"/>
        <v>99.999989999999997</v>
      </c>
      <c r="AH69" s="15">
        <f t="shared" si="54"/>
        <v>99.999989999999997</v>
      </c>
      <c r="AI69" s="15">
        <f t="shared" si="55"/>
        <v>99.999989999999997</v>
      </c>
      <c r="AJ69" s="15">
        <f t="shared" si="56"/>
        <v>99.999989999999997</v>
      </c>
      <c r="AK69" s="5">
        <f t="shared" si="57"/>
        <v>99.999989999999997</v>
      </c>
    </row>
    <row r="70" spans="1:37">
      <c r="A70" s="52"/>
      <c r="B70" s="52"/>
      <c r="C70" s="104"/>
      <c r="D70" s="104"/>
      <c r="E70" s="104"/>
      <c r="F70" s="82"/>
      <c r="G70" s="82"/>
      <c r="H70" s="81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97" t="e">
        <f t="shared" si="39"/>
        <v>#DIV/0!</v>
      </c>
      <c r="T70" s="4">
        <f t="shared" ca="1" si="40"/>
        <v>41899</v>
      </c>
      <c r="U70" s="4">
        <f t="shared" ca="1" si="41"/>
        <v>-41539</v>
      </c>
      <c r="V70" s="4" t="e">
        <f t="shared" ca="1" si="42"/>
        <v>#NUM!</v>
      </c>
      <c r="W70" s="13" t="e">
        <f t="shared" ca="1" si="43"/>
        <v>#NUM!</v>
      </c>
      <c r="X70" s="5" t="e">
        <f t="shared" ca="1" si="44"/>
        <v>#NUM!</v>
      </c>
      <c r="Y70" s="15">
        <f t="shared" si="45"/>
        <v>99.999989999999997</v>
      </c>
      <c r="Z70" s="15">
        <f t="shared" si="46"/>
        <v>99.999989999999997</v>
      </c>
      <c r="AA70" s="15">
        <f t="shared" si="47"/>
        <v>99.999989999999997</v>
      </c>
      <c r="AB70" s="15">
        <f t="shared" si="48"/>
        <v>99.999989999999997</v>
      </c>
      <c r="AC70" s="15">
        <f t="shared" si="49"/>
        <v>99.999989999999997</v>
      </c>
      <c r="AD70" s="15">
        <f t="shared" si="50"/>
        <v>99.999989999999997</v>
      </c>
      <c r="AE70" s="15">
        <f t="shared" si="51"/>
        <v>99.999989999999997</v>
      </c>
      <c r="AF70" s="15">
        <f t="shared" si="52"/>
        <v>99.999989999999997</v>
      </c>
      <c r="AG70" s="15">
        <f t="shared" si="53"/>
        <v>99.999989999999997</v>
      </c>
      <c r="AH70" s="15">
        <f t="shared" si="54"/>
        <v>99.999989999999997</v>
      </c>
      <c r="AI70" s="15">
        <f t="shared" si="55"/>
        <v>99.999989999999997</v>
      </c>
      <c r="AJ70" s="15">
        <f t="shared" si="56"/>
        <v>99.999989999999997</v>
      </c>
      <c r="AK70" s="5">
        <f t="shared" si="57"/>
        <v>99.999989999999997</v>
      </c>
    </row>
    <row r="71" spans="1:37">
      <c r="A71" s="52"/>
      <c r="B71" s="52"/>
      <c r="C71" s="104"/>
      <c r="D71" s="104"/>
      <c r="E71" s="104"/>
      <c r="F71" s="82"/>
      <c r="G71" s="82"/>
      <c r="H71" s="81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97" t="e">
        <f t="shared" si="39"/>
        <v>#DIV/0!</v>
      </c>
      <c r="T71" s="4">
        <f t="shared" ca="1" si="40"/>
        <v>41899</v>
      </c>
      <c r="U71" s="4">
        <f t="shared" ca="1" si="41"/>
        <v>-41539</v>
      </c>
      <c r="V71" s="4" t="e">
        <f t="shared" ca="1" si="42"/>
        <v>#NUM!</v>
      </c>
      <c r="W71" s="13" t="e">
        <f t="shared" ca="1" si="43"/>
        <v>#NUM!</v>
      </c>
      <c r="X71" s="5" t="e">
        <f t="shared" ca="1" si="44"/>
        <v>#NUM!</v>
      </c>
      <c r="Y71" s="15">
        <f t="shared" si="45"/>
        <v>99.999989999999997</v>
      </c>
      <c r="Z71" s="15">
        <f t="shared" si="46"/>
        <v>99.999989999999997</v>
      </c>
      <c r="AA71" s="15">
        <f t="shared" si="47"/>
        <v>99.999989999999997</v>
      </c>
      <c r="AB71" s="15">
        <f t="shared" si="48"/>
        <v>99.999989999999997</v>
      </c>
      <c r="AC71" s="15">
        <f t="shared" si="49"/>
        <v>99.999989999999997</v>
      </c>
      <c r="AD71" s="15">
        <f t="shared" si="50"/>
        <v>99.999989999999997</v>
      </c>
      <c r="AE71" s="15">
        <f t="shared" si="51"/>
        <v>99.999989999999997</v>
      </c>
      <c r="AF71" s="15">
        <f t="shared" si="52"/>
        <v>99.999989999999997</v>
      </c>
      <c r="AG71" s="15">
        <f t="shared" si="53"/>
        <v>99.999989999999997</v>
      </c>
      <c r="AH71" s="15">
        <f t="shared" si="54"/>
        <v>99.999989999999997</v>
      </c>
      <c r="AI71" s="15">
        <f t="shared" si="55"/>
        <v>99.999989999999997</v>
      </c>
      <c r="AJ71" s="15">
        <f t="shared" si="56"/>
        <v>99.999989999999997</v>
      </c>
      <c r="AK71" s="5">
        <f t="shared" si="57"/>
        <v>99.999989999999997</v>
      </c>
    </row>
    <row r="72" spans="1:37">
      <c r="A72" s="52"/>
      <c r="B72" s="52"/>
      <c r="C72" s="104"/>
      <c r="D72" s="104"/>
      <c r="E72" s="104"/>
      <c r="F72" s="82"/>
      <c r="G72" s="82"/>
      <c r="H72" s="81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97" t="e">
        <f t="shared" si="39"/>
        <v>#DIV/0!</v>
      </c>
      <c r="T72" s="4">
        <f t="shared" ca="1" si="40"/>
        <v>41899</v>
      </c>
      <c r="U72" s="4">
        <f t="shared" ca="1" si="41"/>
        <v>-41539</v>
      </c>
      <c r="V72" s="4" t="e">
        <f t="shared" ca="1" si="42"/>
        <v>#NUM!</v>
      </c>
      <c r="W72" s="13" t="e">
        <f t="shared" ca="1" si="43"/>
        <v>#NUM!</v>
      </c>
      <c r="X72" s="5" t="e">
        <f t="shared" ca="1" si="44"/>
        <v>#NUM!</v>
      </c>
      <c r="Y72" s="15">
        <f t="shared" si="45"/>
        <v>99.999989999999997</v>
      </c>
      <c r="Z72" s="15">
        <f t="shared" si="46"/>
        <v>99.999989999999997</v>
      </c>
      <c r="AA72" s="15">
        <f t="shared" si="47"/>
        <v>99.999989999999997</v>
      </c>
      <c r="AB72" s="15">
        <f t="shared" si="48"/>
        <v>99.999989999999997</v>
      </c>
      <c r="AC72" s="15">
        <f t="shared" si="49"/>
        <v>99.999989999999997</v>
      </c>
      <c r="AD72" s="15">
        <f t="shared" si="50"/>
        <v>99.999989999999997</v>
      </c>
      <c r="AE72" s="15">
        <f t="shared" si="51"/>
        <v>99.999989999999997</v>
      </c>
      <c r="AF72" s="15">
        <f t="shared" si="52"/>
        <v>99.999989999999997</v>
      </c>
      <c r="AG72" s="15">
        <f t="shared" si="53"/>
        <v>99.999989999999997</v>
      </c>
      <c r="AH72" s="15">
        <f t="shared" si="54"/>
        <v>99.999989999999997</v>
      </c>
      <c r="AI72" s="15">
        <f t="shared" si="55"/>
        <v>99.999989999999997</v>
      </c>
      <c r="AJ72" s="15">
        <f t="shared" si="56"/>
        <v>99.999989999999997</v>
      </c>
      <c r="AK72" s="5">
        <f t="shared" si="57"/>
        <v>99.999989999999997</v>
      </c>
    </row>
    <row r="73" spans="1:37">
      <c r="A73" s="52"/>
      <c r="B73" s="52"/>
      <c r="C73" s="104"/>
      <c r="D73" s="104"/>
      <c r="E73" s="104"/>
      <c r="F73" s="82"/>
      <c r="G73" s="82"/>
      <c r="H73" s="81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97" t="e">
        <f t="shared" si="39"/>
        <v>#DIV/0!</v>
      </c>
      <c r="T73" s="4">
        <f t="shared" ca="1" si="40"/>
        <v>41899</v>
      </c>
      <c r="U73" s="4">
        <f t="shared" ca="1" si="41"/>
        <v>-41539</v>
      </c>
      <c r="V73" s="4" t="e">
        <f t="shared" ca="1" si="42"/>
        <v>#NUM!</v>
      </c>
      <c r="W73" s="13" t="e">
        <f t="shared" ca="1" si="43"/>
        <v>#NUM!</v>
      </c>
      <c r="X73" s="5" t="e">
        <f t="shared" ca="1" si="44"/>
        <v>#NUM!</v>
      </c>
      <c r="Y73" s="15">
        <f t="shared" si="45"/>
        <v>99.999989999999997</v>
      </c>
      <c r="Z73" s="15">
        <f t="shared" si="46"/>
        <v>99.999989999999997</v>
      </c>
      <c r="AA73" s="15">
        <f t="shared" si="47"/>
        <v>99.999989999999997</v>
      </c>
      <c r="AB73" s="15">
        <f t="shared" si="48"/>
        <v>99.999989999999997</v>
      </c>
      <c r="AC73" s="15">
        <f t="shared" si="49"/>
        <v>99.999989999999997</v>
      </c>
      <c r="AD73" s="15">
        <f t="shared" si="50"/>
        <v>99.999989999999997</v>
      </c>
      <c r="AE73" s="15">
        <f t="shared" si="51"/>
        <v>99.999989999999997</v>
      </c>
      <c r="AF73" s="15">
        <f t="shared" si="52"/>
        <v>99.999989999999997</v>
      </c>
      <c r="AG73" s="15">
        <f t="shared" si="53"/>
        <v>99.999989999999997</v>
      </c>
      <c r="AH73" s="15">
        <f t="shared" si="54"/>
        <v>99.999989999999997</v>
      </c>
      <c r="AI73" s="15">
        <f t="shared" si="55"/>
        <v>99.999989999999997</v>
      </c>
      <c r="AJ73" s="15">
        <f t="shared" si="56"/>
        <v>99.999989999999997</v>
      </c>
      <c r="AK73" s="5">
        <f t="shared" si="57"/>
        <v>99.999989999999997</v>
      </c>
    </row>
    <row r="74" spans="1:37">
      <c r="A74" s="52"/>
      <c r="B74" s="52"/>
      <c r="C74" s="104"/>
      <c r="D74" s="104"/>
      <c r="E74" s="104"/>
      <c r="F74" s="82"/>
      <c r="G74" s="82"/>
      <c r="H74" s="81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97" t="e">
        <f t="shared" si="39"/>
        <v>#DIV/0!</v>
      </c>
      <c r="T74" s="4">
        <f t="shared" ca="1" si="40"/>
        <v>41899</v>
      </c>
      <c r="U74" s="4">
        <f t="shared" ca="1" si="41"/>
        <v>-41539</v>
      </c>
      <c r="V74" s="4" t="e">
        <f t="shared" ca="1" si="42"/>
        <v>#NUM!</v>
      </c>
      <c r="W74" s="13" t="e">
        <f t="shared" ca="1" si="43"/>
        <v>#NUM!</v>
      </c>
      <c r="X74" s="5" t="e">
        <f t="shared" ca="1" si="44"/>
        <v>#NUM!</v>
      </c>
      <c r="Y74" s="15">
        <f t="shared" si="45"/>
        <v>99.999989999999997</v>
      </c>
      <c r="Z74" s="15">
        <f t="shared" si="46"/>
        <v>99.999989999999997</v>
      </c>
      <c r="AA74" s="15">
        <f t="shared" si="47"/>
        <v>99.999989999999997</v>
      </c>
      <c r="AB74" s="15">
        <f t="shared" si="48"/>
        <v>99.999989999999997</v>
      </c>
      <c r="AC74" s="15">
        <f t="shared" si="49"/>
        <v>99.999989999999997</v>
      </c>
      <c r="AD74" s="15">
        <f t="shared" si="50"/>
        <v>99.999989999999997</v>
      </c>
      <c r="AE74" s="15">
        <f t="shared" si="51"/>
        <v>99.999989999999997</v>
      </c>
      <c r="AF74" s="15">
        <f t="shared" si="52"/>
        <v>99.999989999999997</v>
      </c>
      <c r="AG74" s="15">
        <f t="shared" si="53"/>
        <v>99.999989999999997</v>
      </c>
      <c r="AH74" s="15">
        <f t="shared" si="54"/>
        <v>99.999989999999997</v>
      </c>
      <c r="AI74" s="15">
        <f t="shared" si="55"/>
        <v>99.999989999999997</v>
      </c>
      <c r="AJ74" s="15">
        <f t="shared" si="56"/>
        <v>99.999989999999997</v>
      </c>
      <c r="AK74" s="5">
        <f t="shared" si="57"/>
        <v>99.999989999999997</v>
      </c>
    </row>
    <row r="75" spans="1:37">
      <c r="A75" s="52"/>
      <c r="B75" s="52"/>
      <c r="C75" s="104"/>
      <c r="D75" s="104"/>
      <c r="E75" s="104"/>
      <c r="F75" s="82"/>
      <c r="G75" s="82"/>
      <c r="H75" s="81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97" t="e">
        <f t="shared" si="39"/>
        <v>#DIV/0!</v>
      </c>
      <c r="T75" s="4">
        <f t="shared" ca="1" si="40"/>
        <v>41899</v>
      </c>
      <c r="U75" s="4">
        <f t="shared" ca="1" si="41"/>
        <v>-41539</v>
      </c>
      <c r="V75" s="4" t="e">
        <f t="shared" ca="1" si="42"/>
        <v>#NUM!</v>
      </c>
      <c r="W75" s="13" t="e">
        <f t="shared" ca="1" si="43"/>
        <v>#NUM!</v>
      </c>
      <c r="X75" s="5" t="e">
        <f t="shared" ca="1" si="44"/>
        <v>#NUM!</v>
      </c>
      <c r="Y75" s="15">
        <f t="shared" si="45"/>
        <v>99.999989999999997</v>
      </c>
      <c r="Z75" s="15">
        <f t="shared" si="46"/>
        <v>99.999989999999997</v>
      </c>
      <c r="AA75" s="15">
        <f t="shared" si="47"/>
        <v>99.999989999999997</v>
      </c>
      <c r="AB75" s="15">
        <f t="shared" si="48"/>
        <v>99.999989999999997</v>
      </c>
      <c r="AC75" s="15">
        <f t="shared" si="49"/>
        <v>99.999989999999997</v>
      </c>
      <c r="AD75" s="15">
        <f t="shared" si="50"/>
        <v>99.999989999999997</v>
      </c>
      <c r="AE75" s="15">
        <f t="shared" si="51"/>
        <v>99.999989999999997</v>
      </c>
      <c r="AF75" s="15">
        <f t="shared" si="52"/>
        <v>99.999989999999997</v>
      </c>
      <c r="AG75" s="15">
        <f t="shared" si="53"/>
        <v>99.999989999999997</v>
      </c>
      <c r="AH75" s="15">
        <f t="shared" si="54"/>
        <v>99.999989999999997</v>
      </c>
      <c r="AI75" s="15">
        <f t="shared" si="55"/>
        <v>99.999989999999997</v>
      </c>
      <c r="AJ75" s="15">
        <f t="shared" si="56"/>
        <v>99.999989999999997</v>
      </c>
      <c r="AK75" s="5">
        <f t="shared" si="57"/>
        <v>99.999989999999997</v>
      </c>
    </row>
    <row r="76" spans="1:37">
      <c r="A76" s="52"/>
      <c r="B76" s="52"/>
      <c r="C76" s="104"/>
      <c r="D76" s="104"/>
      <c r="E76" s="104"/>
      <c r="F76" s="82"/>
      <c r="G76" s="82"/>
      <c r="H76" s="81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97" t="e">
        <f t="shared" si="39"/>
        <v>#DIV/0!</v>
      </c>
      <c r="T76" s="4">
        <f t="shared" ca="1" si="40"/>
        <v>41899</v>
      </c>
      <c r="U76" s="4">
        <f t="shared" ca="1" si="41"/>
        <v>-41539</v>
      </c>
      <c r="V76" s="4" t="e">
        <f t="shared" ca="1" si="42"/>
        <v>#NUM!</v>
      </c>
      <c r="W76" s="13" t="e">
        <f t="shared" ca="1" si="43"/>
        <v>#NUM!</v>
      </c>
      <c r="X76" s="5" t="e">
        <f t="shared" ca="1" si="44"/>
        <v>#NUM!</v>
      </c>
      <c r="Y76" s="15">
        <f t="shared" si="45"/>
        <v>99.999989999999997</v>
      </c>
      <c r="Z76" s="15">
        <f t="shared" si="46"/>
        <v>99.999989999999997</v>
      </c>
      <c r="AA76" s="15">
        <f t="shared" si="47"/>
        <v>99.999989999999997</v>
      </c>
      <c r="AB76" s="15">
        <f t="shared" si="48"/>
        <v>99.999989999999997</v>
      </c>
      <c r="AC76" s="15">
        <f t="shared" si="49"/>
        <v>99.999989999999997</v>
      </c>
      <c r="AD76" s="15">
        <f t="shared" si="50"/>
        <v>99.999989999999997</v>
      </c>
      <c r="AE76" s="15">
        <f t="shared" si="51"/>
        <v>99.999989999999997</v>
      </c>
      <c r="AF76" s="15">
        <f t="shared" si="52"/>
        <v>99.999989999999997</v>
      </c>
      <c r="AG76" s="15">
        <f t="shared" si="53"/>
        <v>99.999989999999997</v>
      </c>
      <c r="AH76" s="15">
        <f t="shared" si="54"/>
        <v>99.999989999999997</v>
      </c>
      <c r="AI76" s="15">
        <f t="shared" si="55"/>
        <v>99.999989999999997</v>
      </c>
      <c r="AJ76" s="15">
        <f t="shared" si="56"/>
        <v>99.999989999999997</v>
      </c>
      <c r="AK76" s="5">
        <f t="shared" si="57"/>
        <v>99.999989999999997</v>
      </c>
    </row>
    <row r="77" spans="1:37">
      <c r="A77" s="52"/>
      <c r="B77" s="52"/>
      <c r="C77" s="104"/>
      <c r="D77" s="104"/>
      <c r="E77" s="104"/>
      <c r="F77" s="82"/>
      <c r="G77" s="82"/>
      <c r="H77" s="81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97" t="e">
        <f t="shared" si="39"/>
        <v>#DIV/0!</v>
      </c>
      <c r="T77" s="4">
        <f t="shared" ca="1" si="40"/>
        <v>41899</v>
      </c>
      <c r="U77" s="4">
        <f t="shared" ca="1" si="41"/>
        <v>-41539</v>
      </c>
      <c r="V77" s="4" t="e">
        <f t="shared" ca="1" si="42"/>
        <v>#NUM!</v>
      </c>
      <c r="W77" s="13" t="e">
        <f t="shared" ca="1" si="43"/>
        <v>#NUM!</v>
      </c>
      <c r="X77" s="5" t="e">
        <f t="shared" ca="1" si="44"/>
        <v>#NUM!</v>
      </c>
      <c r="Y77" s="15">
        <f t="shared" si="45"/>
        <v>99.999989999999997</v>
      </c>
      <c r="Z77" s="15">
        <f t="shared" si="46"/>
        <v>99.999989999999997</v>
      </c>
      <c r="AA77" s="15">
        <f t="shared" si="47"/>
        <v>99.999989999999997</v>
      </c>
      <c r="AB77" s="15">
        <f t="shared" si="48"/>
        <v>99.999989999999997</v>
      </c>
      <c r="AC77" s="15">
        <f t="shared" si="49"/>
        <v>99.999989999999997</v>
      </c>
      <c r="AD77" s="15">
        <f t="shared" si="50"/>
        <v>99.999989999999997</v>
      </c>
      <c r="AE77" s="15">
        <f t="shared" si="51"/>
        <v>99.999989999999997</v>
      </c>
      <c r="AF77" s="15">
        <f t="shared" si="52"/>
        <v>99.999989999999997</v>
      </c>
      <c r="AG77" s="15">
        <f t="shared" si="53"/>
        <v>99.999989999999997</v>
      </c>
      <c r="AH77" s="15">
        <f t="shared" si="54"/>
        <v>99.999989999999997</v>
      </c>
      <c r="AI77" s="15">
        <f t="shared" si="55"/>
        <v>99.999989999999997</v>
      </c>
      <c r="AJ77" s="15">
        <f t="shared" si="56"/>
        <v>99.999989999999997</v>
      </c>
      <c r="AK77" s="5">
        <f t="shared" si="57"/>
        <v>99.999989999999997</v>
      </c>
    </row>
    <row r="78" spans="1:37">
      <c r="A78" s="52"/>
      <c r="B78" s="52"/>
      <c r="C78" s="104"/>
      <c r="D78" s="104"/>
      <c r="E78" s="104"/>
      <c r="F78" s="82"/>
      <c r="G78" s="82"/>
      <c r="H78" s="81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97" t="e">
        <f t="shared" si="39"/>
        <v>#DIV/0!</v>
      </c>
      <c r="T78" s="4">
        <f t="shared" ca="1" si="40"/>
        <v>41899</v>
      </c>
      <c r="U78" s="4">
        <f t="shared" ca="1" si="41"/>
        <v>-41539</v>
      </c>
      <c r="V78" s="4" t="e">
        <f t="shared" ca="1" si="42"/>
        <v>#NUM!</v>
      </c>
      <c r="W78" s="13" t="e">
        <f t="shared" ca="1" si="43"/>
        <v>#NUM!</v>
      </c>
      <c r="X78" s="5" t="e">
        <f t="shared" ca="1" si="44"/>
        <v>#NUM!</v>
      </c>
      <c r="Y78" s="15">
        <f t="shared" si="45"/>
        <v>99.999989999999997</v>
      </c>
      <c r="Z78" s="15">
        <f t="shared" si="46"/>
        <v>99.999989999999997</v>
      </c>
      <c r="AA78" s="15">
        <f t="shared" si="47"/>
        <v>99.999989999999997</v>
      </c>
      <c r="AB78" s="15">
        <f t="shared" si="48"/>
        <v>99.999989999999997</v>
      </c>
      <c r="AC78" s="15">
        <f t="shared" si="49"/>
        <v>99.999989999999997</v>
      </c>
      <c r="AD78" s="15">
        <f t="shared" si="50"/>
        <v>99.999989999999997</v>
      </c>
      <c r="AE78" s="15">
        <f t="shared" si="51"/>
        <v>99.999989999999997</v>
      </c>
      <c r="AF78" s="15">
        <f t="shared" si="52"/>
        <v>99.999989999999997</v>
      </c>
      <c r="AG78" s="15">
        <f t="shared" si="53"/>
        <v>99.999989999999997</v>
      </c>
      <c r="AH78" s="15">
        <f t="shared" si="54"/>
        <v>99.999989999999997</v>
      </c>
      <c r="AI78" s="15">
        <f t="shared" si="55"/>
        <v>99.999989999999997</v>
      </c>
      <c r="AJ78" s="15">
        <f t="shared" si="56"/>
        <v>99.999989999999997</v>
      </c>
      <c r="AK78" s="5">
        <f t="shared" si="57"/>
        <v>99.999989999999997</v>
      </c>
    </row>
    <row r="79" spans="1:37">
      <c r="A79" s="52"/>
      <c r="B79" s="52"/>
      <c r="C79" s="104"/>
      <c r="D79" s="104"/>
      <c r="E79" s="104"/>
      <c r="F79" s="82"/>
      <c r="G79" s="82"/>
      <c r="H79" s="81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97" t="e">
        <f t="shared" si="39"/>
        <v>#DIV/0!</v>
      </c>
      <c r="T79" s="4">
        <f t="shared" ca="1" si="40"/>
        <v>41899</v>
      </c>
      <c r="U79" s="4">
        <f t="shared" ca="1" si="41"/>
        <v>-41539</v>
      </c>
      <c r="V79" s="4" t="e">
        <f t="shared" ca="1" si="42"/>
        <v>#NUM!</v>
      </c>
      <c r="W79" s="13" t="e">
        <f t="shared" ca="1" si="43"/>
        <v>#NUM!</v>
      </c>
      <c r="X79" s="5" t="e">
        <f t="shared" ca="1" si="44"/>
        <v>#NUM!</v>
      </c>
      <c r="Y79" s="15">
        <f t="shared" si="45"/>
        <v>99.999989999999997</v>
      </c>
      <c r="Z79" s="15">
        <f t="shared" si="46"/>
        <v>99.999989999999997</v>
      </c>
      <c r="AA79" s="15">
        <f t="shared" si="47"/>
        <v>99.999989999999997</v>
      </c>
      <c r="AB79" s="15">
        <f t="shared" si="48"/>
        <v>99.999989999999997</v>
      </c>
      <c r="AC79" s="15">
        <f t="shared" si="49"/>
        <v>99.999989999999997</v>
      </c>
      <c r="AD79" s="15">
        <f t="shared" si="50"/>
        <v>99.999989999999997</v>
      </c>
      <c r="AE79" s="15">
        <f t="shared" si="51"/>
        <v>99.999989999999997</v>
      </c>
      <c r="AF79" s="15">
        <f t="shared" si="52"/>
        <v>99.999989999999997</v>
      </c>
      <c r="AG79" s="15">
        <f t="shared" si="53"/>
        <v>99.999989999999997</v>
      </c>
      <c r="AH79" s="15">
        <f t="shared" si="54"/>
        <v>99.999989999999997</v>
      </c>
      <c r="AI79" s="15">
        <f t="shared" si="55"/>
        <v>99.999989999999997</v>
      </c>
      <c r="AJ79" s="15">
        <f t="shared" si="56"/>
        <v>99.999989999999997</v>
      </c>
      <c r="AK79" s="5">
        <f t="shared" si="57"/>
        <v>99.999989999999997</v>
      </c>
    </row>
    <row r="80" spans="1:37">
      <c r="A80" s="52"/>
      <c r="B80" s="52"/>
      <c r="C80" s="104"/>
      <c r="D80" s="104"/>
      <c r="E80" s="104"/>
      <c r="F80" s="82"/>
      <c r="G80" s="82"/>
      <c r="H80" s="81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97" t="e">
        <f t="shared" si="39"/>
        <v>#DIV/0!</v>
      </c>
      <c r="T80" s="4">
        <f t="shared" ca="1" si="40"/>
        <v>41899</v>
      </c>
      <c r="U80" s="4">
        <f t="shared" ca="1" si="41"/>
        <v>-41539</v>
      </c>
      <c r="V80" s="4" t="e">
        <f t="shared" ca="1" si="42"/>
        <v>#NUM!</v>
      </c>
      <c r="W80" s="13" t="e">
        <f t="shared" ca="1" si="43"/>
        <v>#NUM!</v>
      </c>
      <c r="X80" s="5" t="e">
        <f t="shared" ca="1" si="44"/>
        <v>#NUM!</v>
      </c>
      <c r="Y80" s="15">
        <f t="shared" si="45"/>
        <v>99.999989999999997</v>
      </c>
      <c r="Z80" s="15">
        <f t="shared" si="46"/>
        <v>99.999989999999997</v>
      </c>
      <c r="AA80" s="15">
        <f t="shared" si="47"/>
        <v>99.999989999999997</v>
      </c>
      <c r="AB80" s="15">
        <f t="shared" si="48"/>
        <v>99.999989999999997</v>
      </c>
      <c r="AC80" s="15">
        <f t="shared" si="49"/>
        <v>99.999989999999997</v>
      </c>
      <c r="AD80" s="15">
        <f t="shared" si="50"/>
        <v>99.999989999999997</v>
      </c>
      <c r="AE80" s="15">
        <f t="shared" si="51"/>
        <v>99.999989999999997</v>
      </c>
      <c r="AF80" s="15">
        <f t="shared" si="52"/>
        <v>99.999989999999997</v>
      </c>
      <c r="AG80" s="15">
        <f t="shared" si="53"/>
        <v>99.999989999999997</v>
      </c>
      <c r="AH80" s="15">
        <f t="shared" si="54"/>
        <v>99.999989999999997</v>
      </c>
      <c r="AI80" s="15">
        <f t="shared" si="55"/>
        <v>99.999989999999997</v>
      </c>
      <c r="AJ80" s="15">
        <f t="shared" si="56"/>
        <v>99.999989999999997</v>
      </c>
      <c r="AK80" s="5">
        <f t="shared" si="57"/>
        <v>99.999989999999997</v>
      </c>
    </row>
    <row r="81" spans="1:37">
      <c r="A81" s="52"/>
      <c r="B81" s="52"/>
      <c r="C81" s="104"/>
      <c r="D81" s="104"/>
      <c r="E81" s="104"/>
      <c r="F81" s="82"/>
      <c r="G81" s="82"/>
      <c r="H81" s="81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97" t="e">
        <f t="shared" si="39"/>
        <v>#DIV/0!</v>
      </c>
      <c r="T81" s="4">
        <f t="shared" ca="1" si="40"/>
        <v>41899</v>
      </c>
      <c r="U81" s="4">
        <f t="shared" ca="1" si="41"/>
        <v>-41539</v>
      </c>
      <c r="V81" s="4" t="e">
        <f t="shared" ca="1" si="42"/>
        <v>#NUM!</v>
      </c>
      <c r="W81" s="13" t="e">
        <f t="shared" ca="1" si="43"/>
        <v>#NUM!</v>
      </c>
      <c r="X81" s="5" t="e">
        <f t="shared" ca="1" si="44"/>
        <v>#NUM!</v>
      </c>
      <c r="Y81" s="15">
        <f t="shared" si="45"/>
        <v>99.999989999999997</v>
      </c>
      <c r="Z81" s="15">
        <f t="shared" si="46"/>
        <v>99.999989999999997</v>
      </c>
      <c r="AA81" s="15">
        <f t="shared" si="47"/>
        <v>99.999989999999997</v>
      </c>
      <c r="AB81" s="15">
        <f t="shared" si="48"/>
        <v>99.999989999999997</v>
      </c>
      <c r="AC81" s="15">
        <f t="shared" si="49"/>
        <v>99.999989999999997</v>
      </c>
      <c r="AD81" s="15">
        <f t="shared" si="50"/>
        <v>99.999989999999997</v>
      </c>
      <c r="AE81" s="15">
        <f t="shared" si="51"/>
        <v>99.999989999999997</v>
      </c>
      <c r="AF81" s="15">
        <f t="shared" si="52"/>
        <v>99.999989999999997</v>
      </c>
      <c r="AG81" s="15">
        <f t="shared" si="53"/>
        <v>99.999989999999997</v>
      </c>
      <c r="AH81" s="15">
        <f t="shared" si="54"/>
        <v>99.999989999999997</v>
      </c>
      <c r="AI81" s="15">
        <f t="shared" si="55"/>
        <v>99.999989999999997</v>
      </c>
      <c r="AJ81" s="15">
        <f t="shared" si="56"/>
        <v>99.999989999999997</v>
      </c>
      <c r="AK81" s="5">
        <f t="shared" si="57"/>
        <v>99.999989999999997</v>
      </c>
    </row>
    <row r="82" spans="1:37">
      <c r="A82" s="52"/>
      <c r="B82" s="52"/>
      <c r="C82" s="104"/>
      <c r="D82" s="104"/>
      <c r="E82" s="104"/>
      <c r="F82" s="82"/>
      <c r="G82" s="82"/>
      <c r="H82" s="81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97" t="e">
        <f t="shared" si="39"/>
        <v>#DIV/0!</v>
      </c>
      <c r="T82" s="4">
        <f t="shared" ca="1" si="40"/>
        <v>41899</v>
      </c>
      <c r="U82" s="4">
        <f t="shared" ca="1" si="41"/>
        <v>-41539</v>
      </c>
      <c r="V82" s="4" t="e">
        <f t="shared" ca="1" si="42"/>
        <v>#NUM!</v>
      </c>
      <c r="W82" s="13" t="e">
        <f t="shared" ca="1" si="43"/>
        <v>#NUM!</v>
      </c>
      <c r="X82" s="5" t="e">
        <f t="shared" ca="1" si="44"/>
        <v>#NUM!</v>
      </c>
      <c r="Y82" s="15">
        <f t="shared" si="45"/>
        <v>99.999989999999997</v>
      </c>
      <c r="Z82" s="15">
        <f t="shared" si="46"/>
        <v>99.999989999999997</v>
      </c>
      <c r="AA82" s="15">
        <f t="shared" si="47"/>
        <v>99.999989999999997</v>
      </c>
      <c r="AB82" s="15">
        <f t="shared" si="48"/>
        <v>99.999989999999997</v>
      </c>
      <c r="AC82" s="15">
        <f t="shared" si="49"/>
        <v>99.999989999999997</v>
      </c>
      <c r="AD82" s="15">
        <f t="shared" si="50"/>
        <v>99.999989999999997</v>
      </c>
      <c r="AE82" s="15">
        <f t="shared" si="51"/>
        <v>99.999989999999997</v>
      </c>
      <c r="AF82" s="15">
        <f t="shared" si="52"/>
        <v>99.999989999999997</v>
      </c>
      <c r="AG82" s="15">
        <f t="shared" si="53"/>
        <v>99.999989999999997</v>
      </c>
      <c r="AH82" s="15">
        <f t="shared" si="54"/>
        <v>99.999989999999997</v>
      </c>
      <c r="AI82" s="15">
        <f t="shared" si="55"/>
        <v>99.999989999999997</v>
      </c>
      <c r="AJ82" s="15">
        <f t="shared" si="56"/>
        <v>99.999989999999997</v>
      </c>
      <c r="AK82" s="5">
        <f t="shared" si="57"/>
        <v>99.999989999999997</v>
      </c>
    </row>
    <row r="83" spans="1:37">
      <c r="A83" s="52"/>
      <c r="B83" s="52"/>
      <c r="C83" s="104"/>
      <c r="D83" s="104"/>
      <c r="E83" s="104"/>
      <c r="F83" s="82"/>
      <c r="G83" s="82"/>
      <c r="H83" s="81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97" t="e">
        <f t="shared" si="39"/>
        <v>#DIV/0!</v>
      </c>
      <c r="T83" s="4">
        <f t="shared" ca="1" si="40"/>
        <v>41899</v>
      </c>
      <c r="U83" s="4">
        <f t="shared" ca="1" si="41"/>
        <v>-41539</v>
      </c>
      <c r="V83" s="4" t="e">
        <f t="shared" ca="1" si="42"/>
        <v>#NUM!</v>
      </c>
      <c r="W83" s="13" t="e">
        <f t="shared" ca="1" si="43"/>
        <v>#NUM!</v>
      </c>
      <c r="X83" s="5" t="e">
        <f t="shared" ca="1" si="44"/>
        <v>#NUM!</v>
      </c>
      <c r="Y83" s="15">
        <f t="shared" si="45"/>
        <v>99.999989999999997</v>
      </c>
      <c r="Z83" s="15">
        <f t="shared" si="46"/>
        <v>99.999989999999997</v>
      </c>
      <c r="AA83" s="15">
        <f t="shared" si="47"/>
        <v>99.999989999999997</v>
      </c>
      <c r="AB83" s="15">
        <f t="shared" si="48"/>
        <v>99.999989999999997</v>
      </c>
      <c r="AC83" s="15">
        <f t="shared" si="49"/>
        <v>99.999989999999997</v>
      </c>
      <c r="AD83" s="15">
        <f t="shared" si="50"/>
        <v>99.999989999999997</v>
      </c>
      <c r="AE83" s="15">
        <f t="shared" si="51"/>
        <v>99.999989999999997</v>
      </c>
      <c r="AF83" s="15">
        <f t="shared" si="52"/>
        <v>99.999989999999997</v>
      </c>
      <c r="AG83" s="15">
        <f t="shared" si="53"/>
        <v>99.999989999999997</v>
      </c>
      <c r="AH83" s="15">
        <f t="shared" si="54"/>
        <v>99.999989999999997</v>
      </c>
      <c r="AI83" s="15">
        <f t="shared" si="55"/>
        <v>99.999989999999997</v>
      </c>
      <c r="AJ83" s="15">
        <f t="shared" si="56"/>
        <v>99.999989999999997</v>
      </c>
      <c r="AK83" s="5">
        <f t="shared" si="57"/>
        <v>99.999989999999997</v>
      </c>
    </row>
    <row r="84" spans="1:37">
      <c r="A84" s="52"/>
      <c r="B84" s="52"/>
      <c r="C84" s="104"/>
      <c r="D84" s="104"/>
      <c r="E84" s="104"/>
      <c r="F84" s="82"/>
      <c r="G84" s="82"/>
      <c r="H84" s="81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97" t="e">
        <f t="shared" si="39"/>
        <v>#DIV/0!</v>
      </c>
      <c r="T84" s="4">
        <f t="shared" ca="1" si="40"/>
        <v>41899</v>
      </c>
      <c r="U84" s="4">
        <f t="shared" ca="1" si="41"/>
        <v>-41539</v>
      </c>
      <c r="V84" s="4" t="e">
        <f t="shared" ca="1" si="42"/>
        <v>#NUM!</v>
      </c>
      <c r="W84" s="13" t="e">
        <f t="shared" ca="1" si="43"/>
        <v>#NUM!</v>
      </c>
      <c r="X84" s="5" t="e">
        <f t="shared" ca="1" si="44"/>
        <v>#NUM!</v>
      </c>
      <c r="Y84" s="15">
        <f t="shared" si="45"/>
        <v>99.999989999999997</v>
      </c>
      <c r="Z84" s="15">
        <f t="shared" si="46"/>
        <v>99.999989999999997</v>
      </c>
      <c r="AA84" s="15">
        <f t="shared" si="47"/>
        <v>99.999989999999997</v>
      </c>
      <c r="AB84" s="15">
        <f t="shared" si="48"/>
        <v>99.999989999999997</v>
      </c>
      <c r="AC84" s="15">
        <f t="shared" si="49"/>
        <v>99.999989999999997</v>
      </c>
      <c r="AD84" s="15">
        <f t="shared" si="50"/>
        <v>99.999989999999997</v>
      </c>
      <c r="AE84" s="15">
        <f t="shared" si="51"/>
        <v>99.999989999999997</v>
      </c>
      <c r="AF84" s="15">
        <f t="shared" si="52"/>
        <v>99.999989999999997</v>
      </c>
      <c r="AG84" s="15">
        <f t="shared" si="53"/>
        <v>99.999989999999997</v>
      </c>
      <c r="AH84" s="15">
        <f t="shared" si="54"/>
        <v>99.999989999999997</v>
      </c>
      <c r="AI84" s="15">
        <f t="shared" si="55"/>
        <v>99.999989999999997</v>
      </c>
      <c r="AJ84" s="15">
        <f t="shared" si="56"/>
        <v>99.999989999999997</v>
      </c>
      <c r="AK84" s="5">
        <f t="shared" si="57"/>
        <v>99.999989999999997</v>
      </c>
    </row>
    <row r="85" spans="1:37">
      <c r="A85" s="52"/>
      <c r="B85" s="52"/>
      <c r="C85" s="104"/>
      <c r="D85" s="104"/>
      <c r="E85" s="104"/>
      <c r="F85" s="82"/>
      <c r="G85" s="82"/>
      <c r="H85" s="81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97" t="e">
        <f t="shared" si="39"/>
        <v>#DIV/0!</v>
      </c>
      <c r="T85" s="4">
        <f t="shared" ca="1" si="40"/>
        <v>41899</v>
      </c>
      <c r="U85" s="4">
        <f t="shared" ca="1" si="41"/>
        <v>-41539</v>
      </c>
      <c r="V85" s="4" t="e">
        <f t="shared" ca="1" si="42"/>
        <v>#NUM!</v>
      </c>
      <c r="W85" s="13" t="e">
        <f t="shared" ca="1" si="43"/>
        <v>#NUM!</v>
      </c>
      <c r="X85" s="5" t="e">
        <f t="shared" ca="1" si="44"/>
        <v>#NUM!</v>
      </c>
      <c r="Y85" s="15">
        <f t="shared" si="45"/>
        <v>99.999989999999997</v>
      </c>
      <c r="Z85" s="15">
        <f t="shared" si="46"/>
        <v>99.999989999999997</v>
      </c>
      <c r="AA85" s="15">
        <f t="shared" si="47"/>
        <v>99.999989999999997</v>
      </c>
      <c r="AB85" s="15">
        <f t="shared" si="48"/>
        <v>99.999989999999997</v>
      </c>
      <c r="AC85" s="15">
        <f t="shared" si="49"/>
        <v>99.999989999999997</v>
      </c>
      <c r="AD85" s="15">
        <f t="shared" si="50"/>
        <v>99.999989999999997</v>
      </c>
      <c r="AE85" s="15">
        <f t="shared" si="51"/>
        <v>99.999989999999997</v>
      </c>
      <c r="AF85" s="15">
        <f t="shared" si="52"/>
        <v>99.999989999999997</v>
      </c>
      <c r="AG85" s="15">
        <f t="shared" si="53"/>
        <v>99.999989999999997</v>
      </c>
      <c r="AH85" s="15">
        <f t="shared" si="54"/>
        <v>99.999989999999997</v>
      </c>
      <c r="AI85" s="15">
        <f t="shared" si="55"/>
        <v>99.999989999999997</v>
      </c>
      <c r="AJ85" s="15">
        <f t="shared" si="56"/>
        <v>99.999989999999997</v>
      </c>
      <c r="AK85" s="5">
        <f t="shared" si="57"/>
        <v>99.999989999999997</v>
      </c>
    </row>
    <row r="86" spans="1:37">
      <c r="A86" s="52"/>
      <c r="B86" s="52"/>
      <c r="C86" s="104"/>
      <c r="D86" s="104"/>
      <c r="E86" s="104"/>
      <c r="F86" s="82"/>
      <c r="G86" s="82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97" t="e">
        <f t="shared" si="39"/>
        <v>#DIV/0!</v>
      </c>
      <c r="T86" s="4">
        <f t="shared" ca="1" si="40"/>
        <v>41899</v>
      </c>
      <c r="U86" s="4">
        <f t="shared" ca="1" si="41"/>
        <v>-41539</v>
      </c>
      <c r="V86" s="4" t="e">
        <f t="shared" ca="1" si="42"/>
        <v>#NUM!</v>
      </c>
      <c r="W86" s="13" t="e">
        <f t="shared" ca="1" si="43"/>
        <v>#NUM!</v>
      </c>
      <c r="X86" s="5" t="e">
        <f t="shared" ca="1" si="44"/>
        <v>#NUM!</v>
      </c>
      <c r="Y86" s="15">
        <f t="shared" si="45"/>
        <v>99.999989999999997</v>
      </c>
      <c r="Z86" s="15">
        <f t="shared" si="46"/>
        <v>99.999989999999997</v>
      </c>
      <c r="AA86" s="15">
        <f t="shared" si="47"/>
        <v>99.999989999999997</v>
      </c>
      <c r="AB86" s="15">
        <f t="shared" si="48"/>
        <v>99.999989999999997</v>
      </c>
      <c r="AC86" s="15">
        <f t="shared" si="49"/>
        <v>99.999989999999997</v>
      </c>
      <c r="AD86" s="15">
        <f t="shared" si="50"/>
        <v>99.999989999999997</v>
      </c>
      <c r="AE86" s="15">
        <f t="shared" si="51"/>
        <v>99.999989999999997</v>
      </c>
      <c r="AF86" s="15">
        <f t="shared" si="52"/>
        <v>99.999989999999997</v>
      </c>
      <c r="AG86" s="15">
        <f t="shared" si="53"/>
        <v>99.999989999999997</v>
      </c>
      <c r="AH86" s="15">
        <f t="shared" si="54"/>
        <v>99.999989999999997</v>
      </c>
      <c r="AI86" s="15">
        <f t="shared" si="55"/>
        <v>99.999989999999997</v>
      </c>
      <c r="AJ86" s="15">
        <f t="shared" si="56"/>
        <v>99.999989999999997</v>
      </c>
      <c r="AK86" s="5">
        <f t="shared" si="57"/>
        <v>99.999989999999997</v>
      </c>
    </row>
    <row r="87" spans="1:37">
      <c r="A87" s="52"/>
      <c r="B87" s="52"/>
      <c r="C87" s="104"/>
      <c r="D87" s="104"/>
      <c r="E87" s="104"/>
      <c r="F87" s="82"/>
      <c r="G87" s="82"/>
      <c r="H87" s="81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97" t="e">
        <f t="shared" si="39"/>
        <v>#DIV/0!</v>
      </c>
      <c r="T87" s="4">
        <f t="shared" ca="1" si="40"/>
        <v>41899</v>
      </c>
      <c r="U87" s="4">
        <f t="shared" ca="1" si="41"/>
        <v>-41539</v>
      </c>
      <c r="V87" s="4" t="e">
        <f t="shared" ca="1" si="42"/>
        <v>#NUM!</v>
      </c>
      <c r="W87" s="13" t="e">
        <f t="shared" ca="1" si="43"/>
        <v>#NUM!</v>
      </c>
      <c r="X87" s="5" t="e">
        <f t="shared" ca="1" si="44"/>
        <v>#NUM!</v>
      </c>
      <c r="Y87" s="15">
        <f t="shared" si="45"/>
        <v>99.999989999999997</v>
      </c>
      <c r="Z87" s="15">
        <f t="shared" si="46"/>
        <v>99.999989999999997</v>
      </c>
      <c r="AA87" s="15">
        <f t="shared" si="47"/>
        <v>99.999989999999997</v>
      </c>
      <c r="AB87" s="15">
        <f t="shared" si="48"/>
        <v>99.999989999999997</v>
      </c>
      <c r="AC87" s="15">
        <f t="shared" si="49"/>
        <v>99.999989999999997</v>
      </c>
      <c r="AD87" s="15">
        <f t="shared" si="50"/>
        <v>99.999989999999997</v>
      </c>
      <c r="AE87" s="15">
        <f t="shared" si="51"/>
        <v>99.999989999999997</v>
      </c>
      <c r="AF87" s="15">
        <f t="shared" si="52"/>
        <v>99.999989999999997</v>
      </c>
      <c r="AG87" s="15">
        <f t="shared" si="53"/>
        <v>99.999989999999997</v>
      </c>
      <c r="AH87" s="15">
        <f t="shared" si="54"/>
        <v>99.999989999999997</v>
      </c>
      <c r="AI87" s="15">
        <f t="shared" si="55"/>
        <v>99.999989999999997</v>
      </c>
      <c r="AJ87" s="15">
        <f t="shared" si="56"/>
        <v>99.999989999999997</v>
      </c>
      <c r="AK87" s="5">
        <f t="shared" si="57"/>
        <v>99.999989999999997</v>
      </c>
    </row>
    <row r="88" spans="1:37">
      <c r="A88" s="52"/>
      <c r="B88" s="52"/>
      <c r="C88" s="104"/>
      <c r="D88" s="104"/>
      <c r="E88" s="104"/>
      <c r="F88" s="82"/>
      <c r="G88" s="82"/>
      <c r="H88" s="81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97" t="e">
        <f t="shared" si="39"/>
        <v>#DIV/0!</v>
      </c>
      <c r="T88" s="4">
        <f t="shared" ca="1" si="40"/>
        <v>41899</v>
      </c>
      <c r="U88" s="4">
        <f t="shared" ca="1" si="41"/>
        <v>-41539</v>
      </c>
      <c r="V88" s="4" t="e">
        <f t="shared" ca="1" si="42"/>
        <v>#NUM!</v>
      </c>
      <c r="W88" s="13" t="e">
        <f t="shared" ca="1" si="43"/>
        <v>#NUM!</v>
      </c>
      <c r="X88" s="5" t="e">
        <f t="shared" ca="1" si="44"/>
        <v>#NUM!</v>
      </c>
      <c r="Y88" s="15">
        <f t="shared" si="45"/>
        <v>99.999989999999997</v>
      </c>
      <c r="Z88" s="15">
        <f t="shared" si="46"/>
        <v>99.999989999999997</v>
      </c>
      <c r="AA88" s="15">
        <f t="shared" si="47"/>
        <v>99.999989999999997</v>
      </c>
      <c r="AB88" s="15">
        <f t="shared" si="48"/>
        <v>99.999989999999997</v>
      </c>
      <c r="AC88" s="15">
        <f t="shared" si="49"/>
        <v>99.999989999999997</v>
      </c>
      <c r="AD88" s="15">
        <f t="shared" si="50"/>
        <v>99.999989999999997</v>
      </c>
      <c r="AE88" s="15">
        <f t="shared" si="51"/>
        <v>99.999989999999997</v>
      </c>
      <c r="AF88" s="15">
        <f t="shared" si="52"/>
        <v>99.999989999999997</v>
      </c>
      <c r="AG88" s="15">
        <f t="shared" si="53"/>
        <v>99.999989999999997</v>
      </c>
      <c r="AH88" s="15">
        <f t="shared" si="54"/>
        <v>99.999989999999997</v>
      </c>
      <c r="AI88" s="15">
        <f t="shared" si="55"/>
        <v>99.999989999999997</v>
      </c>
      <c r="AJ88" s="15">
        <f t="shared" si="56"/>
        <v>99.999989999999997</v>
      </c>
      <c r="AK88" s="5">
        <f t="shared" si="57"/>
        <v>99.999989999999997</v>
      </c>
    </row>
    <row r="89" spans="1:37">
      <c r="A89" s="52"/>
      <c r="B89" s="52"/>
      <c r="C89" s="104"/>
      <c r="D89" s="104"/>
      <c r="E89" s="104"/>
      <c r="F89" s="82"/>
      <c r="G89" s="82"/>
      <c r="H89" s="81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97" t="e">
        <f t="shared" si="39"/>
        <v>#DIV/0!</v>
      </c>
      <c r="T89" s="4">
        <f t="shared" ca="1" si="40"/>
        <v>41899</v>
      </c>
      <c r="U89" s="4">
        <f t="shared" ca="1" si="41"/>
        <v>-41539</v>
      </c>
      <c r="V89" s="4" t="e">
        <f t="shared" ca="1" si="42"/>
        <v>#NUM!</v>
      </c>
      <c r="W89" s="13" t="e">
        <f t="shared" ca="1" si="43"/>
        <v>#NUM!</v>
      </c>
      <c r="X89" s="5" t="e">
        <f t="shared" ca="1" si="44"/>
        <v>#NUM!</v>
      </c>
      <c r="Y89" s="15">
        <f t="shared" si="45"/>
        <v>99.999989999999997</v>
      </c>
      <c r="Z89" s="15">
        <f t="shared" si="46"/>
        <v>99.999989999999997</v>
      </c>
      <c r="AA89" s="15">
        <f t="shared" si="47"/>
        <v>99.999989999999997</v>
      </c>
      <c r="AB89" s="15">
        <f t="shared" si="48"/>
        <v>99.999989999999997</v>
      </c>
      <c r="AC89" s="15">
        <f t="shared" si="49"/>
        <v>99.999989999999997</v>
      </c>
      <c r="AD89" s="15">
        <f t="shared" si="50"/>
        <v>99.999989999999997</v>
      </c>
      <c r="AE89" s="15">
        <f t="shared" si="51"/>
        <v>99.999989999999997</v>
      </c>
      <c r="AF89" s="15">
        <f t="shared" si="52"/>
        <v>99.999989999999997</v>
      </c>
      <c r="AG89" s="15">
        <f t="shared" si="53"/>
        <v>99.999989999999997</v>
      </c>
      <c r="AH89" s="15">
        <f t="shared" si="54"/>
        <v>99.999989999999997</v>
      </c>
      <c r="AI89" s="15">
        <f t="shared" si="55"/>
        <v>99.999989999999997</v>
      </c>
      <c r="AJ89" s="15">
        <f t="shared" si="56"/>
        <v>99.999989999999997</v>
      </c>
      <c r="AK89" s="5">
        <f t="shared" si="57"/>
        <v>99.999989999999997</v>
      </c>
    </row>
    <row r="90" spans="1:37">
      <c r="A90" s="52"/>
      <c r="B90" s="52"/>
      <c r="C90" s="104"/>
      <c r="D90" s="104"/>
      <c r="E90" s="104"/>
      <c r="F90" s="82"/>
      <c r="G90" s="82"/>
      <c r="H90" s="81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97" t="e">
        <f t="shared" si="39"/>
        <v>#DIV/0!</v>
      </c>
      <c r="T90" s="4">
        <f t="shared" ca="1" si="40"/>
        <v>41899</v>
      </c>
      <c r="U90" s="4">
        <f t="shared" ca="1" si="41"/>
        <v>-41539</v>
      </c>
      <c r="V90" s="4" t="e">
        <f t="shared" ca="1" si="42"/>
        <v>#NUM!</v>
      </c>
      <c r="W90" s="13" t="e">
        <f t="shared" ca="1" si="43"/>
        <v>#NUM!</v>
      </c>
      <c r="X90" s="5" t="e">
        <f t="shared" ca="1" si="44"/>
        <v>#NUM!</v>
      </c>
      <c r="Y90" s="15">
        <f t="shared" si="45"/>
        <v>99.999989999999997</v>
      </c>
      <c r="Z90" s="15">
        <f t="shared" si="46"/>
        <v>99.999989999999997</v>
      </c>
      <c r="AA90" s="15">
        <f t="shared" si="47"/>
        <v>99.999989999999997</v>
      </c>
      <c r="AB90" s="15">
        <f t="shared" si="48"/>
        <v>99.999989999999997</v>
      </c>
      <c r="AC90" s="15">
        <f t="shared" si="49"/>
        <v>99.999989999999997</v>
      </c>
      <c r="AD90" s="15">
        <f t="shared" si="50"/>
        <v>99.999989999999997</v>
      </c>
      <c r="AE90" s="15">
        <f t="shared" si="51"/>
        <v>99.999989999999997</v>
      </c>
      <c r="AF90" s="15">
        <f t="shared" si="52"/>
        <v>99.999989999999997</v>
      </c>
      <c r="AG90" s="15">
        <f t="shared" si="53"/>
        <v>99.999989999999997</v>
      </c>
      <c r="AH90" s="15">
        <f t="shared" si="54"/>
        <v>99.999989999999997</v>
      </c>
      <c r="AI90" s="15">
        <f t="shared" si="55"/>
        <v>99.999989999999997</v>
      </c>
      <c r="AJ90" s="15">
        <f t="shared" si="56"/>
        <v>99.999989999999997</v>
      </c>
      <c r="AK90" s="5">
        <f t="shared" si="57"/>
        <v>99.999989999999997</v>
      </c>
    </row>
    <row r="91" spans="1:37">
      <c r="A91" s="52"/>
      <c r="B91" s="52"/>
      <c r="C91" s="104"/>
      <c r="D91" s="104"/>
      <c r="E91" s="104"/>
      <c r="F91" s="82"/>
      <c r="G91" s="82"/>
      <c r="H91" s="81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97" t="e">
        <f t="shared" si="39"/>
        <v>#DIV/0!</v>
      </c>
      <c r="T91" s="4">
        <f t="shared" ca="1" si="40"/>
        <v>41899</v>
      </c>
      <c r="U91" s="4">
        <f t="shared" ca="1" si="41"/>
        <v>-41539</v>
      </c>
      <c r="V91" s="4" t="e">
        <f t="shared" ca="1" si="42"/>
        <v>#NUM!</v>
      </c>
      <c r="W91" s="13" t="e">
        <f t="shared" ca="1" si="43"/>
        <v>#NUM!</v>
      </c>
      <c r="X91" s="5" t="e">
        <f t="shared" ca="1" si="44"/>
        <v>#NUM!</v>
      </c>
      <c r="Y91" s="15">
        <f t="shared" si="45"/>
        <v>99.999989999999997</v>
      </c>
      <c r="Z91" s="15">
        <f t="shared" si="46"/>
        <v>99.999989999999997</v>
      </c>
      <c r="AA91" s="15">
        <f t="shared" si="47"/>
        <v>99.999989999999997</v>
      </c>
      <c r="AB91" s="15">
        <f t="shared" si="48"/>
        <v>99.999989999999997</v>
      </c>
      <c r="AC91" s="15">
        <f t="shared" si="49"/>
        <v>99.999989999999997</v>
      </c>
      <c r="AD91" s="15">
        <f t="shared" si="50"/>
        <v>99.999989999999997</v>
      </c>
      <c r="AE91" s="15">
        <f t="shared" si="51"/>
        <v>99.999989999999997</v>
      </c>
      <c r="AF91" s="15">
        <f t="shared" si="52"/>
        <v>99.999989999999997</v>
      </c>
      <c r="AG91" s="15">
        <f t="shared" si="53"/>
        <v>99.999989999999997</v>
      </c>
      <c r="AH91" s="15">
        <f t="shared" si="54"/>
        <v>99.999989999999997</v>
      </c>
      <c r="AI91" s="15">
        <f t="shared" si="55"/>
        <v>99.999989999999997</v>
      </c>
      <c r="AJ91" s="15">
        <f t="shared" si="56"/>
        <v>99.999989999999997</v>
      </c>
      <c r="AK91" s="5">
        <f t="shared" si="57"/>
        <v>99.999989999999997</v>
      </c>
    </row>
    <row r="92" spans="1:37">
      <c r="A92" s="52"/>
      <c r="B92" s="52"/>
      <c r="C92" s="104"/>
      <c r="D92" s="104"/>
      <c r="E92" s="104"/>
      <c r="F92" s="82"/>
      <c r="G92" s="82"/>
      <c r="H92" s="81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97" t="e">
        <f t="shared" si="39"/>
        <v>#DIV/0!</v>
      </c>
      <c r="T92" s="4">
        <f t="shared" ca="1" si="40"/>
        <v>41899</v>
      </c>
      <c r="U92" s="4">
        <f t="shared" ca="1" si="41"/>
        <v>-41539</v>
      </c>
      <c r="V92" s="4" t="e">
        <f t="shared" ca="1" si="42"/>
        <v>#NUM!</v>
      </c>
      <c r="W92" s="13" t="e">
        <f t="shared" ca="1" si="43"/>
        <v>#NUM!</v>
      </c>
      <c r="X92" s="5" t="e">
        <f t="shared" ca="1" si="44"/>
        <v>#NUM!</v>
      </c>
      <c r="Y92" s="15">
        <f t="shared" si="45"/>
        <v>99.999989999999997</v>
      </c>
      <c r="Z92" s="15">
        <f t="shared" si="46"/>
        <v>99.999989999999997</v>
      </c>
      <c r="AA92" s="15">
        <f t="shared" si="47"/>
        <v>99.999989999999997</v>
      </c>
      <c r="AB92" s="15">
        <f t="shared" si="48"/>
        <v>99.999989999999997</v>
      </c>
      <c r="AC92" s="15">
        <f t="shared" si="49"/>
        <v>99.999989999999997</v>
      </c>
      <c r="AD92" s="15">
        <f t="shared" si="50"/>
        <v>99.999989999999997</v>
      </c>
      <c r="AE92" s="15">
        <f t="shared" si="51"/>
        <v>99.999989999999997</v>
      </c>
      <c r="AF92" s="15">
        <f t="shared" si="52"/>
        <v>99.999989999999997</v>
      </c>
      <c r="AG92" s="15">
        <f t="shared" si="53"/>
        <v>99.999989999999997</v>
      </c>
      <c r="AH92" s="15">
        <f t="shared" si="54"/>
        <v>99.999989999999997</v>
      </c>
      <c r="AI92" s="15">
        <f t="shared" si="55"/>
        <v>99.999989999999997</v>
      </c>
      <c r="AJ92" s="15">
        <f t="shared" si="56"/>
        <v>99.999989999999997</v>
      </c>
      <c r="AK92" s="5">
        <f t="shared" si="57"/>
        <v>99.999989999999997</v>
      </c>
    </row>
    <row r="93" spans="1:37">
      <c r="A93" s="52"/>
      <c r="B93" s="52"/>
      <c r="C93" s="104"/>
      <c r="D93" s="104"/>
      <c r="E93" s="104"/>
      <c r="F93" s="82"/>
      <c r="G93" s="82"/>
      <c r="H93" s="81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97" t="e">
        <f t="shared" si="39"/>
        <v>#DIV/0!</v>
      </c>
      <c r="T93" s="4">
        <f t="shared" ca="1" si="40"/>
        <v>41899</v>
      </c>
      <c r="U93" s="4">
        <f t="shared" ca="1" si="41"/>
        <v>-41539</v>
      </c>
      <c r="V93" s="4" t="e">
        <f t="shared" ca="1" si="42"/>
        <v>#NUM!</v>
      </c>
      <c r="W93" s="13" t="e">
        <f t="shared" ca="1" si="43"/>
        <v>#NUM!</v>
      </c>
      <c r="X93" s="5" t="e">
        <f t="shared" ca="1" si="44"/>
        <v>#NUM!</v>
      </c>
      <c r="Y93" s="15">
        <f t="shared" si="45"/>
        <v>99.999989999999997</v>
      </c>
      <c r="Z93" s="15">
        <f t="shared" si="46"/>
        <v>99.999989999999997</v>
      </c>
      <c r="AA93" s="15">
        <f t="shared" si="47"/>
        <v>99.999989999999997</v>
      </c>
      <c r="AB93" s="15">
        <f t="shared" si="48"/>
        <v>99.999989999999997</v>
      </c>
      <c r="AC93" s="15">
        <f t="shared" si="49"/>
        <v>99.999989999999997</v>
      </c>
      <c r="AD93" s="15">
        <f t="shared" si="50"/>
        <v>99.999989999999997</v>
      </c>
      <c r="AE93" s="15">
        <f t="shared" si="51"/>
        <v>99.999989999999997</v>
      </c>
      <c r="AF93" s="15">
        <f t="shared" si="52"/>
        <v>99.999989999999997</v>
      </c>
      <c r="AG93" s="15">
        <f t="shared" si="53"/>
        <v>99.999989999999997</v>
      </c>
      <c r="AH93" s="15">
        <f t="shared" si="54"/>
        <v>99.999989999999997</v>
      </c>
      <c r="AI93" s="15">
        <f t="shared" si="55"/>
        <v>99.999989999999997</v>
      </c>
      <c r="AJ93" s="15">
        <f t="shared" si="56"/>
        <v>99.999989999999997</v>
      </c>
      <c r="AK93" s="5">
        <f t="shared" si="57"/>
        <v>99.999989999999997</v>
      </c>
    </row>
    <row r="94" spans="1:37">
      <c r="A94" s="52"/>
      <c r="B94" s="52"/>
      <c r="C94" s="104"/>
      <c r="D94" s="104"/>
      <c r="E94" s="104"/>
      <c r="F94" s="82"/>
      <c r="G94" s="82"/>
      <c r="H94" s="81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97" t="e">
        <f t="shared" si="39"/>
        <v>#DIV/0!</v>
      </c>
      <c r="T94" s="4">
        <f t="shared" ca="1" si="40"/>
        <v>41899</v>
      </c>
      <c r="U94" s="4">
        <f t="shared" ca="1" si="41"/>
        <v>-41539</v>
      </c>
      <c r="V94" s="4" t="e">
        <f t="shared" ca="1" si="42"/>
        <v>#NUM!</v>
      </c>
      <c r="W94" s="13" t="e">
        <f t="shared" ca="1" si="43"/>
        <v>#NUM!</v>
      </c>
      <c r="X94" s="5" t="e">
        <f t="shared" ca="1" si="44"/>
        <v>#NUM!</v>
      </c>
      <c r="Y94" s="15">
        <f t="shared" si="45"/>
        <v>99.999989999999997</v>
      </c>
      <c r="Z94" s="15">
        <f t="shared" si="46"/>
        <v>99.999989999999997</v>
      </c>
      <c r="AA94" s="15">
        <f t="shared" si="47"/>
        <v>99.999989999999997</v>
      </c>
      <c r="AB94" s="15">
        <f t="shared" si="48"/>
        <v>99.999989999999997</v>
      </c>
      <c r="AC94" s="15">
        <f t="shared" si="49"/>
        <v>99.999989999999997</v>
      </c>
      <c r="AD94" s="15">
        <f t="shared" si="50"/>
        <v>99.999989999999997</v>
      </c>
      <c r="AE94" s="15">
        <f t="shared" si="51"/>
        <v>99.999989999999997</v>
      </c>
      <c r="AF94" s="15">
        <f t="shared" si="52"/>
        <v>99.999989999999997</v>
      </c>
      <c r="AG94" s="15">
        <f t="shared" si="53"/>
        <v>99.999989999999997</v>
      </c>
      <c r="AH94" s="15">
        <f t="shared" si="54"/>
        <v>99.999989999999997</v>
      </c>
      <c r="AI94" s="15">
        <f t="shared" si="55"/>
        <v>99.999989999999997</v>
      </c>
      <c r="AJ94" s="15">
        <f t="shared" si="56"/>
        <v>99.999989999999997</v>
      </c>
      <c r="AK94" s="5">
        <f t="shared" si="57"/>
        <v>99.999989999999997</v>
      </c>
    </row>
    <row r="95" spans="1:37">
      <c r="A95" s="52"/>
      <c r="B95" s="52"/>
      <c r="C95" s="104"/>
      <c r="D95" s="104"/>
      <c r="E95" s="104"/>
      <c r="F95" s="82"/>
      <c r="G95" s="82"/>
      <c r="H95" s="81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97" t="e">
        <f t="shared" si="39"/>
        <v>#DIV/0!</v>
      </c>
      <c r="T95" s="4">
        <f t="shared" ca="1" si="40"/>
        <v>41899</v>
      </c>
      <c r="U95" s="4">
        <f t="shared" ca="1" si="41"/>
        <v>-41539</v>
      </c>
      <c r="V95" s="4" t="e">
        <f t="shared" ca="1" si="42"/>
        <v>#NUM!</v>
      </c>
      <c r="W95" s="13" t="e">
        <f t="shared" ca="1" si="43"/>
        <v>#NUM!</v>
      </c>
      <c r="X95" s="5" t="e">
        <f t="shared" ca="1" si="44"/>
        <v>#NUM!</v>
      </c>
      <c r="Y95" s="15">
        <f t="shared" si="45"/>
        <v>99.999989999999997</v>
      </c>
      <c r="Z95" s="15">
        <f t="shared" si="46"/>
        <v>99.999989999999997</v>
      </c>
      <c r="AA95" s="15">
        <f t="shared" si="47"/>
        <v>99.999989999999997</v>
      </c>
      <c r="AB95" s="15">
        <f t="shared" si="48"/>
        <v>99.999989999999997</v>
      </c>
      <c r="AC95" s="15">
        <f t="shared" si="49"/>
        <v>99.999989999999997</v>
      </c>
      <c r="AD95" s="15">
        <f t="shared" si="50"/>
        <v>99.999989999999997</v>
      </c>
      <c r="AE95" s="15">
        <f t="shared" si="51"/>
        <v>99.999989999999997</v>
      </c>
      <c r="AF95" s="15">
        <f t="shared" si="52"/>
        <v>99.999989999999997</v>
      </c>
      <c r="AG95" s="15">
        <f t="shared" si="53"/>
        <v>99.999989999999997</v>
      </c>
      <c r="AH95" s="15">
        <f t="shared" si="54"/>
        <v>99.999989999999997</v>
      </c>
      <c r="AI95" s="15">
        <f t="shared" si="55"/>
        <v>99.999989999999997</v>
      </c>
      <c r="AJ95" s="15">
        <f t="shared" si="56"/>
        <v>99.999989999999997</v>
      </c>
      <c r="AK95" s="5">
        <f t="shared" si="57"/>
        <v>99.999989999999997</v>
      </c>
    </row>
    <row r="96" spans="1:37">
      <c r="A96" s="52"/>
      <c r="B96" s="52"/>
      <c r="C96" s="104"/>
      <c r="D96" s="104"/>
      <c r="E96" s="104"/>
      <c r="F96" s="82"/>
      <c r="G96" s="82"/>
      <c r="H96" s="81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97" t="e">
        <f t="shared" si="39"/>
        <v>#DIV/0!</v>
      </c>
      <c r="T96" s="4">
        <f t="shared" ca="1" si="40"/>
        <v>41899</v>
      </c>
      <c r="U96" s="4">
        <f t="shared" ca="1" si="41"/>
        <v>-41539</v>
      </c>
      <c r="V96" s="4" t="e">
        <f t="shared" ca="1" si="42"/>
        <v>#NUM!</v>
      </c>
      <c r="W96" s="13" t="e">
        <f t="shared" ca="1" si="43"/>
        <v>#NUM!</v>
      </c>
      <c r="X96" s="5" t="e">
        <f t="shared" ca="1" si="44"/>
        <v>#NUM!</v>
      </c>
      <c r="Y96" s="15">
        <f t="shared" si="45"/>
        <v>99.999989999999997</v>
      </c>
      <c r="Z96" s="15">
        <f t="shared" si="46"/>
        <v>99.999989999999997</v>
      </c>
      <c r="AA96" s="15">
        <f t="shared" si="47"/>
        <v>99.999989999999997</v>
      </c>
      <c r="AB96" s="15">
        <f t="shared" si="48"/>
        <v>99.999989999999997</v>
      </c>
      <c r="AC96" s="15">
        <f t="shared" si="49"/>
        <v>99.999989999999997</v>
      </c>
      <c r="AD96" s="15">
        <f t="shared" si="50"/>
        <v>99.999989999999997</v>
      </c>
      <c r="AE96" s="15">
        <f t="shared" si="51"/>
        <v>99.999989999999997</v>
      </c>
      <c r="AF96" s="15">
        <f t="shared" si="52"/>
        <v>99.999989999999997</v>
      </c>
      <c r="AG96" s="15">
        <f t="shared" si="53"/>
        <v>99.999989999999997</v>
      </c>
      <c r="AH96" s="15">
        <f t="shared" si="54"/>
        <v>99.999989999999997</v>
      </c>
      <c r="AI96" s="15">
        <f t="shared" si="55"/>
        <v>99.999989999999997</v>
      </c>
      <c r="AJ96" s="15">
        <f t="shared" si="56"/>
        <v>99.999989999999997</v>
      </c>
      <c r="AK96" s="5">
        <f t="shared" si="57"/>
        <v>99.999989999999997</v>
      </c>
    </row>
    <row r="97" spans="1:37">
      <c r="A97" s="52"/>
      <c r="B97" s="52"/>
      <c r="C97" s="104"/>
      <c r="D97" s="104"/>
      <c r="E97" s="104"/>
      <c r="F97" s="82"/>
      <c r="G97" s="82"/>
      <c r="H97" s="81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97" t="e">
        <f t="shared" si="39"/>
        <v>#DIV/0!</v>
      </c>
      <c r="T97" s="4">
        <f t="shared" ca="1" si="40"/>
        <v>41899</v>
      </c>
      <c r="U97" s="4">
        <f t="shared" ca="1" si="41"/>
        <v>-41539</v>
      </c>
      <c r="V97" s="4" t="e">
        <f t="shared" ca="1" si="42"/>
        <v>#NUM!</v>
      </c>
      <c r="W97" s="13" t="e">
        <f t="shared" ca="1" si="43"/>
        <v>#NUM!</v>
      </c>
      <c r="X97" s="5" t="e">
        <f t="shared" ca="1" si="44"/>
        <v>#NUM!</v>
      </c>
      <c r="Y97" s="15">
        <f t="shared" si="45"/>
        <v>99.999989999999997</v>
      </c>
      <c r="Z97" s="15">
        <f t="shared" si="46"/>
        <v>99.999989999999997</v>
      </c>
      <c r="AA97" s="15">
        <f t="shared" si="47"/>
        <v>99.999989999999997</v>
      </c>
      <c r="AB97" s="15">
        <f t="shared" si="48"/>
        <v>99.999989999999997</v>
      </c>
      <c r="AC97" s="15">
        <f t="shared" si="49"/>
        <v>99.999989999999997</v>
      </c>
      <c r="AD97" s="15">
        <f t="shared" si="50"/>
        <v>99.999989999999997</v>
      </c>
      <c r="AE97" s="15">
        <f t="shared" si="51"/>
        <v>99.999989999999997</v>
      </c>
      <c r="AF97" s="15">
        <f t="shared" si="52"/>
        <v>99.999989999999997</v>
      </c>
      <c r="AG97" s="15">
        <f t="shared" si="53"/>
        <v>99.999989999999997</v>
      </c>
      <c r="AH97" s="15">
        <f t="shared" si="54"/>
        <v>99.999989999999997</v>
      </c>
      <c r="AI97" s="15">
        <f t="shared" si="55"/>
        <v>99.999989999999997</v>
      </c>
      <c r="AJ97" s="15">
        <f t="shared" si="56"/>
        <v>99.999989999999997</v>
      </c>
      <c r="AK97" s="5">
        <f t="shared" si="57"/>
        <v>99.999989999999997</v>
      </c>
    </row>
    <row r="98" spans="1:37">
      <c r="A98" s="52"/>
      <c r="B98" s="52"/>
      <c r="C98" s="104"/>
      <c r="D98" s="104"/>
      <c r="E98" s="104"/>
      <c r="F98" s="82"/>
      <c r="G98" s="82"/>
      <c r="H98" s="81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97" t="e">
        <f t="shared" si="39"/>
        <v>#DIV/0!</v>
      </c>
      <c r="T98" s="4">
        <f t="shared" ca="1" si="40"/>
        <v>41899</v>
      </c>
      <c r="U98" s="4">
        <f t="shared" ca="1" si="41"/>
        <v>-41539</v>
      </c>
      <c r="V98" s="4" t="e">
        <f t="shared" ca="1" si="42"/>
        <v>#NUM!</v>
      </c>
      <c r="W98" s="13" t="e">
        <f t="shared" ca="1" si="43"/>
        <v>#NUM!</v>
      </c>
      <c r="X98" s="5" t="e">
        <f t="shared" ca="1" si="44"/>
        <v>#NUM!</v>
      </c>
      <c r="Y98" s="15">
        <f t="shared" si="45"/>
        <v>99.999989999999997</v>
      </c>
      <c r="Z98" s="15">
        <f t="shared" si="46"/>
        <v>99.999989999999997</v>
      </c>
      <c r="AA98" s="15">
        <f t="shared" si="47"/>
        <v>99.999989999999997</v>
      </c>
      <c r="AB98" s="15">
        <f t="shared" si="48"/>
        <v>99.999989999999997</v>
      </c>
      <c r="AC98" s="15">
        <f t="shared" si="49"/>
        <v>99.999989999999997</v>
      </c>
      <c r="AD98" s="15">
        <f t="shared" si="50"/>
        <v>99.999989999999997</v>
      </c>
      <c r="AE98" s="15">
        <f t="shared" si="51"/>
        <v>99.999989999999997</v>
      </c>
      <c r="AF98" s="15">
        <f t="shared" si="52"/>
        <v>99.999989999999997</v>
      </c>
      <c r="AG98" s="15">
        <f t="shared" si="53"/>
        <v>99.999989999999997</v>
      </c>
      <c r="AH98" s="15">
        <f t="shared" si="54"/>
        <v>99.999989999999997</v>
      </c>
      <c r="AI98" s="15">
        <f t="shared" si="55"/>
        <v>99.999989999999997</v>
      </c>
      <c r="AJ98" s="15">
        <f t="shared" si="56"/>
        <v>99.999989999999997</v>
      </c>
      <c r="AK98" s="5">
        <f t="shared" si="57"/>
        <v>99.999989999999997</v>
      </c>
    </row>
    <row r="99" spans="1:37">
      <c r="A99" s="52"/>
      <c r="B99" s="52"/>
      <c r="C99" s="104"/>
      <c r="D99" s="104"/>
      <c r="E99" s="104"/>
      <c r="F99" s="82"/>
      <c r="G99" s="82"/>
      <c r="H99" s="81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97" t="e">
        <f t="shared" si="39"/>
        <v>#DIV/0!</v>
      </c>
      <c r="T99" s="4">
        <f t="shared" ca="1" si="40"/>
        <v>41899</v>
      </c>
      <c r="U99" s="4">
        <f t="shared" ca="1" si="41"/>
        <v>-41539</v>
      </c>
      <c r="V99" s="4" t="e">
        <f t="shared" ca="1" si="42"/>
        <v>#NUM!</v>
      </c>
      <c r="W99" s="13" t="e">
        <f t="shared" ca="1" si="43"/>
        <v>#NUM!</v>
      </c>
      <c r="X99" s="5" t="e">
        <f t="shared" ca="1" si="44"/>
        <v>#NUM!</v>
      </c>
      <c r="Y99" s="15">
        <f t="shared" si="45"/>
        <v>99.999989999999997</v>
      </c>
      <c r="Z99" s="15">
        <f t="shared" si="46"/>
        <v>99.999989999999997</v>
      </c>
      <c r="AA99" s="15">
        <f t="shared" si="47"/>
        <v>99.999989999999997</v>
      </c>
      <c r="AB99" s="15">
        <f t="shared" si="48"/>
        <v>99.999989999999997</v>
      </c>
      <c r="AC99" s="15">
        <f t="shared" si="49"/>
        <v>99.999989999999997</v>
      </c>
      <c r="AD99" s="15">
        <f t="shared" si="50"/>
        <v>99.999989999999997</v>
      </c>
      <c r="AE99" s="15">
        <f t="shared" si="51"/>
        <v>99.999989999999997</v>
      </c>
      <c r="AF99" s="15">
        <f t="shared" si="52"/>
        <v>99.999989999999997</v>
      </c>
      <c r="AG99" s="15">
        <f t="shared" si="53"/>
        <v>99.999989999999997</v>
      </c>
      <c r="AH99" s="15">
        <f t="shared" si="54"/>
        <v>99.999989999999997</v>
      </c>
      <c r="AI99" s="15">
        <f t="shared" si="55"/>
        <v>99.999989999999997</v>
      </c>
      <c r="AJ99" s="15">
        <f t="shared" si="56"/>
        <v>99.999989999999997</v>
      </c>
      <c r="AK99" s="5">
        <f t="shared" si="57"/>
        <v>99.999989999999997</v>
      </c>
    </row>
    <row r="100" spans="1:37">
      <c r="A100" s="52"/>
      <c r="B100" s="52"/>
      <c r="C100" s="104"/>
      <c r="D100" s="104"/>
      <c r="E100" s="104"/>
      <c r="F100" s="82"/>
      <c r="G100" s="82"/>
      <c r="H100" s="81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97" t="e">
        <f t="shared" ref="S100:S103" si="58">AVERAGE(F100:R100)</f>
        <v>#DIV/0!</v>
      </c>
      <c r="T100" s="4">
        <f t="shared" ref="T100:T103" ca="1" si="59">IF(DAYS360(TODAY(),DATE(E100+2,D100,C100))&gt;=720,0,360-U100)</f>
        <v>41899</v>
      </c>
      <c r="U100" s="4">
        <f t="shared" ref="U100:U103" ca="1" si="60">IF(DAYS360(TODAY(),DATE(E100+1,D100,C100))&lt;=360,DAYS360(TODAY(),DATE(E100+1,D100,C100)),360-V100)</f>
        <v>-41539</v>
      </c>
      <c r="V100" s="4" t="e">
        <f t="shared" ca="1" si="42"/>
        <v>#NUM!</v>
      </c>
      <c r="W100" s="13" t="e">
        <f t="shared" ref="W100:W103" ca="1" si="61">(F100/360*T100)+(G100/360*U100)+(H100/360*V100)</f>
        <v>#NUM!</v>
      </c>
      <c r="X100" s="5" t="e">
        <f t="shared" ref="X100:X103" ca="1" si="62">IF(W100&lt;0,IF(S100&lt;0,((W100/S100)-1)*-1,(W100/S100)-1),IF(S100&lt;0,ABS((W100/S100)-1),(W100/S100)-1))</f>
        <v>#NUM!</v>
      </c>
      <c r="Y100" s="15">
        <f t="shared" si="45"/>
        <v>99.999989999999997</v>
      </c>
      <c r="Z100" s="15">
        <f t="shared" si="46"/>
        <v>99.999989999999997</v>
      </c>
      <c r="AA100" s="15">
        <f t="shared" si="47"/>
        <v>99.999989999999997</v>
      </c>
      <c r="AB100" s="15">
        <f t="shared" si="48"/>
        <v>99.999989999999997</v>
      </c>
      <c r="AC100" s="15">
        <f t="shared" si="49"/>
        <v>99.999989999999997</v>
      </c>
      <c r="AD100" s="15">
        <f t="shared" si="50"/>
        <v>99.999989999999997</v>
      </c>
      <c r="AE100" s="15">
        <f t="shared" si="51"/>
        <v>99.999989999999997</v>
      </c>
      <c r="AF100" s="15">
        <f t="shared" si="52"/>
        <v>99.999989999999997</v>
      </c>
      <c r="AG100" s="15">
        <f t="shared" si="53"/>
        <v>99.999989999999997</v>
      </c>
      <c r="AH100" s="15">
        <f t="shared" si="54"/>
        <v>99.999989999999997</v>
      </c>
      <c r="AI100" s="15">
        <f t="shared" si="55"/>
        <v>99.999989999999997</v>
      </c>
      <c r="AJ100" s="15">
        <f t="shared" si="56"/>
        <v>99.999989999999997</v>
      </c>
      <c r="AK100" s="5">
        <f t="shared" ref="AK100:AK103" si="63">MIN(Y100:AJ100)</f>
        <v>99.999989999999997</v>
      </c>
    </row>
    <row r="101" spans="1:37">
      <c r="A101" s="52"/>
      <c r="B101" s="52"/>
      <c r="C101" s="104"/>
      <c r="D101" s="104"/>
      <c r="E101" s="104"/>
      <c r="F101" s="82"/>
      <c r="G101" s="82"/>
      <c r="H101" s="81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97" t="e">
        <f t="shared" si="58"/>
        <v>#DIV/0!</v>
      </c>
      <c r="T101" s="4">
        <f t="shared" ca="1" si="59"/>
        <v>41899</v>
      </c>
      <c r="U101" s="4">
        <f t="shared" ca="1" si="60"/>
        <v>-41539</v>
      </c>
      <c r="V101" s="4" t="e">
        <f t="shared" ca="1" si="42"/>
        <v>#NUM!</v>
      </c>
      <c r="W101" s="13" t="e">
        <f t="shared" ca="1" si="61"/>
        <v>#NUM!</v>
      </c>
      <c r="X101" s="5" t="e">
        <f t="shared" ca="1" si="62"/>
        <v>#NUM!</v>
      </c>
      <c r="Y101" s="15">
        <f t="shared" si="45"/>
        <v>99.999989999999997</v>
      </c>
      <c r="Z101" s="15">
        <f t="shared" si="46"/>
        <v>99.999989999999997</v>
      </c>
      <c r="AA101" s="15">
        <f t="shared" si="47"/>
        <v>99.999989999999997</v>
      </c>
      <c r="AB101" s="15">
        <f t="shared" si="48"/>
        <v>99.999989999999997</v>
      </c>
      <c r="AC101" s="15">
        <f t="shared" si="49"/>
        <v>99.999989999999997</v>
      </c>
      <c r="AD101" s="15">
        <f t="shared" si="50"/>
        <v>99.999989999999997</v>
      </c>
      <c r="AE101" s="15">
        <f t="shared" si="51"/>
        <v>99.999989999999997</v>
      </c>
      <c r="AF101" s="15">
        <f t="shared" si="52"/>
        <v>99.999989999999997</v>
      </c>
      <c r="AG101" s="15">
        <f t="shared" si="53"/>
        <v>99.999989999999997</v>
      </c>
      <c r="AH101" s="15">
        <f t="shared" si="54"/>
        <v>99.999989999999997</v>
      </c>
      <c r="AI101" s="15">
        <f t="shared" si="55"/>
        <v>99.999989999999997</v>
      </c>
      <c r="AJ101" s="15">
        <f t="shared" si="56"/>
        <v>99.999989999999997</v>
      </c>
      <c r="AK101" s="5">
        <f t="shared" si="63"/>
        <v>99.999989999999997</v>
      </c>
    </row>
    <row r="102" spans="1:37">
      <c r="A102" s="52"/>
      <c r="B102" s="52"/>
      <c r="C102" s="104"/>
      <c r="D102" s="104"/>
      <c r="E102" s="104"/>
      <c r="F102" s="82"/>
      <c r="G102" s="82"/>
      <c r="H102" s="81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97" t="e">
        <f t="shared" si="58"/>
        <v>#DIV/0!</v>
      </c>
      <c r="T102" s="4">
        <f t="shared" ca="1" si="59"/>
        <v>41899</v>
      </c>
      <c r="U102" s="4">
        <f t="shared" ca="1" si="60"/>
        <v>-41539</v>
      </c>
      <c r="V102" s="4" t="e">
        <f t="shared" ca="1" si="42"/>
        <v>#NUM!</v>
      </c>
      <c r="W102" s="13" t="e">
        <f t="shared" ca="1" si="61"/>
        <v>#NUM!</v>
      </c>
      <c r="X102" s="5" t="e">
        <f t="shared" ca="1" si="62"/>
        <v>#NUM!</v>
      </c>
      <c r="Y102" s="15">
        <f t="shared" si="45"/>
        <v>99.999989999999997</v>
      </c>
      <c r="Z102" s="15">
        <f t="shared" si="46"/>
        <v>99.999989999999997</v>
      </c>
      <c r="AA102" s="15">
        <f t="shared" si="47"/>
        <v>99.999989999999997</v>
      </c>
      <c r="AB102" s="15">
        <f t="shared" si="48"/>
        <v>99.999989999999997</v>
      </c>
      <c r="AC102" s="15">
        <f t="shared" si="49"/>
        <v>99.999989999999997</v>
      </c>
      <c r="AD102" s="15">
        <f t="shared" si="50"/>
        <v>99.999989999999997</v>
      </c>
      <c r="AE102" s="15">
        <f t="shared" si="51"/>
        <v>99.999989999999997</v>
      </c>
      <c r="AF102" s="15">
        <f t="shared" si="52"/>
        <v>99.999989999999997</v>
      </c>
      <c r="AG102" s="15">
        <f t="shared" si="53"/>
        <v>99.999989999999997</v>
      </c>
      <c r="AH102" s="15">
        <f t="shared" si="54"/>
        <v>99.999989999999997</v>
      </c>
      <c r="AI102" s="15">
        <f t="shared" si="55"/>
        <v>99.999989999999997</v>
      </c>
      <c r="AJ102" s="15">
        <f t="shared" si="56"/>
        <v>99.999989999999997</v>
      </c>
      <c r="AK102" s="5">
        <f t="shared" si="63"/>
        <v>99.999989999999997</v>
      </c>
    </row>
    <row r="103" spans="1:37">
      <c r="A103" s="52"/>
      <c r="B103" s="52"/>
      <c r="C103" s="104"/>
      <c r="D103" s="104"/>
      <c r="E103" s="104"/>
      <c r="F103" s="82"/>
      <c r="G103" s="82"/>
      <c r="H103" s="81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97" t="e">
        <f t="shared" si="58"/>
        <v>#DIV/0!</v>
      </c>
      <c r="T103" s="4">
        <f t="shared" ca="1" si="59"/>
        <v>41899</v>
      </c>
      <c r="U103" s="4">
        <f t="shared" ca="1" si="60"/>
        <v>-41539</v>
      </c>
      <c r="V103" s="4" t="e">
        <f t="shared" ca="1" si="42"/>
        <v>#NUM!</v>
      </c>
      <c r="W103" s="13" t="e">
        <f t="shared" ca="1" si="61"/>
        <v>#NUM!</v>
      </c>
      <c r="X103" s="5" t="e">
        <f t="shared" ca="1" si="62"/>
        <v>#NUM!</v>
      </c>
      <c r="Y103" s="15">
        <f t="shared" si="45"/>
        <v>99.999989999999997</v>
      </c>
      <c r="Z103" s="15">
        <f t="shared" si="46"/>
        <v>99.999989999999997</v>
      </c>
      <c r="AA103" s="15">
        <f t="shared" si="47"/>
        <v>99.999989999999997</v>
      </c>
      <c r="AB103" s="15">
        <f t="shared" si="48"/>
        <v>99.999989999999997</v>
      </c>
      <c r="AC103" s="15">
        <f t="shared" si="49"/>
        <v>99.999989999999997</v>
      </c>
      <c r="AD103" s="15">
        <f t="shared" si="50"/>
        <v>99.999989999999997</v>
      </c>
      <c r="AE103" s="15">
        <f t="shared" si="51"/>
        <v>99.999989999999997</v>
      </c>
      <c r="AF103" s="15">
        <f t="shared" si="52"/>
        <v>99.999989999999997</v>
      </c>
      <c r="AG103" s="15">
        <f t="shared" si="53"/>
        <v>99.999989999999997</v>
      </c>
      <c r="AH103" s="15">
        <f t="shared" si="54"/>
        <v>99.999989999999997</v>
      </c>
      <c r="AI103" s="15">
        <f t="shared" si="55"/>
        <v>99.999989999999997</v>
      </c>
      <c r="AJ103" s="15">
        <f t="shared" si="56"/>
        <v>99.999989999999997</v>
      </c>
      <c r="AK103" s="5">
        <f t="shared" si="63"/>
        <v>99.999989999999997</v>
      </c>
    </row>
    <row r="104" spans="1:37">
      <c r="C104" s="38"/>
      <c r="D104" s="38"/>
      <c r="E104" s="38"/>
      <c r="F104" s="38"/>
      <c r="G104" s="38"/>
    </row>
  </sheetData>
  <autoFilter ref="A3:AK103">
    <sortState ref="A4:AK103">
      <sortCondition ref="B3:B103"/>
    </sortState>
  </autoFilter>
  <mergeCells count="3">
    <mergeCell ref="T1:V1"/>
    <mergeCell ref="Y1:AJ1"/>
    <mergeCell ref="C2:E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0.42578125" bestFit="1" customWidth="1"/>
    <col min="4" max="4" width="13.7109375" customWidth="1"/>
    <col min="5" max="5" width="11.140625" bestFit="1" customWidth="1"/>
    <col min="6" max="6" width="15.140625" customWidth="1"/>
    <col min="7" max="7" width="14.7109375" bestFit="1" customWidth="1"/>
    <col min="8" max="8" width="15.140625" customWidth="1"/>
    <col min="9" max="9" width="14.42578125" customWidth="1"/>
    <col min="10" max="17" width="14.85546875" customWidth="1"/>
    <col min="18" max="18" width="15.85546875" customWidth="1"/>
    <col min="19" max="19" width="18" customWidth="1"/>
    <col min="20" max="20" width="15.140625" customWidth="1"/>
    <col min="21" max="21" width="14.7109375" bestFit="1" customWidth="1"/>
    <col min="22" max="22" width="15.140625" customWidth="1"/>
    <col min="23" max="23" width="23.28515625" bestFit="1" customWidth="1"/>
    <col min="24" max="24" width="33.42578125" customWidth="1"/>
    <col min="25" max="25" width="15.140625" bestFit="1" customWidth="1"/>
    <col min="26" max="26" width="14.7109375" bestFit="1" customWidth="1"/>
    <col min="27" max="27" width="15.140625" bestFit="1" customWidth="1"/>
    <col min="28" max="28" width="14.42578125" customWidth="1"/>
    <col min="29" max="36" width="14.85546875" customWidth="1"/>
    <col min="37" max="37" width="39.42578125" customWidth="1"/>
  </cols>
  <sheetData>
    <row r="1" spans="1:37">
      <c r="A1" s="1"/>
      <c r="B1" s="1"/>
      <c r="C1" s="37"/>
      <c r="D1" s="37"/>
      <c r="E1" s="3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37"/>
      <c r="T1" s="110" t="s">
        <v>109</v>
      </c>
      <c r="U1" s="110"/>
      <c r="V1" s="110"/>
      <c r="W1" s="1"/>
      <c r="X1" s="1"/>
      <c r="Y1" s="110" t="s">
        <v>117</v>
      </c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</row>
    <row r="2" spans="1:37">
      <c r="A2" s="1"/>
      <c r="B2" s="1"/>
      <c r="C2" s="111" t="s">
        <v>160</v>
      </c>
      <c r="D2" s="111"/>
      <c r="E2" s="111"/>
      <c r="F2" s="37">
        <v>2018</v>
      </c>
      <c r="G2" s="37">
        <v>2017</v>
      </c>
      <c r="H2" s="37">
        <v>2016</v>
      </c>
      <c r="I2" s="1">
        <v>2015</v>
      </c>
      <c r="J2" s="37">
        <v>2014</v>
      </c>
      <c r="K2" s="37">
        <v>2013</v>
      </c>
      <c r="L2" s="37">
        <v>2012</v>
      </c>
      <c r="M2" s="37">
        <v>2011</v>
      </c>
      <c r="N2" s="37">
        <v>2010</v>
      </c>
      <c r="O2" s="37">
        <v>2009</v>
      </c>
      <c r="P2" s="37">
        <v>2008</v>
      </c>
      <c r="Q2" s="37">
        <v>2007</v>
      </c>
      <c r="R2" s="37">
        <v>2006</v>
      </c>
      <c r="S2" s="37"/>
      <c r="T2" s="1">
        <f>F2</f>
        <v>2018</v>
      </c>
      <c r="U2" s="1">
        <f>G2</f>
        <v>2017</v>
      </c>
      <c r="V2" s="1">
        <f>H2</f>
        <v>2016</v>
      </c>
      <c r="W2" s="1"/>
      <c r="X2" s="1"/>
      <c r="Y2" s="1">
        <f t="shared" ref="Y2:AJ2" si="0">F2</f>
        <v>2018</v>
      </c>
      <c r="Z2" s="1">
        <f t="shared" si="0"/>
        <v>2017</v>
      </c>
      <c r="AA2" s="1">
        <f t="shared" si="0"/>
        <v>2016</v>
      </c>
      <c r="AB2" s="1">
        <f t="shared" si="0"/>
        <v>2015</v>
      </c>
      <c r="AC2" s="1">
        <f t="shared" si="0"/>
        <v>2014</v>
      </c>
      <c r="AD2" s="1">
        <f t="shared" si="0"/>
        <v>2013</v>
      </c>
      <c r="AE2" s="1">
        <f t="shared" si="0"/>
        <v>2012</v>
      </c>
      <c r="AF2" s="1">
        <f t="shared" si="0"/>
        <v>2011</v>
      </c>
      <c r="AG2" s="1">
        <f t="shared" si="0"/>
        <v>2010</v>
      </c>
      <c r="AH2" s="1">
        <f t="shared" si="0"/>
        <v>2009</v>
      </c>
      <c r="AI2" s="1">
        <f t="shared" si="0"/>
        <v>2008</v>
      </c>
      <c r="AJ2" s="1">
        <f t="shared" si="0"/>
        <v>2007</v>
      </c>
    </row>
    <row r="3" spans="1:37">
      <c r="A3" s="1" t="s">
        <v>0</v>
      </c>
      <c r="B3" s="1" t="s">
        <v>1</v>
      </c>
      <c r="C3" s="37" t="s">
        <v>161</v>
      </c>
      <c r="D3" s="37" t="s">
        <v>162</v>
      </c>
      <c r="E3" s="37" t="s">
        <v>132</v>
      </c>
      <c r="F3" s="37" t="s">
        <v>163</v>
      </c>
      <c r="G3" s="37" t="s">
        <v>106</v>
      </c>
      <c r="H3" s="1" t="s">
        <v>107</v>
      </c>
      <c r="I3" s="37" t="s">
        <v>96</v>
      </c>
      <c r="J3" s="37" t="s">
        <v>97</v>
      </c>
      <c r="K3" s="37" t="s">
        <v>98</v>
      </c>
      <c r="L3" s="37" t="s">
        <v>99</v>
      </c>
      <c r="M3" s="37" t="s">
        <v>100</v>
      </c>
      <c r="N3" s="37" t="s">
        <v>101</v>
      </c>
      <c r="O3" s="37" t="s">
        <v>102</v>
      </c>
      <c r="P3" s="37" t="s">
        <v>103</v>
      </c>
      <c r="Q3" s="37" t="s">
        <v>104</v>
      </c>
      <c r="R3" s="37" t="s">
        <v>105</v>
      </c>
      <c r="S3" s="37" t="s">
        <v>115</v>
      </c>
      <c r="T3" s="1" t="s">
        <v>163</v>
      </c>
      <c r="U3" s="1" t="s">
        <v>106</v>
      </c>
      <c r="V3" s="1" t="s">
        <v>107</v>
      </c>
      <c r="W3" s="1" t="s">
        <v>153</v>
      </c>
      <c r="X3" s="1" t="s">
        <v>116</v>
      </c>
      <c r="Y3" s="37" t="s">
        <v>163</v>
      </c>
      <c r="Z3" s="1" t="s">
        <v>106</v>
      </c>
      <c r="AA3" s="1" t="s">
        <v>107</v>
      </c>
      <c r="AB3" s="1" t="s">
        <v>96</v>
      </c>
      <c r="AC3" s="1" t="s">
        <v>97</v>
      </c>
      <c r="AD3" s="1" t="s">
        <v>98</v>
      </c>
      <c r="AE3" s="1" t="s">
        <v>99</v>
      </c>
      <c r="AF3" s="1" t="s">
        <v>100</v>
      </c>
      <c r="AG3" s="1" t="s">
        <v>101</v>
      </c>
      <c r="AH3" s="1" t="s">
        <v>102</v>
      </c>
      <c r="AI3" s="1" t="s">
        <v>103</v>
      </c>
      <c r="AJ3" s="1" t="s">
        <v>104</v>
      </c>
      <c r="AK3" s="1" t="s">
        <v>118</v>
      </c>
    </row>
    <row r="4" spans="1:37">
      <c r="A4" t="s">
        <v>78</v>
      </c>
      <c r="B4" t="s">
        <v>159</v>
      </c>
      <c r="C4" s="60">
        <v>31</v>
      </c>
      <c r="D4" s="60">
        <v>12</v>
      </c>
      <c r="E4" s="60">
        <v>2016</v>
      </c>
      <c r="F4" s="101">
        <v>21.3</v>
      </c>
      <c r="G4" s="101">
        <v>18.8</v>
      </c>
      <c r="H4" s="101">
        <v>15.7</v>
      </c>
      <c r="I4" s="96">
        <v>14.52</v>
      </c>
      <c r="J4" s="57">
        <v>17.600000000000001</v>
      </c>
      <c r="K4" s="57">
        <v>17.78</v>
      </c>
      <c r="L4" s="57">
        <v>20.32</v>
      </c>
      <c r="M4" s="57">
        <v>17.309999999999999</v>
      </c>
      <c r="N4" s="57">
        <v>14.99</v>
      </c>
      <c r="O4" s="57">
        <v>14.62</v>
      </c>
      <c r="P4" s="57">
        <v>14.63</v>
      </c>
      <c r="Q4" s="57">
        <v>11.42</v>
      </c>
      <c r="R4" s="57">
        <v>6.35</v>
      </c>
      <c r="S4" s="97">
        <f t="shared" ref="S4:S35" si="1">AVERAGE(F4:R4)</f>
        <v>15.795384615384613</v>
      </c>
      <c r="T4" s="4">
        <f t="shared" ref="T4:T35" ca="1" si="2">IF(DAYS360(TODAY(),DATE(E4+2,D4,C4))&gt;=720,0,360-U4)</f>
        <v>0</v>
      </c>
      <c r="U4" s="4">
        <f t="shared" ref="U4:U35" ca="1" si="3">IF(DAYS360(TODAY(),DATE(E4+1,D4,C4))&lt;=360,DAYS360(TODAY(),DATE(E4+1,D4,C4)),360-V4)</f>
        <v>108</v>
      </c>
      <c r="V4" s="4">
        <f t="shared" ref="V4:V35" ca="1" si="4">IF(DATE(E4,D4,C4)&lt;=TODAY(),0,DAYS360(TODAY(),DATE(E4,D4,C4)))</f>
        <v>252</v>
      </c>
      <c r="W4" s="13">
        <f t="shared" ref="W4:W35" ca="1" si="5">(F4/360*T4)+(G4/360*U4)+(H4/360*V4)</f>
        <v>16.63</v>
      </c>
      <c r="X4" s="5">
        <f t="shared" ref="X4:X35" ca="1" si="6">IF(W4&lt;0,IF(W4&lt;0,((W4/S4)-1)*-1,(W4/S4)-1),IF(S4&lt;0,ABS((W4/S4)-1),(W4/S4)-1))</f>
        <v>5.283919353267752E-2</v>
      </c>
      <c r="Y4" s="15">
        <f t="shared" ref="Y4:Y35" si="7">IF(F4&lt;&gt;"",IF(G4&lt;&gt;"",IF(F4&lt;0,IF(G4&lt;0,((F4/G4)-1)*-1,(F4/G4)-1),IF(G4&lt;0,ABS((F4/G4)-1),(F4/G4)-1))),99.99999)</f>
        <v>0.13297872340425521</v>
      </c>
      <c r="Z4" s="15">
        <f t="shared" ref="Z4:Z35" si="8">IF(H4&lt;&gt;"",IF(G4&lt;0,IF(H4&lt;0,((G4/H4)-1)*-1,(G4/H4)-1),IF(H4&lt;0,ABS((G4/H4)-1),(G4/H4)-1)),99.99999)</f>
        <v>0.19745222929936324</v>
      </c>
      <c r="AA4" s="15">
        <f t="shared" ref="AA4:AA35" si="9">IF(I4&lt;&gt;"",IF(H4&lt;0,IF(I4&lt;0,((H4/I4)-1)*-1,(H4/I4)-1),IF(I4&lt;0,ABS((H4/I4)-1),(H4/I4)-1)),99.99999)</f>
        <v>8.1267217630853983E-2</v>
      </c>
      <c r="AB4" s="15">
        <f t="shared" ref="AB4:AB35" si="10">IF(J4&lt;&gt;"",IF(I4&lt;0,IF(J4&lt;0,((I4/J4)-1)*-1,(I4/J4)-1),IF(J4&lt;0,ABS((I4/J4)-1),(I4/J4)-1)),99.99999)</f>
        <v>-0.17500000000000004</v>
      </c>
      <c r="AC4" s="15">
        <f t="shared" ref="AC4:AC35" si="11">IF(K4&lt;&gt;"",IF(J4&lt;0,IF(K4&lt;0,((J4/K4)-1)*-1,(J4/K4)-1),IF(K4&lt;0,ABS((J4/K4)-1),(J4/K4)-1)),99.99999)</f>
        <v>-1.0123734533183382E-2</v>
      </c>
      <c r="AD4" s="15">
        <f t="shared" ref="AD4:AD35" si="12">IF(L4&lt;&gt;"",IF(K4&lt;0,IF(L4&lt;0,((K4/L4)-1)*-1,(K4/L4)-1),IF(L4&lt;0,ABS((K4/L4)-1),(K4/L4)-1)),99.99999)</f>
        <v>-0.125</v>
      </c>
      <c r="AE4" s="15">
        <f t="shared" ref="AE4:AE35" si="13">IF(M4&lt;&gt;"",IF(L4&lt;0,IF(M4&lt;0,((L4/M4)-1)*-1,(L4/M4)-1),IF(M4&lt;0,ABS((L4/M4)-1),(L4/M4)-1)),99.99999)</f>
        <v>0.17388792605430403</v>
      </c>
      <c r="AF4" s="15">
        <f t="shared" ref="AF4:AF35" si="14">IF(N4&lt;&gt;"",IF(M4&lt;0,IF(N4&lt;0,((M4/N4)-1)*-1,(M4/N4)-1),IF(N4&lt;0,ABS((M4/N4)-1),(M4/N4)-1)),99.99999)</f>
        <v>0.15476984656437609</v>
      </c>
      <c r="AG4" s="15">
        <f t="shared" ref="AG4:AG35" si="15">IF(O4&lt;&gt;"",IF(N4&lt;0,IF(O4&lt;0,((N4/O4)-1)*-1,(N4/O4)-1),IF(O4&lt;0,ABS((N4/O4)-1),(N4/O4)-1)),99.99999)</f>
        <v>2.5307797537619692E-2</v>
      </c>
      <c r="AH4" s="15">
        <f t="shared" ref="AH4:AH35" si="16">IF(P4&lt;&gt;"",IF(O4&lt;0,IF(P4&lt;0,((O4/P4)-1)*-1,(O4/P4)-1),IF(P4&lt;0,ABS((O4/P4)-1),(O4/P4)-1)),99.99999)</f>
        <v>-6.8352699931661931E-4</v>
      </c>
      <c r="AI4" s="15">
        <f t="shared" ref="AI4:AI35" si="17">IF(Q4&lt;&gt;"",IF(P4&lt;0,IF(Q4&lt;0,((P4/Q4)-1)*-1,(P4/Q4)-1),IF(Q4&lt;0,ABS((P4/Q4)-1),(P4/Q4)-1)),99.99999)</f>
        <v>0.28108581436077062</v>
      </c>
      <c r="AJ4" s="15">
        <f t="shared" ref="AJ4:AJ35" si="18">IF(R4&lt;&gt;"",IF(Q4&lt;0,IF(R4&lt;0,((Q4/R4)-1)*-1,(Q4/R4)-1),IF(R4&lt;0,ABS((Q4/R4)-1),(Q4/R4)-1)),99.99999)</f>
        <v>0.7984251968503937</v>
      </c>
      <c r="AK4" s="5">
        <f t="shared" ref="AK4:AK35" si="19">MIN(Y4:AJ4)</f>
        <v>-0.17500000000000004</v>
      </c>
    </row>
    <row r="5" spans="1:37">
      <c r="A5" t="s">
        <v>2</v>
      </c>
      <c r="B5" t="s">
        <v>3</v>
      </c>
      <c r="C5" s="60">
        <v>31</v>
      </c>
      <c r="D5" s="60">
        <v>12</v>
      </c>
      <c r="E5" s="60">
        <v>2016</v>
      </c>
      <c r="F5" s="101">
        <v>4.74</v>
      </c>
      <c r="G5" s="101">
        <v>4.05</v>
      </c>
      <c r="H5" s="101">
        <v>3.54</v>
      </c>
      <c r="I5" s="103">
        <v>4.4249999999999998</v>
      </c>
      <c r="J5" s="57">
        <v>4.3099999999999996</v>
      </c>
      <c r="K5" s="57">
        <v>3.7</v>
      </c>
      <c r="L5" s="57">
        <v>3.89</v>
      </c>
      <c r="M5" s="57">
        <v>3.78</v>
      </c>
      <c r="N5" s="57">
        <v>4.26</v>
      </c>
      <c r="O5" s="57">
        <v>3.69</v>
      </c>
      <c r="P5" s="57">
        <v>3.59</v>
      </c>
      <c r="Q5" s="58">
        <v>2.81</v>
      </c>
      <c r="R5" s="57">
        <v>3.04</v>
      </c>
      <c r="S5" s="97">
        <f t="shared" si="1"/>
        <v>3.8326923076923074</v>
      </c>
      <c r="T5" s="4">
        <f t="shared" ca="1" si="2"/>
        <v>0</v>
      </c>
      <c r="U5" s="4">
        <f t="shared" ca="1" si="3"/>
        <v>108</v>
      </c>
      <c r="V5" s="4">
        <f t="shared" ca="1" si="4"/>
        <v>252</v>
      </c>
      <c r="W5" s="13">
        <f t="shared" ca="1" si="5"/>
        <v>3.6929999999999996</v>
      </c>
      <c r="X5" s="5">
        <f t="shared" ca="1" si="6"/>
        <v>-3.6447566482689431E-2</v>
      </c>
      <c r="Y5" s="15">
        <f t="shared" si="7"/>
        <v>0.17037037037037051</v>
      </c>
      <c r="Z5" s="15">
        <f t="shared" si="8"/>
        <v>0.14406779661016933</v>
      </c>
      <c r="AA5" s="15">
        <f t="shared" si="9"/>
        <v>-0.19999999999999996</v>
      </c>
      <c r="AB5" s="15">
        <f t="shared" si="10"/>
        <v>2.6682134570765736E-2</v>
      </c>
      <c r="AC5" s="15">
        <f t="shared" si="11"/>
        <v>0.16486486486486474</v>
      </c>
      <c r="AD5" s="15">
        <f t="shared" si="12"/>
        <v>-4.8843187660668419E-2</v>
      </c>
      <c r="AE5" s="15">
        <f t="shared" si="13"/>
        <v>2.9100529100529293E-2</v>
      </c>
      <c r="AF5" s="15">
        <f t="shared" si="14"/>
        <v>-0.11267605633802813</v>
      </c>
      <c r="AG5" s="15">
        <f t="shared" si="15"/>
        <v>0.15447154471544722</v>
      </c>
      <c r="AH5" s="15">
        <f t="shared" si="16"/>
        <v>2.7855153203342642E-2</v>
      </c>
      <c r="AI5" s="15">
        <f t="shared" si="17"/>
        <v>0.27758007117437722</v>
      </c>
      <c r="AJ5" s="15">
        <f t="shared" si="18"/>
        <v>-7.5657894736842146E-2</v>
      </c>
      <c r="AK5" s="5">
        <f t="shared" si="19"/>
        <v>-0.19999999999999996</v>
      </c>
    </row>
    <row r="6" spans="1:37">
      <c r="A6" t="s">
        <v>4</v>
      </c>
      <c r="B6" t="s">
        <v>5</v>
      </c>
      <c r="C6" s="60">
        <v>31</v>
      </c>
      <c r="D6" s="60">
        <v>12</v>
      </c>
      <c r="E6" s="60">
        <v>2016</v>
      </c>
      <c r="F6" s="101">
        <v>16.7</v>
      </c>
      <c r="G6" s="101">
        <v>15.3</v>
      </c>
      <c r="H6" s="101">
        <v>13.8</v>
      </c>
      <c r="I6" s="102">
        <v>12.548999999999999</v>
      </c>
      <c r="J6" s="58">
        <v>13.750999999999999</v>
      </c>
      <c r="K6" s="58">
        <v>13.863</v>
      </c>
      <c r="L6" s="58">
        <v>13.055</v>
      </c>
      <c r="M6" s="58">
        <v>11.858000000000001</v>
      </c>
      <c r="N6" s="58">
        <v>12.343</v>
      </c>
      <c r="O6" s="58">
        <v>11.834</v>
      </c>
      <c r="P6" s="58">
        <v>10.387</v>
      </c>
      <c r="Q6" s="58">
        <v>11.209</v>
      </c>
      <c r="R6" s="58">
        <v>9.2260000000000009</v>
      </c>
      <c r="S6" s="97">
        <f t="shared" si="1"/>
        <v>12.759615384615385</v>
      </c>
      <c r="T6" s="4">
        <f t="shared" ca="1" si="2"/>
        <v>0</v>
      </c>
      <c r="U6" s="4">
        <f t="shared" ca="1" si="3"/>
        <v>108</v>
      </c>
      <c r="V6" s="4">
        <f t="shared" ca="1" si="4"/>
        <v>252</v>
      </c>
      <c r="W6" s="13">
        <f t="shared" ca="1" si="5"/>
        <v>14.25</v>
      </c>
      <c r="X6" s="5">
        <f t="shared" ca="1" si="6"/>
        <v>0.11680482290881677</v>
      </c>
      <c r="Y6" s="15">
        <f t="shared" si="7"/>
        <v>9.1503267973856106E-2</v>
      </c>
      <c r="Z6" s="15">
        <f t="shared" si="8"/>
        <v>0.10869565217391308</v>
      </c>
      <c r="AA6" s="15">
        <f t="shared" si="9"/>
        <v>9.9689218264403578E-2</v>
      </c>
      <c r="AB6" s="15">
        <f t="shared" si="10"/>
        <v>-8.7411824594574972E-2</v>
      </c>
      <c r="AC6" s="15">
        <f t="shared" si="11"/>
        <v>-8.0790593666594246E-3</v>
      </c>
      <c r="AD6" s="15">
        <f t="shared" si="12"/>
        <v>6.1891995404059763E-2</v>
      </c>
      <c r="AE6" s="15">
        <f t="shared" si="13"/>
        <v>0.10094451003541915</v>
      </c>
      <c r="AF6" s="15">
        <f t="shared" si="14"/>
        <v>-3.9293526695292846E-2</v>
      </c>
      <c r="AG6" s="15">
        <f t="shared" si="15"/>
        <v>4.3011661314855454E-2</v>
      </c>
      <c r="AH6" s="15">
        <f t="shared" si="16"/>
        <v>0.13930875132377007</v>
      </c>
      <c r="AI6" s="15">
        <f t="shared" si="17"/>
        <v>-7.3333928093496259E-2</v>
      </c>
      <c r="AJ6" s="15">
        <f t="shared" si="18"/>
        <v>0.21493605029265095</v>
      </c>
      <c r="AK6" s="5">
        <f t="shared" si="19"/>
        <v>-8.7411824594574972E-2</v>
      </c>
    </row>
    <row r="7" spans="1:37">
      <c r="A7" t="s">
        <v>6</v>
      </c>
      <c r="B7" t="s">
        <v>7</v>
      </c>
      <c r="C7" s="60">
        <v>31</v>
      </c>
      <c r="D7" s="60">
        <v>12</v>
      </c>
      <c r="E7" s="60">
        <v>2016</v>
      </c>
      <c r="F7" s="101">
        <v>4.01</v>
      </c>
      <c r="G7" s="101">
        <v>3.7</v>
      </c>
      <c r="H7" s="101">
        <v>3.41</v>
      </c>
      <c r="I7" s="102">
        <v>3.3479999999999999</v>
      </c>
      <c r="J7" s="58">
        <v>3.3650000000000002</v>
      </c>
      <c r="K7" s="58">
        <v>3.6080000000000001</v>
      </c>
      <c r="L7" s="58">
        <v>3.45</v>
      </c>
      <c r="M7" s="58">
        <v>3.14</v>
      </c>
      <c r="N7" s="58">
        <v>3.3069999999999999</v>
      </c>
      <c r="O7" s="58">
        <v>3.069</v>
      </c>
      <c r="P7" s="58">
        <v>2.7730000000000001</v>
      </c>
      <c r="Q7" s="58">
        <v>2.8490000000000002</v>
      </c>
      <c r="R7" s="58">
        <v>2.4500000000000002</v>
      </c>
      <c r="S7" s="97">
        <f t="shared" si="1"/>
        <v>3.2676153846153846</v>
      </c>
      <c r="T7" s="4">
        <f t="shared" ca="1" si="2"/>
        <v>0</v>
      </c>
      <c r="U7" s="4">
        <f t="shared" ca="1" si="3"/>
        <v>108</v>
      </c>
      <c r="V7" s="4">
        <f t="shared" ca="1" si="4"/>
        <v>252</v>
      </c>
      <c r="W7" s="13">
        <f t="shared" ca="1" si="5"/>
        <v>3.4969999999999999</v>
      </c>
      <c r="X7" s="5">
        <f t="shared" ca="1" si="6"/>
        <v>7.019939264106978E-2</v>
      </c>
      <c r="Y7" s="15">
        <f t="shared" si="7"/>
        <v>8.3783783783783594E-2</v>
      </c>
      <c r="Z7" s="15">
        <f t="shared" si="8"/>
        <v>8.5043988269794646E-2</v>
      </c>
      <c r="AA7" s="15">
        <f t="shared" si="9"/>
        <v>1.8518518518518601E-2</v>
      </c>
      <c r="AB7" s="15">
        <f t="shared" si="10"/>
        <v>-5.0520059435364972E-3</v>
      </c>
      <c r="AC7" s="15">
        <f t="shared" si="11"/>
        <v>-6.7350332594234952E-2</v>
      </c>
      <c r="AD7" s="15">
        <f t="shared" si="12"/>
        <v>4.579710144927529E-2</v>
      </c>
      <c r="AE7" s="15">
        <f t="shared" si="13"/>
        <v>9.8726114649681618E-2</v>
      </c>
      <c r="AF7" s="15">
        <f t="shared" si="14"/>
        <v>-5.0498941638947636E-2</v>
      </c>
      <c r="AG7" s="15">
        <f t="shared" si="15"/>
        <v>7.7549690452916265E-2</v>
      </c>
      <c r="AH7" s="15">
        <f t="shared" si="16"/>
        <v>0.1067435989902632</v>
      </c>
      <c r="AI7" s="15">
        <f t="shared" si="17"/>
        <v>-2.6676026676026643E-2</v>
      </c>
      <c r="AJ7" s="15">
        <f t="shared" si="18"/>
        <v>0.16285714285714281</v>
      </c>
      <c r="AK7" s="5">
        <f t="shared" si="19"/>
        <v>-6.7350332594234952E-2</v>
      </c>
    </row>
    <row r="8" spans="1:37">
      <c r="A8" t="s">
        <v>8</v>
      </c>
      <c r="B8" t="s">
        <v>9</v>
      </c>
      <c r="C8" s="60">
        <v>31</v>
      </c>
      <c r="D8" s="60">
        <v>12</v>
      </c>
      <c r="E8" s="60">
        <v>2016</v>
      </c>
      <c r="F8" s="101">
        <v>3.51</v>
      </c>
      <c r="G8" s="101">
        <v>3.22</v>
      </c>
      <c r="H8" s="101">
        <v>2.99</v>
      </c>
      <c r="I8" s="96">
        <v>2.91</v>
      </c>
      <c r="J8" s="58">
        <v>2.5299999999999998</v>
      </c>
      <c r="K8" s="58">
        <v>2.33</v>
      </c>
      <c r="L8" s="58">
        <v>2.08</v>
      </c>
      <c r="M8" s="58">
        <v>1.87</v>
      </c>
      <c r="N8" s="58">
        <v>1.84</v>
      </c>
      <c r="O8" s="57">
        <v>1.65</v>
      </c>
      <c r="P8" s="58">
        <v>2.16</v>
      </c>
      <c r="Q8" s="58">
        <v>2.12</v>
      </c>
      <c r="R8" s="58">
        <v>1.69</v>
      </c>
      <c r="S8" s="97">
        <f t="shared" si="1"/>
        <v>2.3769230769230769</v>
      </c>
      <c r="T8" s="4">
        <f t="shared" ca="1" si="2"/>
        <v>0</v>
      </c>
      <c r="U8" s="4">
        <f t="shared" ca="1" si="3"/>
        <v>108</v>
      </c>
      <c r="V8" s="4">
        <f t="shared" ca="1" si="4"/>
        <v>252</v>
      </c>
      <c r="W8" s="13">
        <f t="shared" ca="1" si="5"/>
        <v>3.0590000000000002</v>
      </c>
      <c r="X8" s="5">
        <f t="shared" ca="1" si="6"/>
        <v>0.28695792880258897</v>
      </c>
      <c r="Y8" s="15">
        <f t="shared" si="7"/>
        <v>9.0062111801242128E-2</v>
      </c>
      <c r="Z8" s="15">
        <f t="shared" si="8"/>
        <v>7.6923076923076872E-2</v>
      </c>
      <c r="AA8" s="15">
        <f t="shared" si="9"/>
        <v>2.7491408934708028E-2</v>
      </c>
      <c r="AB8" s="15">
        <f t="shared" si="10"/>
        <v>0.15019762845849827</v>
      </c>
      <c r="AC8" s="15">
        <f t="shared" si="11"/>
        <v>8.5836909871244593E-2</v>
      </c>
      <c r="AD8" s="15">
        <f t="shared" si="12"/>
        <v>0.12019230769230771</v>
      </c>
      <c r="AE8" s="15">
        <f t="shared" si="13"/>
        <v>0.11229946524064172</v>
      </c>
      <c r="AF8" s="15">
        <f t="shared" si="14"/>
        <v>1.6304347826086918E-2</v>
      </c>
      <c r="AG8" s="15">
        <f t="shared" si="15"/>
        <v>0.11515151515151523</v>
      </c>
      <c r="AH8" s="15">
        <f t="shared" si="16"/>
        <v>-0.23611111111111116</v>
      </c>
      <c r="AI8" s="15">
        <f t="shared" si="17"/>
        <v>1.8867924528301883E-2</v>
      </c>
      <c r="AJ8" s="15">
        <f t="shared" si="18"/>
        <v>0.2544378698224854</v>
      </c>
      <c r="AK8" s="5">
        <f t="shared" si="19"/>
        <v>-0.23611111111111116</v>
      </c>
    </row>
    <row r="9" spans="1:37">
      <c r="A9" t="s">
        <v>10</v>
      </c>
      <c r="B9" t="s">
        <v>11</v>
      </c>
      <c r="C9" s="60">
        <v>31</v>
      </c>
      <c r="D9" s="60">
        <v>12</v>
      </c>
      <c r="E9" s="60">
        <v>2016</v>
      </c>
      <c r="F9" s="101">
        <v>2.37</v>
      </c>
      <c r="G9" s="101">
        <v>2.21</v>
      </c>
      <c r="H9" s="101">
        <v>2.04</v>
      </c>
      <c r="I9" s="96">
        <v>1.22</v>
      </c>
      <c r="J9" s="57">
        <v>1.64</v>
      </c>
      <c r="K9" s="57">
        <v>1.66</v>
      </c>
      <c r="L9" s="57">
        <v>1.32</v>
      </c>
      <c r="M9" s="57">
        <v>0.96</v>
      </c>
      <c r="N9" s="57">
        <v>2.1</v>
      </c>
      <c r="O9" s="57">
        <v>0.53</v>
      </c>
      <c r="P9" s="57">
        <v>-1.4</v>
      </c>
      <c r="Q9" s="57">
        <v>1.1499999999999999</v>
      </c>
      <c r="R9" s="57">
        <v>1.6</v>
      </c>
      <c r="S9" s="97">
        <f t="shared" si="1"/>
        <v>1.3384615384615386</v>
      </c>
      <c r="T9" s="4">
        <f t="shared" ca="1" si="2"/>
        <v>0</v>
      </c>
      <c r="U9" s="4">
        <f t="shared" ca="1" si="3"/>
        <v>108</v>
      </c>
      <c r="V9" s="4">
        <f t="shared" ca="1" si="4"/>
        <v>252</v>
      </c>
      <c r="W9" s="13">
        <f t="shared" ca="1" si="5"/>
        <v>2.0910000000000002</v>
      </c>
      <c r="X9" s="5">
        <f t="shared" ca="1" si="6"/>
        <v>0.5622413793103449</v>
      </c>
      <c r="Y9" s="15">
        <f t="shared" si="7"/>
        <v>7.2398190045248834E-2</v>
      </c>
      <c r="Z9" s="15">
        <f t="shared" si="8"/>
        <v>8.3333333333333259E-2</v>
      </c>
      <c r="AA9" s="15">
        <f t="shared" si="9"/>
        <v>0.67213114754098369</v>
      </c>
      <c r="AB9" s="15">
        <f t="shared" si="10"/>
        <v>-0.25609756097560976</v>
      </c>
      <c r="AC9" s="15">
        <f t="shared" si="11"/>
        <v>-1.2048192771084376E-2</v>
      </c>
      <c r="AD9" s="15">
        <f t="shared" si="12"/>
        <v>0.25757575757575735</v>
      </c>
      <c r="AE9" s="15">
        <f t="shared" si="13"/>
        <v>0.37500000000000022</v>
      </c>
      <c r="AF9" s="15">
        <f t="shared" si="14"/>
        <v>-0.54285714285714293</v>
      </c>
      <c r="AG9" s="15">
        <f t="shared" si="15"/>
        <v>2.9622641509433962</v>
      </c>
      <c r="AH9" s="15">
        <f t="shared" si="16"/>
        <v>1.3785714285714286</v>
      </c>
      <c r="AI9" s="15">
        <f t="shared" si="17"/>
        <v>-2.2173913043478262</v>
      </c>
      <c r="AJ9" s="15">
        <f t="shared" si="18"/>
        <v>-0.28125000000000011</v>
      </c>
      <c r="AK9" s="5">
        <f t="shared" si="19"/>
        <v>-2.2173913043478262</v>
      </c>
    </row>
    <row r="10" spans="1:37">
      <c r="A10" t="s">
        <v>12</v>
      </c>
      <c r="B10" t="s">
        <v>13</v>
      </c>
      <c r="C10" s="60">
        <v>31</v>
      </c>
      <c r="D10" s="60">
        <v>12</v>
      </c>
      <c r="E10" s="60">
        <v>2016</v>
      </c>
      <c r="F10" s="101">
        <v>1.1100000000000001</v>
      </c>
      <c r="G10" s="101">
        <v>0.97</v>
      </c>
      <c r="H10" s="101">
        <v>0.81</v>
      </c>
      <c r="I10" s="96">
        <v>0.71</v>
      </c>
      <c r="J10" s="58">
        <v>0.53</v>
      </c>
      <c r="K10" s="58">
        <v>0.63</v>
      </c>
      <c r="L10" s="58">
        <v>0.57999999999999996</v>
      </c>
      <c r="M10" s="58">
        <v>0.67</v>
      </c>
      <c r="N10" s="58">
        <v>0.79</v>
      </c>
      <c r="O10" s="58">
        <v>0.78</v>
      </c>
      <c r="P10" s="58">
        <v>0.78</v>
      </c>
      <c r="Q10" s="58">
        <v>0.69</v>
      </c>
      <c r="R10" s="58">
        <v>0.9</v>
      </c>
      <c r="S10" s="97">
        <f t="shared" si="1"/>
        <v>0.76538461538461533</v>
      </c>
      <c r="T10" s="4">
        <f t="shared" ca="1" si="2"/>
        <v>0</v>
      </c>
      <c r="U10" s="4">
        <f t="shared" ca="1" si="3"/>
        <v>108</v>
      </c>
      <c r="V10" s="4">
        <f t="shared" ca="1" si="4"/>
        <v>252</v>
      </c>
      <c r="W10" s="13">
        <f t="shared" ca="1" si="5"/>
        <v>0.8580000000000001</v>
      </c>
      <c r="X10" s="5">
        <f t="shared" ca="1" si="6"/>
        <v>0.12100502512562827</v>
      </c>
      <c r="Y10" s="15">
        <f t="shared" si="7"/>
        <v>0.14432989690721665</v>
      </c>
      <c r="Z10" s="15">
        <f t="shared" si="8"/>
        <v>0.19753086419753085</v>
      </c>
      <c r="AA10" s="15">
        <f t="shared" si="9"/>
        <v>0.14084507042253525</v>
      </c>
      <c r="AB10" s="15">
        <f t="shared" si="10"/>
        <v>0.33962264150943389</v>
      </c>
      <c r="AC10" s="15">
        <f t="shared" si="11"/>
        <v>-0.15873015873015872</v>
      </c>
      <c r="AD10" s="15">
        <f t="shared" si="12"/>
        <v>8.6206896551724199E-2</v>
      </c>
      <c r="AE10" s="15">
        <f t="shared" si="13"/>
        <v>-0.13432835820895539</v>
      </c>
      <c r="AF10" s="15">
        <f t="shared" si="14"/>
        <v>-0.15189873417721522</v>
      </c>
      <c r="AG10" s="15">
        <f t="shared" si="15"/>
        <v>1.2820512820512775E-2</v>
      </c>
      <c r="AH10" s="15">
        <f t="shared" si="16"/>
        <v>0</v>
      </c>
      <c r="AI10" s="15">
        <f t="shared" si="17"/>
        <v>0.13043478260869579</v>
      </c>
      <c r="AJ10" s="15">
        <f t="shared" si="18"/>
        <v>-0.23333333333333339</v>
      </c>
      <c r="AK10" s="5">
        <f t="shared" si="19"/>
        <v>-0.23333333333333339</v>
      </c>
    </row>
    <row r="11" spans="1:37">
      <c r="A11" s="52" t="s">
        <v>312</v>
      </c>
      <c r="B11" s="52" t="s">
        <v>313</v>
      </c>
      <c r="C11" s="104">
        <v>31</v>
      </c>
      <c r="D11" s="104">
        <v>12</v>
      </c>
      <c r="E11" s="104">
        <v>2016</v>
      </c>
      <c r="F11" s="101">
        <v>3.56</v>
      </c>
      <c r="G11" s="101">
        <v>3.23</v>
      </c>
      <c r="H11" s="101">
        <v>2.91</v>
      </c>
      <c r="I11" s="102">
        <v>2.589</v>
      </c>
      <c r="J11" s="58">
        <v>2</v>
      </c>
      <c r="K11" s="58">
        <v>1.9390000000000001</v>
      </c>
      <c r="L11" s="58">
        <v>1.7869999999999999</v>
      </c>
      <c r="M11" s="58">
        <v>1.5549999999999999</v>
      </c>
      <c r="N11" s="58">
        <v>1.339</v>
      </c>
      <c r="O11" s="58">
        <v>1.05</v>
      </c>
      <c r="P11" s="58">
        <v>0.88300000000000001</v>
      </c>
      <c r="Q11" s="57">
        <v>0.87</v>
      </c>
      <c r="R11" s="57">
        <v>0.71</v>
      </c>
      <c r="S11" s="97">
        <f t="shared" si="1"/>
        <v>1.8786153846153846</v>
      </c>
      <c r="T11" s="4">
        <f t="shared" ca="1" si="2"/>
        <v>0</v>
      </c>
      <c r="U11" s="4">
        <f t="shared" ca="1" si="3"/>
        <v>108</v>
      </c>
      <c r="V11" s="4">
        <f t="shared" ca="1" si="4"/>
        <v>252</v>
      </c>
      <c r="W11" s="13">
        <f t="shared" ca="1" si="5"/>
        <v>3.0059999999999998</v>
      </c>
      <c r="X11" s="5">
        <f t="shared" ca="1" si="6"/>
        <v>0.60011465072475634</v>
      </c>
      <c r="Y11" s="15">
        <f t="shared" si="7"/>
        <v>0.10216718266253877</v>
      </c>
      <c r="Z11" s="15">
        <f t="shared" si="8"/>
        <v>0.10996563573883145</v>
      </c>
      <c r="AA11" s="15">
        <f t="shared" si="9"/>
        <v>0.12398609501738123</v>
      </c>
      <c r="AB11" s="15">
        <f t="shared" si="10"/>
        <v>0.29449999999999998</v>
      </c>
      <c r="AC11" s="15">
        <f t="shared" si="11"/>
        <v>3.1459515214027789E-2</v>
      </c>
      <c r="AD11" s="15">
        <f t="shared" si="12"/>
        <v>8.5058757694460141E-2</v>
      </c>
      <c r="AE11" s="15">
        <f t="shared" si="13"/>
        <v>0.14919614147909965</v>
      </c>
      <c r="AF11" s="15">
        <f t="shared" si="14"/>
        <v>0.16131441374159827</v>
      </c>
      <c r="AG11" s="15">
        <f t="shared" si="15"/>
        <v>0.27523809523809506</v>
      </c>
      <c r="AH11" s="15">
        <f t="shared" si="16"/>
        <v>0.18912797281993199</v>
      </c>
      <c r="AI11" s="15">
        <f t="shared" si="17"/>
        <v>1.4942528735632177E-2</v>
      </c>
      <c r="AJ11" s="15">
        <f t="shared" si="18"/>
        <v>0.22535211267605648</v>
      </c>
      <c r="AK11" s="5">
        <f t="shared" si="19"/>
        <v>1.4942528735632177E-2</v>
      </c>
    </row>
    <row r="12" spans="1:37">
      <c r="A12" t="s">
        <v>14</v>
      </c>
      <c r="B12" t="s">
        <v>15</v>
      </c>
      <c r="C12" s="60">
        <v>31</v>
      </c>
      <c r="D12" s="60">
        <v>12</v>
      </c>
      <c r="E12" s="60">
        <v>2016</v>
      </c>
      <c r="F12" s="101">
        <v>4.43</v>
      </c>
      <c r="G12" s="101">
        <v>3.86</v>
      </c>
      <c r="H12" s="101">
        <v>3.53</v>
      </c>
      <c r="I12" s="96">
        <v>2.56</v>
      </c>
      <c r="J12" s="58">
        <v>2.94</v>
      </c>
      <c r="K12" s="57">
        <v>2.78</v>
      </c>
      <c r="L12" s="57">
        <v>2.37</v>
      </c>
      <c r="M12" s="58">
        <v>2.48</v>
      </c>
      <c r="N12" s="58">
        <v>2.0299999999999998</v>
      </c>
      <c r="O12" s="57">
        <v>1.47</v>
      </c>
      <c r="P12" s="57">
        <v>1.55</v>
      </c>
      <c r="Q12" s="57">
        <v>1.59</v>
      </c>
      <c r="R12" s="57">
        <v>1.52</v>
      </c>
      <c r="S12" s="97">
        <f t="shared" si="1"/>
        <v>2.5469230769230773</v>
      </c>
      <c r="T12" s="4">
        <f t="shared" ca="1" si="2"/>
        <v>0</v>
      </c>
      <c r="U12" s="4">
        <f t="shared" ca="1" si="3"/>
        <v>108</v>
      </c>
      <c r="V12" s="4">
        <f t="shared" ca="1" si="4"/>
        <v>252</v>
      </c>
      <c r="W12" s="13">
        <f t="shared" ca="1" si="5"/>
        <v>3.629</v>
      </c>
      <c r="X12" s="5">
        <f t="shared" ca="1" si="6"/>
        <v>0.42485653881002694</v>
      </c>
      <c r="Y12" s="15">
        <f t="shared" si="7"/>
        <v>0.14766839378238328</v>
      </c>
      <c r="Z12" s="15">
        <f t="shared" si="8"/>
        <v>9.3484419263456076E-2</v>
      </c>
      <c r="AA12" s="15">
        <f t="shared" si="9"/>
        <v>0.37890625</v>
      </c>
      <c r="AB12" s="15">
        <f t="shared" si="10"/>
        <v>-0.12925170068027203</v>
      </c>
      <c r="AC12" s="15">
        <f t="shared" si="11"/>
        <v>5.755395683453246E-2</v>
      </c>
      <c r="AD12" s="15">
        <f t="shared" si="12"/>
        <v>0.17299578059071719</v>
      </c>
      <c r="AE12" s="15">
        <f t="shared" si="13"/>
        <v>-4.435483870967738E-2</v>
      </c>
      <c r="AF12" s="15">
        <f t="shared" si="14"/>
        <v>0.2216748768472907</v>
      </c>
      <c r="AG12" s="15">
        <f t="shared" si="15"/>
        <v>0.38095238095238093</v>
      </c>
      <c r="AH12" s="15">
        <f t="shared" si="16"/>
        <v>-5.1612903225806472E-2</v>
      </c>
      <c r="AI12" s="15">
        <f t="shared" si="17"/>
        <v>-2.515723270440251E-2</v>
      </c>
      <c r="AJ12" s="15">
        <f t="shared" si="18"/>
        <v>4.6052631578947345E-2</v>
      </c>
      <c r="AK12" s="5">
        <f t="shared" si="19"/>
        <v>-0.12925170068027203</v>
      </c>
    </row>
    <row r="13" spans="1:37">
      <c r="A13" t="s">
        <v>16</v>
      </c>
      <c r="B13" t="s">
        <v>17</v>
      </c>
      <c r="C13" s="60">
        <v>30</v>
      </c>
      <c r="D13" s="60">
        <v>9</v>
      </c>
      <c r="E13" s="60">
        <v>2016</v>
      </c>
      <c r="F13" s="101">
        <v>7.9</v>
      </c>
      <c r="G13" s="101">
        <v>7.14</v>
      </c>
      <c r="H13" s="101">
        <v>6.4</v>
      </c>
      <c r="I13" s="96">
        <v>8.74</v>
      </c>
      <c r="J13" s="57">
        <v>6.31</v>
      </c>
      <c r="K13" s="57">
        <v>5.03</v>
      </c>
      <c r="L13" s="57">
        <v>5.04</v>
      </c>
      <c r="M13" s="57">
        <v>6.96</v>
      </c>
      <c r="N13" s="57">
        <v>4.4400000000000004</v>
      </c>
      <c r="O13" s="57">
        <v>2.63</v>
      </c>
      <c r="P13" s="58">
        <v>2.02</v>
      </c>
      <c r="Q13" s="58">
        <v>3.86</v>
      </c>
      <c r="R13" s="57">
        <v>3.26</v>
      </c>
      <c r="S13" s="97">
        <f t="shared" si="1"/>
        <v>5.363846153846155</v>
      </c>
      <c r="T13" s="4">
        <f t="shared" ca="1" si="2"/>
        <v>0</v>
      </c>
      <c r="U13" s="4">
        <f t="shared" ca="1" si="3"/>
        <v>199</v>
      </c>
      <c r="V13" s="4">
        <f t="shared" ca="1" si="4"/>
        <v>161</v>
      </c>
      <c r="W13" s="13">
        <f t="shared" ca="1" si="5"/>
        <v>6.8090555555555543</v>
      </c>
      <c r="X13" s="5">
        <f t="shared" ca="1" si="6"/>
        <v>0.2694352821199224</v>
      </c>
      <c r="Y13" s="15">
        <f t="shared" si="7"/>
        <v>0.10644257703081239</v>
      </c>
      <c r="Z13" s="15">
        <f t="shared" si="8"/>
        <v>0.11562499999999987</v>
      </c>
      <c r="AA13" s="15">
        <f t="shared" si="9"/>
        <v>-0.26773455377574373</v>
      </c>
      <c r="AB13" s="15">
        <f t="shared" si="10"/>
        <v>0.38510301109350253</v>
      </c>
      <c r="AC13" s="15">
        <f t="shared" si="11"/>
        <v>0.25447316103379714</v>
      </c>
      <c r="AD13" s="15">
        <f t="shared" si="12"/>
        <v>-1.9841269841269771E-3</v>
      </c>
      <c r="AE13" s="15">
        <f t="shared" si="13"/>
        <v>-0.27586206896551724</v>
      </c>
      <c r="AF13" s="15">
        <f t="shared" si="14"/>
        <v>0.56756756756756732</v>
      </c>
      <c r="AG13" s="15">
        <f t="shared" si="15"/>
        <v>0.68821292775665421</v>
      </c>
      <c r="AH13" s="15">
        <f t="shared" si="16"/>
        <v>0.30198019801980203</v>
      </c>
      <c r="AI13" s="15">
        <f t="shared" si="17"/>
        <v>-0.47668393782383423</v>
      </c>
      <c r="AJ13" s="15">
        <f t="shared" si="18"/>
        <v>0.18404907975460127</v>
      </c>
      <c r="AK13" s="5">
        <f t="shared" si="19"/>
        <v>-0.47668393782383423</v>
      </c>
    </row>
    <row r="14" spans="1:37">
      <c r="A14" t="s">
        <v>18</v>
      </c>
      <c r="B14" t="s">
        <v>19</v>
      </c>
      <c r="C14" s="60">
        <v>31</v>
      </c>
      <c r="D14" s="60">
        <v>12</v>
      </c>
      <c r="E14" s="60">
        <v>2016</v>
      </c>
      <c r="F14" s="101">
        <v>16.2</v>
      </c>
      <c r="G14" s="101">
        <v>15.4</v>
      </c>
      <c r="H14" s="101">
        <v>14.9</v>
      </c>
      <c r="I14" s="96">
        <v>14.55</v>
      </c>
      <c r="J14" s="57">
        <v>13.64</v>
      </c>
      <c r="K14" s="57">
        <v>13.05</v>
      </c>
      <c r="L14" s="57">
        <v>11.34</v>
      </c>
      <c r="M14" s="57">
        <v>5.48</v>
      </c>
      <c r="N14" s="57">
        <v>11.12</v>
      </c>
      <c r="O14" s="57">
        <v>9.5</v>
      </c>
      <c r="P14" s="57">
        <v>-5.47</v>
      </c>
      <c r="Q14" s="57">
        <v>17.71</v>
      </c>
      <c r="R14" s="57">
        <v>16.78</v>
      </c>
      <c r="S14" s="97">
        <f t="shared" si="1"/>
        <v>11.861538461538462</v>
      </c>
      <c r="T14" s="4">
        <f t="shared" ca="1" si="2"/>
        <v>0</v>
      </c>
      <c r="U14" s="4">
        <f t="shared" ca="1" si="3"/>
        <v>108</v>
      </c>
      <c r="V14" s="4">
        <f t="shared" ca="1" si="4"/>
        <v>252</v>
      </c>
      <c r="W14" s="13">
        <f t="shared" ca="1" si="5"/>
        <v>15.05</v>
      </c>
      <c r="X14" s="5">
        <f t="shared" ca="1" si="6"/>
        <v>0.26880674448767827</v>
      </c>
      <c r="Y14" s="15">
        <f t="shared" si="7"/>
        <v>5.1948051948051965E-2</v>
      </c>
      <c r="Z14" s="15">
        <f t="shared" si="8"/>
        <v>3.3557046979865834E-2</v>
      </c>
      <c r="AA14" s="15">
        <f t="shared" si="9"/>
        <v>2.405498281786933E-2</v>
      </c>
      <c r="AB14" s="15">
        <f t="shared" si="10"/>
        <v>6.6715542521994076E-2</v>
      </c>
      <c r="AC14" s="15">
        <f t="shared" si="11"/>
        <v>4.5210727969348552E-2</v>
      </c>
      <c r="AD14" s="15">
        <f t="shared" si="12"/>
        <v>0.15079365079365092</v>
      </c>
      <c r="AE14" s="15">
        <f t="shared" si="13"/>
        <v>1.0693430656934306</v>
      </c>
      <c r="AF14" s="15">
        <f t="shared" si="14"/>
        <v>-0.5071942446043165</v>
      </c>
      <c r="AG14" s="15">
        <f t="shared" si="15"/>
        <v>0.17052631578947364</v>
      </c>
      <c r="AH14" s="15">
        <f t="shared" si="16"/>
        <v>2.7367458866544792</v>
      </c>
      <c r="AI14" s="15">
        <f t="shared" si="17"/>
        <v>-1.3088650479954826</v>
      </c>
      <c r="AJ14" s="15">
        <f t="shared" si="18"/>
        <v>5.5423122765196675E-2</v>
      </c>
      <c r="AK14" s="5">
        <f t="shared" si="19"/>
        <v>-1.3088650479954826</v>
      </c>
    </row>
    <row r="15" spans="1:37">
      <c r="A15" t="s">
        <v>20</v>
      </c>
      <c r="B15" t="s">
        <v>21</v>
      </c>
      <c r="C15" s="60">
        <v>31</v>
      </c>
      <c r="D15" s="60">
        <v>12</v>
      </c>
      <c r="E15" s="60">
        <v>2016</v>
      </c>
      <c r="F15" s="101">
        <v>17.3</v>
      </c>
      <c r="G15" s="101">
        <v>17.100000000000001</v>
      </c>
      <c r="H15" s="101">
        <v>16.8</v>
      </c>
      <c r="I15" s="96">
        <v>18.73</v>
      </c>
      <c r="J15" s="57">
        <v>18.309999999999999</v>
      </c>
      <c r="K15" s="57">
        <v>18.5</v>
      </c>
      <c r="L15" s="57">
        <v>17.98</v>
      </c>
      <c r="M15" s="58">
        <v>9.06</v>
      </c>
      <c r="N15" s="57">
        <v>13.06</v>
      </c>
      <c r="O15" s="57">
        <v>12.95</v>
      </c>
      <c r="P15" s="57">
        <v>7.48</v>
      </c>
      <c r="Q15" s="57">
        <v>17.899999999999999</v>
      </c>
      <c r="R15" s="57">
        <v>15.12</v>
      </c>
      <c r="S15" s="97">
        <f t="shared" si="1"/>
        <v>15.406923076923077</v>
      </c>
      <c r="T15" s="4">
        <f t="shared" ca="1" si="2"/>
        <v>0</v>
      </c>
      <c r="U15" s="4">
        <f t="shared" ca="1" si="3"/>
        <v>108</v>
      </c>
      <c r="V15" s="4">
        <f t="shared" ca="1" si="4"/>
        <v>252</v>
      </c>
      <c r="W15" s="13">
        <f t="shared" ca="1" si="5"/>
        <v>16.89</v>
      </c>
      <c r="X15" s="5">
        <f t="shared" ca="1" si="6"/>
        <v>9.6260422387538069E-2</v>
      </c>
      <c r="Y15" s="15">
        <f t="shared" si="7"/>
        <v>1.1695906432748426E-2</v>
      </c>
      <c r="Z15" s="15">
        <f t="shared" si="8"/>
        <v>1.7857142857142794E-2</v>
      </c>
      <c r="AA15" s="15">
        <f t="shared" si="9"/>
        <v>-0.10304324612920446</v>
      </c>
      <c r="AB15" s="15">
        <f t="shared" si="10"/>
        <v>2.2938285090114752E-2</v>
      </c>
      <c r="AC15" s="15">
        <f t="shared" si="11"/>
        <v>-1.0270270270270387E-2</v>
      </c>
      <c r="AD15" s="15">
        <f t="shared" si="12"/>
        <v>2.8921023359288034E-2</v>
      </c>
      <c r="AE15" s="15">
        <f t="shared" si="13"/>
        <v>0.98454746136865334</v>
      </c>
      <c r="AF15" s="15">
        <f t="shared" si="14"/>
        <v>-0.30627871362940273</v>
      </c>
      <c r="AG15" s="15">
        <f t="shared" si="15"/>
        <v>8.4942084942085661E-3</v>
      </c>
      <c r="AH15" s="15">
        <f t="shared" si="16"/>
        <v>0.73128342245989275</v>
      </c>
      <c r="AI15" s="15">
        <f t="shared" si="17"/>
        <v>-0.58212290502793285</v>
      </c>
      <c r="AJ15" s="15">
        <f t="shared" si="18"/>
        <v>0.18386243386243373</v>
      </c>
      <c r="AK15" s="5">
        <f t="shared" si="19"/>
        <v>-0.58212290502793285</v>
      </c>
    </row>
    <row r="16" spans="1:37">
      <c r="A16" t="s">
        <v>22</v>
      </c>
      <c r="B16" t="s">
        <v>23</v>
      </c>
      <c r="C16" s="60">
        <v>31</v>
      </c>
      <c r="D16" s="60">
        <v>12</v>
      </c>
      <c r="E16" s="60">
        <v>2016</v>
      </c>
      <c r="F16" s="101">
        <v>5.24</v>
      </c>
      <c r="G16" s="101">
        <v>4.54</v>
      </c>
      <c r="H16" s="101">
        <v>4.0999999999999996</v>
      </c>
      <c r="I16" s="102">
        <v>5</v>
      </c>
      <c r="J16" s="58">
        <v>5.44</v>
      </c>
      <c r="K16" s="58">
        <v>5.31</v>
      </c>
      <c r="L16" s="58">
        <v>5.64</v>
      </c>
      <c r="M16" s="58">
        <v>6.26</v>
      </c>
      <c r="N16" s="58">
        <v>5.73</v>
      </c>
      <c r="O16" s="58">
        <v>3.01</v>
      </c>
      <c r="P16" s="58">
        <v>3.85</v>
      </c>
      <c r="Q16" s="57">
        <v>4.16</v>
      </c>
      <c r="R16" s="57">
        <v>3.19</v>
      </c>
      <c r="S16" s="97">
        <f t="shared" si="1"/>
        <v>4.7284615384615387</v>
      </c>
      <c r="T16" s="4">
        <f t="shared" ca="1" si="2"/>
        <v>0</v>
      </c>
      <c r="U16" s="4">
        <f t="shared" ca="1" si="3"/>
        <v>108</v>
      </c>
      <c r="V16" s="4">
        <f t="shared" ca="1" si="4"/>
        <v>252</v>
      </c>
      <c r="W16" s="13">
        <f t="shared" ca="1" si="5"/>
        <v>4.2319999999999993</v>
      </c>
      <c r="X16" s="5">
        <f t="shared" ca="1" si="6"/>
        <v>-0.10499430616560945</v>
      </c>
      <c r="Y16" s="15">
        <f t="shared" si="7"/>
        <v>0.15418502202643181</v>
      </c>
      <c r="Z16" s="15">
        <f t="shared" si="8"/>
        <v>0.1073170731707318</v>
      </c>
      <c r="AA16" s="15">
        <f t="shared" si="9"/>
        <v>-0.18000000000000005</v>
      </c>
      <c r="AB16" s="15">
        <f t="shared" si="10"/>
        <v>-8.0882352941176516E-2</v>
      </c>
      <c r="AC16" s="15">
        <f t="shared" si="11"/>
        <v>2.4482109227872195E-2</v>
      </c>
      <c r="AD16" s="15">
        <f t="shared" si="12"/>
        <v>-5.8510638297872397E-2</v>
      </c>
      <c r="AE16" s="15">
        <f t="shared" si="13"/>
        <v>-9.9041533546325944E-2</v>
      </c>
      <c r="AF16" s="15">
        <f t="shared" si="14"/>
        <v>9.2495636998254582E-2</v>
      </c>
      <c r="AG16" s="15">
        <f t="shared" si="15"/>
        <v>0.90365448504983426</v>
      </c>
      <c r="AH16" s="15">
        <f t="shared" si="16"/>
        <v>-0.21818181818181825</v>
      </c>
      <c r="AI16" s="15">
        <f t="shared" si="17"/>
        <v>-7.4519230769230727E-2</v>
      </c>
      <c r="AJ16" s="15">
        <f t="shared" si="18"/>
        <v>0.30407523510971801</v>
      </c>
      <c r="AK16" s="5">
        <f t="shared" si="19"/>
        <v>-0.21818181818181825</v>
      </c>
    </row>
    <row r="17" spans="1:37">
      <c r="A17" t="s">
        <v>24</v>
      </c>
      <c r="B17" t="s">
        <v>25</v>
      </c>
      <c r="C17" s="60">
        <v>31</v>
      </c>
      <c r="D17" s="60">
        <v>12</v>
      </c>
      <c r="E17" s="60">
        <v>2016</v>
      </c>
      <c r="F17" s="101">
        <v>7.05</v>
      </c>
      <c r="G17" s="101">
        <v>6.44</v>
      </c>
      <c r="H17" s="101">
        <v>5.55</v>
      </c>
      <c r="I17" s="96">
        <v>4.97</v>
      </c>
      <c r="J17" s="58">
        <v>4.55</v>
      </c>
      <c r="K17" s="58">
        <v>4.33</v>
      </c>
      <c r="L17" s="58">
        <v>3.95</v>
      </c>
      <c r="M17" s="58">
        <v>3.56</v>
      </c>
      <c r="N17" s="58">
        <v>2.2400000000000002</v>
      </c>
      <c r="O17" s="58">
        <v>2.27</v>
      </c>
      <c r="P17" s="58">
        <v>2.85</v>
      </c>
      <c r="Q17" s="58">
        <v>2.64</v>
      </c>
      <c r="R17" s="58">
        <v>2.29</v>
      </c>
      <c r="S17" s="97">
        <f t="shared" si="1"/>
        <v>4.0530769230769241</v>
      </c>
      <c r="T17" s="4">
        <f t="shared" ca="1" si="2"/>
        <v>0</v>
      </c>
      <c r="U17" s="4">
        <f t="shared" ca="1" si="3"/>
        <v>108</v>
      </c>
      <c r="V17" s="4">
        <f t="shared" ca="1" si="4"/>
        <v>252</v>
      </c>
      <c r="W17" s="13">
        <f t="shared" ca="1" si="5"/>
        <v>5.8170000000000002</v>
      </c>
      <c r="X17" s="5">
        <f t="shared" ca="1" si="6"/>
        <v>0.43520592142721548</v>
      </c>
      <c r="Y17" s="15">
        <f t="shared" si="7"/>
        <v>9.4720496894409756E-2</v>
      </c>
      <c r="Z17" s="15">
        <f t="shared" si="8"/>
        <v>0.1603603603603605</v>
      </c>
      <c r="AA17" s="15">
        <f t="shared" si="9"/>
        <v>0.11670020120724356</v>
      </c>
      <c r="AB17" s="15">
        <f t="shared" si="10"/>
        <v>9.2307692307692202E-2</v>
      </c>
      <c r="AC17" s="15">
        <f t="shared" si="11"/>
        <v>5.0808314087759765E-2</v>
      </c>
      <c r="AD17" s="15">
        <f t="shared" si="12"/>
        <v>9.6202531645569689E-2</v>
      </c>
      <c r="AE17" s="15">
        <f t="shared" si="13"/>
        <v>0.1095505617977528</v>
      </c>
      <c r="AF17" s="15">
        <f t="shared" si="14"/>
        <v>0.58928571428571419</v>
      </c>
      <c r="AG17" s="15">
        <f t="shared" si="15"/>
        <v>-1.3215859030836885E-2</v>
      </c>
      <c r="AH17" s="15">
        <f t="shared" si="16"/>
        <v>-0.20350877192982453</v>
      </c>
      <c r="AI17" s="15">
        <f t="shared" si="17"/>
        <v>7.9545454545454586E-2</v>
      </c>
      <c r="AJ17" s="15">
        <f t="shared" si="18"/>
        <v>0.15283842794759828</v>
      </c>
      <c r="AK17" s="5">
        <f t="shared" si="19"/>
        <v>-0.20350877192982453</v>
      </c>
    </row>
    <row r="18" spans="1:37">
      <c r="A18" s="52" t="s">
        <v>268</v>
      </c>
      <c r="B18" s="52" t="s">
        <v>274</v>
      </c>
      <c r="C18" s="104">
        <v>31</v>
      </c>
      <c r="D18" s="104">
        <v>12</v>
      </c>
      <c r="E18" s="104">
        <v>2016</v>
      </c>
      <c r="F18" s="101">
        <v>19.600000000000001</v>
      </c>
      <c r="G18" s="101">
        <v>17.399999999999999</v>
      </c>
      <c r="H18" s="101">
        <v>15.5</v>
      </c>
      <c r="I18" s="96">
        <v>13.52</v>
      </c>
      <c r="J18" s="57">
        <v>10.07</v>
      </c>
      <c r="K18" s="57">
        <v>9.35</v>
      </c>
      <c r="L18" s="57">
        <v>7.77</v>
      </c>
      <c r="M18" s="57">
        <v>6</v>
      </c>
      <c r="N18" s="57">
        <v>4.92</v>
      </c>
      <c r="O18" s="57">
        <v>3.56</v>
      </c>
      <c r="P18" s="57">
        <v>3.11</v>
      </c>
      <c r="Q18" s="57">
        <v>2.68</v>
      </c>
      <c r="R18" s="57">
        <v>2</v>
      </c>
      <c r="S18" s="97">
        <f t="shared" si="1"/>
        <v>8.8830769230769242</v>
      </c>
      <c r="T18" s="4">
        <f t="shared" ca="1" si="2"/>
        <v>0</v>
      </c>
      <c r="U18" s="4">
        <f t="shared" ca="1" si="3"/>
        <v>108</v>
      </c>
      <c r="V18" s="4">
        <f t="shared" ca="1" si="4"/>
        <v>252</v>
      </c>
      <c r="W18" s="13">
        <f t="shared" ca="1" si="5"/>
        <v>16.07</v>
      </c>
      <c r="X18" s="5">
        <f t="shared" ca="1" si="6"/>
        <v>0.80905784551437465</v>
      </c>
      <c r="Y18" s="15">
        <f t="shared" si="7"/>
        <v>0.12643678160919558</v>
      </c>
      <c r="Z18" s="15">
        <f t="shared" si="8"/>
        <v>0.1225806451612903</v>
      </c>
      <c r="AA18" s="15">
        <f t="shared" si="9"/>
        <v>0.14644970414201186</v>
      </c>
      <c r="AB18" s="15">
        <f t="shared" si="10"/>
        <v>0.34260178748758685</v>
      </c>
      <c r="AC18" s="15">
        <f t="shared" si="11"/>
        <v>7.7005347593583018E-2</v>
      </c>
      <c r="AD18" s="15">
        <f t="shared" si="12"/>
        <v>0.20334620334620346</v>
      </c>
      <c r="AE18" s="15">
        <f t="shared" si="13"/>
        <v>0.29499999999999993</v>
      </c>
      <c r="AF18" s="15">
        <f t="shared" si="14"/>
        <v>0.21951219512195119</v>
      </c>
      <c r="AG18" s="15">
        <f t="shared" si="15"/>
        <v>0.3820224719101124</v>
      </c>
      <c r="AH18" s="15">
        <f t="shared" si="16"/>
        <v>0.14469453376205799</v>
      </c>
      <c r="AI18" s="15">
        <f t="shared" si="17"/>
        <v>0.16044776119402981</v>
      </c>
      <c r="AJ18" s="15">
        <f t="shared" si="18"/>
        <v>0.34000000000000008</v>
      </c>
      <c r="AK18" s="5">
        <f t="shared" si="19"/>
        <v>7.7005347593583018E-2</v>
      </c>
    </row>
    <row r="19" spans="1:37">
      <c r="A19" t="s">
        <v>26</v>
      </c>
      <c r="B19" t="s">
        <v>27</v>
      </c>
      <c r="C19" s="60">
        <v>31</v>
      </c>
      <c r="D19" s="60">
        <v>12</v>
      </c>
      <c r="E19" s="60">
        <v>2016</v>
      </c>
      <c r="F19" s="101">
        <v>0.82</v>
      </c>
      <c r="G19" s="101">
        <v>0.75</v>
      </c>
      <c r="H19" s="101">
        <v>0.69</v>
      </c>
      <c r="I19" s="96">
        <v>0.52</v>
      </c>
      <c r="J19" s="57">
        <v>0.61</v>
      </c>
      <c r="K19" s="57">
        <v>1.01</v>
      </c>
      <c r="L19" s="57">
        <v>0.87</v>
      </c>
      <c r="M19" s="57">
        <v>1.2</v>
      </c>
      <c r="N19" s="57">
        <v>2.25</v>
      </c>
      <c r="O19" s="57">
        <v>1.71</v>
      </c>
      <c r="P19" s="57">
        <v>1.63</v>
      </c>
      <c r="Q19" s="57">
        <v>1.87</v>
      </c>
      <c r="R19" s="57">
        <v>1.3</v>
      </c>
      <c r="S19" s="97">
        <f t="shared" si="1"/>
        <v>1.1715384615384616</v>
      </c>
      <c r="T19" s="4">
        <f t="shared" ca="1" si="2"/>
        <v>0</v>
      </c>
      <c r="U19" s="4">
        <f t="shared" ca="1" si="3"/>
        <v>108</v>
      </c>
      <c r="V19" s="4">
        <f t="shared" ca="1" si="4"/>
        <v>252</v>
      </c>
      <c r="W19" s="13">
        <f t="shared" ca="1" si="5"/>
        <v>0.70799999999999996</v>
      </c>
      <c r="X19" s="5">
        <f t="shared" ca="1" si="6"/>
        <v>-0.39566644780039406</v>
      </c>
      <c r="Y19" s="15">
        <f t="shared" si="7"/>
        <v>9.3333333333333268E-2</v>
      </c>
      <c r="Z19" s="15">
        <f t="shared" si="8"/>
        <v>8.6956521739130599E-2</v>
      </c>
      <c r="AA19" s="15">
        <f t="shared" si="9"/>
        <v>0.32692307692307687</v>
      </c>
      <c r="AB19" s="15">
        <f t="shared" si="10"/>
        <v>-0.14754098360655732</v>
      </c>
      <c r="AC19" s="15">
        <f t="shared" si="11"/>
        <v>-0.39603960396039606</v>
      </c>
      <c r="AD19" s="15">
        <f t="shared" si="12"/>
        <v>0.16091954022988508</v>
      </c>
      <c r="AE19" s="15">
        <f t="shared" si="13"/>
        <v>-0.27500000000000002</v>
      </c>
      <c r="AF19" s="15">
        <f t="shared" si="14"/>
        <v>-0.46666666666666667</v>
      </c>
      <c r="AG19" s="15">
        <f t="shared" si="15"/>
        <v>0.31578947368421062</v>
      </c>
      <c r="AH19" s="15">
        <f t="shared" si="16"/>
        <v>4.9079754601226933E-2</v>
      </c>
      <c r="AI19" s="15">
        <f t="shared" si="17"/>
        <v>-0.12834224598930488</v>
      </c>
      <c r="AJ19" s="15">
        <f t="shared" si="18"/>
        <v>0.43846153846153846</v>
      </c>
      <c r="AK19" s="5">
        <f t="shared" si="19"/>
        <v>-0.46666666666666667</v>
      </c>
    </row>
    <row r="20" spans="1:37">
      <c r="A20" t="s">
        <v>81</v>
      </c>
      <c r="B20" t="s">
        <v>189</v>
      </c>
      <c r="C20" s="60">
        <v>31</v>
      </c>
      <c r="D20" s="60">
        <v>12</v>
      </c>
      <c r="E20" s="60">
        <v>2016</v>
      </c>
      <c r="F20" s="101">
        <v>7.33</v>
      </c>
      <c r="G20" s="101">
        <v>6.84</v>
      </c>
      <c r="H20" s="101">
        <v>6.42</v>
      </c>
      <c r="I20" s="96">
        <v>6.18</v>
      </c>
      <c r="J20" s="57">
        <v>5.34</v>
      </c>
      <c r="K20" s="57">
        <v>5.13</v>
      </c>
      <c r="L20" s="57">
        <v>4.91</v>
      </c>
      <c r="M20" s="57">
        <v>4.32</v>
      </c>
      <c r="N20" s="57">
        <v>4.01</v>
      </c>
      <c r="O20" s="57">
        <v>3.42</v>
      </c>
      <c r="P20" s="57">
        <v>3.49</v>
      </c>
      <c r="Q20" s="57">
        <v>3.36</v>
      </c>
      <c r="R20" s="57">
        <v>2.98</v>
      </c>
      <c r="S20" s="97">
        <f t="shared" si="1"/>
        <v>4.9023076923076925</v>
      </c>
      <c r="T20" s="4">
        <f t="shared" ca="1" si="2"/>
        <v>0</v>
      </c>
      <c r="U20" s="4">
        <f t="shared" ca="1" si="3"/>
        <v>108</v>
      </c>
      <c r="V20" s="4">
        <f t="shared" ca="1" si="4"/>
        <v>252</v>
      </c>
      <c r="W20" s="13">
        <f t="shared" ca="1" si="5"/>
        <v>6.5459999999999994</v>
      </c>
      <c r="X20" s="5">
        <f t="shared" ca="1" si="6"/>
        <v>0.33528950258904744</v>
      </c>
      <c r="Y20" s="15">
        <f t="shared" si="7"/>
        <v>7.1637426900584833E-2</v>
      </c>
      <c r="Z20" s="15">
        <f t="shared" si="8"/>
        <v>6.5420560747663448E-2</v>
      </c>
      <c r="AA20" s="15">
        <f t="shared" si="9"/>
        <v>3.8834951456310662E-2</v>
      </c>
      <c r="AB20" s="15">
        <f t="shared" si="10"/>
        <v>0.15730337078651679</v>
      </c>
      <c r="AC20" s="15">
        <f t="shared" si="11"/>
        <v>4.0935672514619936E-2</v>
      </c>
      <c r="AD20" s="15">
        <f t="shared" si="12"/>
        <v>4.4806517311609007E-2</v>
      </c>
      <c r="AE20" s="15">
        <f t="shared" si="13"/>
        <v>0.13657407407407396</v>
      </c>
      <c r="AF20" s="15">
        <f t="shared" si="14"/>
        <v>7.7306733167082475E-2</v>
      </c>
      <c r="AG20" s="15">
        <f t="shared" si="15"/>
        <v>0.17251461988304095</v>
      </c>
      <c r="AH20" s="15">
        <f t="shared" si="16"/>
        <v>-2.0057306590257951E-2</v>
      </c>
      <c r="AI20" s="15">
        <f t="shared" si="17"/>
        <v>3.8690476190476275E-2</v>
      </c>
      <c r="AJ20" s="15">
        <f t="shared" si="18"/>
        <v>0.12751677852348986</v>
      </c>
      <c r="AK20" s="5">
        <f t="shared" si="19"/>
        <v>-2.0057306590257951E-2</v>
      </c>
    </row>
    <row r="21" spans="1:37">
      <c r="A21" t="s">
        <v>82</v>
      </c>
      <c r="B21" t="s">
        <v>190</v>
      </c>
      <c r="C21" s="60">
        <v>31</v>
      </c>
      <c r="D21" s="60">
        <v>12</v>
      </c>
      <c r="E21" s="60">
        <v>2016</v>
      </c>
      <c r="F21" s="101">
        <v>4.8</v>
      </c>
      <c r="G21" s="101">
        <v>4.82</v>
      </c>
      <c r="H21" s="101">
        <v>4.4400000000000004</v>
      </c>
      <c r="I21" s="102">
        <v>4.59</v>
      </c>
      <c r="J21" s="58">
        <v>4.05</v>
      </c>
      <c r="K21" s="58">
        <v>3.56</v>
      </c>
      <c r="L21" s="58">
        <v>4.5199999999999996</v>
      </c>
      <c r="M21" s="58">
        <v>5.04</v>
      </c>
      <c r="N21" s="58">
        <v>5.26</v>
      </c>
      <c r="O21" s="58">
        <v>4.7699999999999996</v>
      </c>
      <c r="P21" s="58">
        <v>3.83</v>
      </c>
      <c r="Q21" s="58">
        <v>3.87</v>
      </c>
      <c r="R21" s="57">
        <v>2.95</v>
      </c>
      <c r="S21" s="97">
        <f t="shared" si="1"/>
        <v>4.3461538461538458</v>
      </c>
      <c r="T21" s="4">
        <f t="shared" ca="1" si="2"/>
        <v>0</v>
      </c>
      <c r="U21" s="4">
        <f t="shared" ca="1" si="3"/>
        <v>108</v>
      </c>
      <c r="V21" s="4">
        <f t="shared" ca="1" si="4"/>
        <v>252</v>
      </c>
      <c r="W21" s="13">
        <f t="shared" ca="1" si="5"/>
        <v>4.5540000000000003</v>
      </c>
      <c r="X21" s="5">
        <f t="shared" ca="1" si="6"/>
        <v>4.7823008849557702E-2</v>
      </c>
      <c r="Y21" s="15">
        <f t="shared" si="7"/>
        <v>-4.1493775933610921E-3</v>
      </c>
      <c r="Z21" s="15">
        <f t="shared" si="8"/>
        <v>8.55855855855856E-2</v>
      </c>
      <c r="AA21" s="15">
        <f t="shared" si="9"/>
        <v>-3.2679738562091387E-2</v>
      </c>
      <c r="AB21" s="15">
        <f t="shared" si="10"/>
        <v>0.1333333333333333</v>
      </c>
      <c r="AC21" s="15">
        <f t="shared" si="11"/>
        <v>0.13764044943820219</v>
      </c>
      <c r="AD21" s="15">
        <f t="shared" si="12"/>
        <v>-0.21238938053097334</v>
      </c>
      <c r="AE21" s="15">
        <f t="shared" si="13"/>
        <v>-0.10317460317460325</v>
      </c>
      <c r="AF21" s="15">
        <f t="shared" si="14"/>
        <v>-4.1825095057034134E-2</v>
      </c>
      <c r="AG21" s="15">
        <f t="shared" si="15"/>
        <v>0.1027253668763104</v>
      </c>
      <c r="AH21" s="15">
        <f t="shared" si="16"/>
        <v>0.2454308093994777</v>
      </c>
      <c r="AI21" s="15">
        <f t="shared" si="17"/>
        <v>-1.033591731266148E-2</v>
      </c>
      <c r="AJ21" s="15">
        <f t="shared" si="18"/>
        <v>0.31186440677966099</v>
      </c>
      <c r="AK21" s="5">
        <f t="shared" si="19"/>
        <v>-0.21238938053097334</v>
      </c>
    </row>
    <row r="22" spans="1:37">
      <c r="A22" t="s">
        <v>28</v>
      </c>
      <c r="B22" t="s">
        <v>29</v>
      </c>
      <c r="C22" s="60">
        <v>31</v>
      </c>
      <c r="D22" s="60">
        <v>12</v>
      </c>
      <c r="E22" s="60">
        <v>2016</v>
      </c>
      <c r="F22" s="101">
        <v>3.51</v>
      </c>
      <c r="G22" s="101">
        <v>3.27</v>
      </c>
      <c r="H22" s="101">
        <v>3.01</v>
      </c>
      <c r="I22" s="96">
        <v>2.1</v>
      </c>
      <c r="J22" s="58">
        <v>2.62</v>
      </c>
      <c r="K22" s="58">
        <v>2.78</v>
      </c>
      <c r="L22" s="58">
        <v>3.01</v>
      </c>
      <c r="M22" s="58">
        <v>2.89</v>
      </c>
      <c r="N22" s="58">
        <v>2.72</v>
      </c>
      <c r="O22" s="58">
        <v>2.57</v>
      </c>
      <c r="P22" s="58">
        <v>2.66</v>
      </c>
      <c r="Q22" s="58">
        <v>2.4700000000000002</v>
      </c>
      <c r="R22" s="58">
        <v>2.44</v>
      </c>
      <c r="S22" s="97">
        <f t="shared" si="1"/>
        <v>2.773076923076923</v>
      </c>
      <c r="T22" s="4">
        <f t="shared" ca="1" si="2"/>
        <v>0</v>
      </c>
      <c r="U22" s="4">
        <f t="shared" ca="1" si="3"/>
        <v>108</v>
      </c>
      <c r="V22" s="4">
        <f t="shared" ca="1" si="4"/>
        <v>252</v>
      </c>
      <c r="W22" s="13">
        <f t="shared" ca="1" si="5"/>
        <v>3.0880000000000001</v>
      </c>
      <c r="X22" s="5">
        <f t="shared" ca="1" si="6"/>
        <v>0.11356449375866862</v>
      </c>
      <c r="Y22" s="15">
        <f t="shared" si="7"/>
        <v>7.3394495412844041E-2</v>
      </c>
      <c r="Z22" s="15">
        <f t="shared" si="8"/>
        <v>8.6378737541528361E-2</v>
      </c>
      <c r="AA22" s="15">
        <f t="shared" si="9"/>
        <v>0.43333333333333313</v>
      </c>
      <c r="AB22" s="15">
        <f t="shared" si="10"/>
        <v>-0.19847328244274809</v>
      </c>
      <c r="AC22" s="15">
        <f t="shared" si="11"/>
        <v>-5.7553956834532238E-2</v>
      </c>
      <c r="AD22" s="15">
        <f t="shared" si="12"/>
        <v>-7.6411960132890311E-2</v>
      </c>
      <c r="AE22" s="15">
        <f t="shared" si="13"/>
        <v>4.1522491349480939E-2</v>
      </c>
      <c r="AF22" s="15">
        <f t="shared" si="14"/>
        <v>6.25E-2</v>
      </c>
      <c r="AG22" s="15">
        <f t="shared" si="15"/>
        <v>5.836575875486405E-2</v>
      </c>
      <c r="AH22" s="15">
        <f t="shared" si="16"/>
        <v>-3.383458646616555E-2</v>
      </c>
      <c r="AI22" s="15">
        <f t="shared" si="17"/>
        <v>7.6923076923076872E-2</v>
      </c>
      <c r="AJ22" s="15">
        <f t="shared" si="18"/>
        <v>1.2295081967213184E-2</v>
      </c>
      <c r="AK22" s="5">
        <f t="shared" si="19"/>
        <v>-0.19847328244274809</v>
      </c>
    </row>
    <row r="23" spans="1:37">
      <c r="A23" t="s">
        <v>30</v>
      </c>
      <c r="B23" t="s">
        <v>31</v>
      </c>
      <c r="C23" s="60">
        <v>31</v>
      </c>
      <c r="D23" s="60">
        <v>12</v>
      </c>
      <c r="E23" s="60">
        <v>2016</v>
      </c>
      <c r="F23" s="101">
        <v>2.6</v>
      </c>
      <c r="G23" s="101">
        <v>2.17</v>
      </c>
      <c r="H23" s="101">
        <v>2.13</v>
      </c>
      <c r="I23" s="96">
        <v>2.2999999999999998</v>
      </c>
      <c r="J23" s="57">
        <v>1.67</v>
      </c>
      <c r="K23" s="57">
        <v>2.0499999999999998</v>
      </c>
      <c r="L23" s="57">
        <v>1.97</v>
      </c>
      <c r="M23" s="57">
        <v>1.56</v>
      </c>
      <c r="N23" s="57">
        <v>1.44</v>
      </c>
      <c r="O23" s="57">
        <v>1.36</v>
      </c>
      <c r="P23" s="57">
        <v>1.23</v>
      </c>
      <c r="Q23" s="57">
        <v>1.04</v>
      </c>
      <c r="R23" s="57">
        <v>0.98599999999999999</v>
      </c>
      <c r="S23" s="97">
        <f t="shared" si="1"/>
        <v>1.7312307692307694</v>
      </c>
      <c r="T23" s="4">
        <f t="shared" ca="1" si="2"/>
        <v>0</v>
      </c>
      <c r="U23" s="4">
        <f t="shared" ca="1" si="3"/>
        <v>108</v>
      </c>
      <c r="V23" s="4">
        <f t="shared" ca="1" si="4"/>
        <v>252</v>
      </c>
      <c r="W23" s="13">
        <f t="shared" ca="1" si="5"/>
        <v>2.1419999999999999</v>
      </c>
      <c r="X23" s="5">
        <f t="shared" ca="1" si="6"/>
        <v>0.23727006131698203</v>
      </c>
      <c r="Y23" s="15">
        <f t="shared" si="7"/>
        <v>0.19815668202764991</v>
      </c>
      <c r="Z23" s="15">
        <f t="shared" si="8"/>
        <v>1.8779342723004744E-2</v>
      </c>
      <c r="AA23" s="15">
        <f t="shared" si="9"/>
        <v>-7.3913043478260887E-2</v>
      </c>
      <c r="AB23" s="15">
        <f t="shared" si="10"/>
        <v>0.3772455089820359</v>
      </c>
      <c r="AC23" s="15">
        <f t="shared" si="11"/>
        <v>-0.18536585365853653</v>
      </c>
      <c r="AD23" s="15">
        <f t="shared" si="12"/>
        <v>4.0609137055837463E-2</v>
      </c>
      <c r="AE23" s="15">
        <f t="shared" si="13"/>
        <v>0.26282051282051277</v>
      </c>
      <c r="AF23" s="15">
        <f t="shared" si="14"/>
        <v>8.3333333333333481E-2</v>
      </c>
      <c r="AG23" s="15">
        <f t="shared" si="15"/>
        <v>5.8823529411764497E-2</v>
      </c>
      <c r="AH23" s="15">
        <f t="shared" si="16"/>
        <v>0.10569105691056913</v>
      </c>
      <c r="AI23" s="15">
        <f t="shared" si="17"/>
        <v>0.18269230769230771</v>
      </c>
      <c r="AJ23" s="15">
        <f t="shared" si="18"/>
        <v>5.476673427991896E-2</v>
      </c>
      <c r="AK23" s="5">
        <f t="shared" si="19"/>
        <v>-0.18536585365853653</v>
      </c>
    </row>
    <row r="24" spans="1:37">
      <c r="A24" t="s">
        <v>32</v>
      </c>
      <c r="B24" t="s">
        <v>33</v>
      </c>
      <c r="C24" s="60">
        <v>30</v>
      </c>
      <c r="D24" s="60">
        <v>9</v>
      </c>
      <c r="E24" s="60">
        <v>2016</v>
      </c>
      <c r="F24" s="101">
        <v>2.25</v>
      </c>
      <c r="G24" s="101">
        <v>2.15</v>
      </c>
      <c r="H24" s="101">
        <v>1.99</v>
      </c>
      <c r="I24" s="96">
        <v>1.77</v>
      </c>
      <c r="J24" s="57">
        <v>1.48</v>
      </c>
      <c r="K24" s="57">
        <v>0.96</v>
      </c>
      <c r="L24" s="57">
        <v>0.68</v>
      </c>
      <c r="M24" s="57">
        <v>1.77</v>
      </c>
      <c r="N24" s="57">
        <v>1.48</v>
      </c>
      <c r="O24" s="57">
        <v>0.65</v>
      </c>
      <c r="P24" s="57">
        <v>0.5</v>
      </c>
      <c r="Q24" s="57">
        <v>1.1599999999999999</v>
      </c>
      <c r="R24" s="57"/>
      <c r="S24" s="97">
        <f t="shared" si="1"/>
        <v>1.4033333333333333</v>
      </c>
      <c r="T24" s="4">
        <f t="shared" ca="1" si="2"/>
        <v>0</v>
      </c>
      <c r="U24" s="4">
        <f t="shared" ca="1" si="3"/>
        <v>199</v>
      </c>
      <c r="V24" s="4">
        <f t="shared" ca="1" si="4"/>
        <v>161</v>
      </c>
      <c r="W24" s="13">
        <f t="shared" ca="1" si="5"/>
        <v>2.0784444444444445</v>
      </c>
      <c r="X24" s="5">
        <f t="shared" ca="1" si="6"/>
        <v>0.48107680126682517</v>
      </c>
      <c r="Y24" s="15">
        <f t="shared" si="7"/>
        <v>4.6511627906976827E-2</v>
      </c>
      <c r="Z24" s="15">
        <f t="shared" si="8"/>
        <v>8.040201005025116E-2</v>
      </c>
      <c r="AA24" s="15">
        <f t="shared" si="9"/>
        <v>0.12429378531073443</v>
      </c>
      <c r="AB24" s="15">
        <f t="shared" si="10"/>
        <v>0.19594594594594605</v>
      </c>
      <c r="AC24" s="15">
        <f t="shared" si="11"/>
        <v>0.54166666666666674</v>
      </c>
      <c r="AD24" s="15">
        <f t="shared" si="12"/>
        <v>0.41176470588235281</v>
      </c>
      <c r="AE24" s="15">
        <f t="shared" si="13"/>
        <v>-0.61581920903954801</v>
      </c>
      <c r="AF24" s="15">
        <f t="shared" si="14"/>
        <v>0.19594594594594605</v>
      </c>
      <c r="AG24" s="15">
        <f t="shared" si="15"/>
        <v>1.2769230769230768</v>
      </c>
      <c r="AH24" s="15">
        <f t="shared" si="16"/>
        <v>0.30000000000000004</v>
      </c>
      <c r="AI24" s="15">
        <f t="shared" si="17"/>
        <v>-0.56896551724137923</v>
      </c>
      <c r="AJ24" s="15">
        <f t="shared" si="18"/>
        <v>99.999989999999997</v>
      </c>
      <c r="AK24" s="5">
        <f t="shared" si="19"/>
        <v>-0.61581920903954801</v>
      </c>
    </row>
    <row r="25" spans="1:37">
      <c r="A25" t="s">
        <v>34</v>
      </c>
      <c r="B25" t="s">
        <v>35</v>
      </c>
      <c r="C25" s="60">
        <v>31</v>
      </c>
      <c r="D25" s="60">
        <v>3</v>
      </c>
      <c r="E25" s="60">
        <v>2016</v>
      </c>
      <c r="F25" s="101">
        <v>6.6299999999999998E-2</v>
      </c>
      <c r="G25" s="101">
        <v>4.41E-2</v>
      </c>
      <c r="H25" s="101">
        <v>1.01E-2</v>
      </c>
      <c r="I25" s="96">
        <v>0.22</v>
      </c>
      <c r="J25" s="58">
        <v>0.41699999999999998</v>
      </c>
      <c r="K25" s="57">
        <v>8.6999999999999994E-3</v>
      </c>
      <c r="L25" s="57">
        <v>0.14000000000000001</v>
      </c>
      <c r="M25" s="57">
        <v>0.15</v>
      </c>
      <c r="N25" s="57">
        <v>0.16</v>
      </c>
      <c r="O25" s="57">
        <v>0.06</v>
      </c>
      <c r="P25" s="57">
        <v>0.13</v>
      </c>
      <c r="Q25" s="57">
        <v>-0.1</v>
      </c>
      <c r="R25" s="57">
        <v>-0.28000000000000003</v>
      </c>
      <c r="S25" s="97">
        <f t="shared" si="1"/>
        <v>7.8938461538461541E-2</v>
      </c>
      <c r="T25" s="4">
        <f t="shared" ca="1" si="2"/>
        <v>18</v>
      </c>
      <c r="U25" s="4">
        <f t="shared" ca="1" si="3"/>
        <v>342</v>
      </c>
      <c r="V25" s="4">
        <f t="shared" ca="1" si="4"/>
        <v>0</v>
      </c>
      <c r="W25" s="13">
        <f t="shared" ca="1" si="5"/>
        <v>4.521E-2</v>
      </c>
      <c r="X25" s="5">
        <f t="shared" ca="1" si="6"/>
        <v>-0.42727538491522121</v>
      </c>
      <c r="Y25" s="15">
        <f t="shared" si="7"/>
        <v>0.50340136054421758</v>
      </c>
      <c r="Z25" s="15">
        <f t="shared" si="8"/>
        <v>3.3663366336633667</v>
      </c>
      <c r="AA25" s="15">
        <f t="shared" si="9"/>
        <v>-0.9540909090909091</v>
      </c>
      <c r="AB25" s="15">
        <f t="shared" si="10"/>
        <v>-0.47242206235011985</v>
      </c>
      <c r="AC25" s="15">
        <f t="shared" si="11"/>
        <v>46.931034482758619</v>
      </c>
      <c r="AD25" s="15">
        <f t="shared" si="12"/>
        <v>-0.93785714285714283</v>
      </c>
      <c r="AE25" s="15">
        <f t="shared" si="13"/>
        <v>-6.6666666666666541E-2</v>
      </c>
      <c r="AF25" s="15">
        <f t="shared" si="14"/>
        <v>-6.25E-2</v>
      </c>
      <c r="AG25" s="15">
        <f t="shared" si="15"/>
        <v>1.666666666666667</v>
      </c>
      <c r="AH25" s="15">
        <f t="shared" si="16"/>
        <v>-0.53846153846153855</v>
      </c>
      <c r="AI25" s="15">
        <f t="shared" si="17"/>
        <v>2.2999999999999998</v>
      </c>
      <c r="AJ25" s="15">
        <f t="shared" si="18"/>
        <v>0.64285714285714279</v>
      </c>
      <c r="AK25" s="5">
        <f t="shared" si="19"/>
        <v>-0.9540909090909091</v>
      </c>
    </row>
    <row r="26" spans="1:37">
      <c r="A26" s="52" t="s">
        <v>277</v>
      </c>
      <c r="B26" s="52" t="s">
        <v>278</v>
      </c>
      <c r="C26" s="104">
        <v>31</v>
      </c>
      <c r="D26" s="104">
        <v>8</v>
      </c>
      <c r="E26" s="104">
        <v>2016</v>
      </c>
      <c r="F26" s="101">
        <v>6.31</v>
      </c>
      <c r="G26" s="101">
        <v>5.76</v>
      </c>
      <c r="H26" s="101">
        <v>5.6</v>
      </c>
      <c r="I26" s="102">
        <v>4.82</v>
      </c>
      <c r="J26" s="57">
        <v>4.5199999999999996</v>
      </c>
      <c r="K26" s="58">
        <v>4.21</v>
      </c>
      <c r="L26" s="57">
        <v>3.84</v>
      </c>
      <c r="M26" s="57">
        <v>3.4</v>
      </c>
      <c r="N26" s="57">
        <v>2.66</v>
      </c>
      <c r="O26" s="58">
        <v>2.68</v>
      </c>
      <c r="P26" s="57">
        <v>2.65</v>
      </c>
      <c r="Q26" s="57">
        <v>1.97</v>
      </c>
      <c r="R26" s="58">
        <v>1.61</v>
      </c>
      <c r="S26" s="97">
        <f t="shared" si="1"/>
        <v>3.8484615384615384</v>
      </c>
      <c r="T26" s="4">
        <f t="shared" ca="1" si="2"/>
        <v>0</v>
      </c>
      <c r="U26" s="4">
        <f t="shared" ca="1" si="3"/>
        <v>228</v>
      </c>
      <c r="V26" s="4">
        <f t="shared" ca="1" si="4"/>
        <v>132</v>
      </c>
      <c r="W26" s="13">
        <f t="shared" ca="1" si="5"/>
        <v>5.7013333333333334</v>
      </c>
      <c r="X26" s="5">
        <f t="shared" ca="1" si="6"/>
        <v>0.48145779199147176</v>
      </c>
      <c r="Y26" s="15">
        <f t="shared" si="7"/>
        <v>9.548611111111116E-2</v>
      </c>
      <c r="Z26" s="15">
        <f t="shared" si="8"/>
        <v>2.8571428571428692E-2</v>
      </c>
      <c r="AA26" s="15">
        <f t="shared" si="9"/>
        <v>0.16182572614107871</v>
      </c>
      <c r="AB26" s="15">
        <f t="shared" si="10"/>
        <v>6.6371681415929418E-2</v>
      </c>
      <c r="AC26" s="15">
        <f t="shared" si="11"/>
        <v>7.3634204275534243E-2</v>
      </c>
      <c r="AD26" s="15">
        <f t="shared" si="12"/>
        <v>9.6354166666666741E-2</v>
      </c>
      <c r="AE26" s="15">
        <f t="shared" si="13"/>
        <v>0.12941176470588234</v>
      </c>
      <c r="AF26" s="15">
        <f t="shared" si="14"/>
        <v>0.27819548872180433</v>
      </c>
      <c r="AG26" s="15">
        <f t="shared" si="15"/>
        <v>-7.4626865671642006E-3</v>
      </c>
      <c r="AH26" s="15">
        <f t="shared" si="16"/>
        <v>1.132075471698113E-2</v>
      </c>
      <c r="AI26" s="15">
        <f t="shared" si="17"/>
        <v>0.34517766497461921</v>
      </c>
      <c r="AJ26" s="15">
        <f t="shared" si="18"/>
        <v>0.22360248447204967</v>
      </c>
      <c r="AK26" s="5">
        <f t="shared" si="19"/>
        <v>-7.4626865671642006E-3</v>
      </c>
    </row>
    <row r="27" spans="1:37">
      <c r="A27" t="s">
        <v>36</v>
      </c>
      <c r="B27" t="s">
        <v>37</v>
      </c>
      <c r="C27" s="60">
        <v>31</v>
      </c>
      <c r="D27" s="60">
        <v>12</v>
      </c>
      <c r="E27" s="60">
        <v>2016</v>
      </c>
      <c r="F27" s="101">
        <v>2.21</v>
      </c>
      <c r="G27" s="101">
        <v>2.0299999999999998</v>
      </c>
      <c r="H27" s="101">
        <v>1.89</v>
      </c>
      <c r="I27" s="96">
        <v>1.72</v>
      </c>
      <c r="J27" s="57">
        <v>1.79</v>
      </c>
      <c r="K27" s="57">
        <v>1.66</v>
      </c>
      <c r="L27" s="57">
        <v>1.54</v>
      </c>
      <c r="M27" s="57">
        <v>1.46</v>
      </c>
      <c r="N27" s="57">
        <v>1.46</v>
      </c>
      <c r="O27" s="57">
        <v>1.17</v>
      </c>
      <c r="P27" s="58">
        <v>1.21</v>
      </c>
      <c r="Q27" s="57">
        <v>1.31</v>
      </c>
      <c r="R27" s="58">
        <v>1.119</v>
      </c>
      <c r="S27" s="97">
        <f t="shared" si="1"/>
        <v>1.5822307692307691</v>
      </c>
      <c r="T27" s="4">
        <f t="shared" ca="1" si="2"/>
        <v>0</v>
      </c>
      <c r="U27" s="4">
        <f t="shared" ca="1" si="3"/>
        <v>108</v>
      </c>
      <c r="V27" s="4">
        <f t="shared" ca="1" si="4"/>
        <v>252</v>
      </c>
      <c r="W27" s="13">
        <f t="shared" ca="1" si="5"/>
        <v>1.9319999999999999</v>
      </c>
      <c r="X27" s="5">
        <f t="shared" ca="1" si="6"/>
        <v>0.22106081968010116</v>
      </c>
      <c r="Y27" s="15">
        <f t="shared" si="7"/>
        <v>8.866995073891637E-2</v>
      </c>
      <c r="Z27" s="15">
        <f t="shared" si="8"/>
        <v>7.4074074074073959E-2</v>
      </c>
      <c r="AA27" s="15">
        <f t="shared" si="9"/>
        <v>9.8837209302325535E-2</v>
      </c>
      <c r="AB27" s="15">
        <f t="shared" si="10"/>
        <v>-3.9106145251396662E-2</v>
      </c>
      <c r="AC27" s="15">
        <f t="shared" si="11"/>
        <v>7.8313253012048278E-2</v>
      </c>
      <c r="AD27" s="15">
        <f t="shared" si="12"/>
        <v>7.7922077922077948E-2</v>
      </c>
      <c r="AE27" s="15">
        <f t="shared" si="13"/>
        <v>5.4794520547945202E-2</v>
      </c>
      <c r="AF27" s="15">
        <f t="shared" si="14"/>
        <v>0</v>
      </c>
      <c r="AG27" s="15">
        <f t="shared" si="15"/>
        <v>0.24786324786324787</v>
      </c>
      <c r="AH27" s="15">
        <f t="shared" si="16"/>
        <v>-3.3057851239669422E-2</v>
      </c>
      <c r="AI27" s="15">
        <f t="shared" si="17"/>
        <v>-7.6335877862595436E-2</v>
      </c>
      <c r="AJ27" s="15">
        <f t="shared" si="18"/>
        <v>0.17068811438784626</v>
      </c>
      <c r="AK27" s="5">
        <f t="shared" si="19"/>
        <v>-7.6335877862595436E-2</v>
      </c>
    </row>
    <row r="28" spans="1:37">
      <c r="A28" t="s">
        <v>38</v>
      </c>
      <c r="B28" t="s">
        <v>39</v>
      </c>
      <c r="C28" s="60">
        <v>31</v>
      </c>
      <c r="D28" s="60">
        <v>12</v>
      </c>
      <c r="E28" s="60">
        <v>2016</v>
      </c>
      <c r="F28" s="101">
        <v>3.09</v>
      </c>
      <c r="G28" s="101">
        <v>2.84</v>
      </c>
      <c r="H28" s="101">
        <v>2.68</v>
      </c>
      <c r="I28" s="102">
        <v>2.41</v>
      </c>
      <c r="J28" s="58">
        <v>2.54</v>
      </c>
      <c r="K28" s="58">
        <v>2.5</v>
      </c>
      <c r="L28" s="58">
        <v>2.31</v>
      </c>
      <c r="M28" s="58">
        <v>2.2000000000000002</v>
      </c>
      <c r="N28" s="58">
        <v>2.29</v>
      </c>
      <c r="O28" s="58">
        <v>2.0699999999999998</v>
      </c>
      <c r="P28" s="57">
        <v>2.16</v>
      </c>
      <c r="Q28" s="57">
        <v>1.94</v>
      </c>
      <c r="R28" s="57">
        <v>1.89</v>
      </c>
      <c r="S28" s="97">
        <f t="shared" si="1"/>
        <v>2.3784615384615382</v>
      </c>
      <c r="T28" s="4">
        <f t="shared" ca="1" si="2"/>
        <v>0</v>
      </c>
      <c r="U28" s="4">
        <f t="shared" ca="1" si="3"/>
        <v>108</v>
      </c>
      <c r="V28" s="4">
        <f t="shared" ca="1" si="4"/>
        <v>252</v>
      </c>
      <c r="W28" s="13">
        <f t="shared" ca="1" si="5"/>
        <v>2.7279999999999998</v>
      </c>
      <c r="X28" s="5">
        <f t="shared" ca="1" si="6"/>
        <v>0.14695989650711527</v>
      </c>
      <c r="Y28" s="15">
        <f t="shared" si="7"/>
        <v>8.8028169014084501E-2</v>
      </c>
      <c r="Z28" s="15">
        <f t="shared" si="8"/>
        <v>5.9701492537313383E-2</v>
      </c>
      <c r="AA28" s="15">
        <f t="shared" si="9"/>
        <v>0.11203319502074693</v>
      </c>
      <c r="AB28" s="15">
        <f t="shared" si="10"/>
        <v>-5.1181102362204633E-2</v>
      </c>
      <c r="AC28" s="15">
        <f t="shared" si="11"/>
        <v>1.6000000000000014E-2</v>
      </c>
      <c r="AD28" s="15">
        <f t="shared" si="12"/>
        <v>8.2251082251082241E-2</v>
      </c>
      <c r="AE28" s="15">
        <f t="shared" si="13"/>
        <v>5.0000000000000044E-2</v>
      </c>
      <c r="AF28" s="15">
        <f t="shared" si="14"/>
        <v>-3.9301310043668103E-2</v>
      </c>
      <c r="AG28" s="15">
        <f t="shared" si="15"/>
        <v>0.106280193236715</v>
      </c>
      <c r="AH28" s="15">
        <f t="shared" si="16"/>
        <v>-4.1666666666666852E-2</v>
      </c>
      <c r="AI28" s="15">
        <f t="shared" si="17"/>
        <v>0.11340206185567014</v>
      </c>
      <c r="AJ28" s="15">
        <f t="shared" si="18"/>
        <v>2.6455026455026509E-2</v>
      </c>
      <c r="AK28" s="5">
        <f t="shared" si="19"/>
        <v>-5.1181102362204633E-2</v>
      </c>
    </row>
    <row r="29" spans="1:37">
      <c r="A29" s="52" t="s">
        <v>318</v>
      </c>
      <c r="B29" s="52" t="s">
        <v>319</v>
      </c>
      <c r="C29" s="104">
        <v>31</v>
      </c>
      <c r="D29" s="104">
        <v>12</v>
      </c>
      <c r="E29" s="104">
        <v>2016</v>
      </c>
      <c r="F29" s="101">
        <v>39.200000000000003</v>
      </c>
      <c r="G29" s="101">
        <v>32.9</v>
      </c>
      <c r="H29" s="101">
        <v>27.6</v>
      </c>
      <c r="I29" s="96">
        <v>22.84</v>
      </c>
      <c r="J29" s="57">
        <v>21.02</v>
      </c>
      <c r="K29" s="57">
        <v>19.07</v>
      </c>
      <c r="L29" s="58">
        <v>16.96</v>
      </c>
      <c r="M29" s="58">
        <v>15.64</v>
      </c>
      <c r="N29" s="57">
        <v>13.16</v>
      </c>
      <c r="O29" s="57">
        <v>10.210000000000001</v>
      </c>
      <c r="P29" s="58">
        <v>7.9710000000000001</v>
      </c>
      <c r="Q29" s="57">
        <v>6.65</v>
      </c>
      <c r="R29" s="57">
        <v>4.97</v>
      </c>
      <c r="S29" s="97">
        <f t="shared" si="1"/>
        <v>18.322384615384617</v>
      </c>
      <c r="T29" s="4">
        <f t="shared" ca="1" si="2"/>
        <v>0</v>
      </c>
      <c r="U29" s="4">
        <f t="shared" ca="1" si="3"/>
        <v>108</v>
      </c>
      <c r="V29" s="4">
        <f t="shared" ca="1" si="4"/>
        <v>252</v>
      </c>
      <c r="W29" s="13">
        <f t="shared" ca="1" si="5"/>
        <v>29.189999999999998</v>
      </c>
      <c r="X29" s="5">
        <f t="shared" ca="1" si="6"/>
        <v>0.5931332418101436</v>
      </c>
      <c r="Y29" s="15">
        <f t="shared" si="7"/>
        <v>0.19148936170212782</v>
      </c>
      <c r="Z29" s="15">
        <f t="shared" si="8"/>
        <v>0.19202898550724634</v>
      </c>
      <c r="AA29" s="15">
        <f t="shared" si="9"/>
        <v>0.20840630472854649</v>
      </c>
      <c r="AB29" s="15">
        <f t="shared" si="10"/>
        <v>8.6584205518553725E-2</v>
      </c>
      <c r="AC29" s="15">
        <f t="shared" si="11"/>
        <v>0.1022548505506029</v>
      </c>
      <c r="AD29" s="15">
        <f t="shared" si="12"/>
        <v>0.12441037735849059</v>
      </c>
      <c r="AE29" s="15">
        <f t="shared" si="13"/>
        <v>8.4398976982097196E-2</v>
      </c>
      <c r="AF29" s="15">
        <f t="shared" si="14"/>
        <v>0.18844984802431619</v>
      </c>
      <c r="AG29" s="15">
        <f t="shared" si="15"/>
        <v>0.28893241919686563</v>
      </c>
      <c r="AH29" s="15">
        <f t="shared" si="16"/>
        <v>0.2808932379877056</v>
      </c>
      <c r="AI29" s="15">
        <f t="shared" si="17"/>
        <v>0.1986466165413534</v>
      </c>
      <c r="AJ29" s="15">
        <f t="shared" si="18"/>
        <v>0.33802816901408472</v>
      </c>
      <c r="AK29" s="5">
        <f t="shared" si="19"/>
        <v>8.4398976982097196E-2</v>
      </c>
    </row>
    <row r="30" spans="1:37">
      <c r="A30" t="s">
        <v>91</v>
      </c>
      <c r="B30" t="s">
        <v>194</v>
      </c>
      <c r="C30" s="60">
        <v>31</v>
      </c>
      <c r="D30" s="60">
        <v>12</v>
      </c>
      <c r="E30" s="60">
        <v>2016</v>
      </c>
      <c r="F30" s="101">
        <v>24.6</v>
      </c>
      <c r="G30" s="101">
        <v>22.3</v>
      </c>
      <c r="H30" s="101">
        <v>19.5</v>
      </c>
      <c r="I30" s="102">
        <v>19.600000000000001</v>
      </c>
      <c r="J30" s="58">
        <v>19.34</v>
      </c>
      <c r="K30" s="58">
        <v>16.579999999999998</v>
      </c>
      <c r="L30" s="58">
        <v>13.68</v>
      </c>
      <c r="M30" s="58">
        <v>11.85</v>
      </c>
      <c r="N30" s="58">
        <v>10.94</v>
      </c>
      <c r="O30" s="58">
        <v>7.13</v>
      </c>
      <c r="P30" s="58">
        <v>6.45</v>
      </c>
      <c r="Q30" s="58">
        <v>8.17</v>
      </c>
      <c r="R30" s="58">
        <v>5.33</v>
      </c>
      <c r="S30" s="97">
        <f t="shared" si="1"/>
        <v>14.266923076923074</v>
      </c>
      <c r="T30" s="4">
        <f t="shared" ca="1" si="2"/>
        <v>0</v>
      </c>
      <c r="U30" s="4">
        <f t="shared" ca="1" si="3"/>
        <v>108</v>
      </c>
      <c r="V30" s="4">
        <f t="shared" ca="1" si="4"/>
        <v>252</v>
      </c>
      <c r="W30" s="13">
        <f t="shared" ca="1" si="5"/>
        <v>20.34</v>
      </c>
      <c r="X30" s="5">
        <f t="shared" ca="1" si="6"/>
        <v>0.42567531137111136</v>
      </c>
      <c r="Y30" s="15">
        <f t="shared" si="7"/>
        <v>0.10313901345291487</v>
      </c>
      <c r="Z30" s="15">
        <f t="shared" si="8"/>
        <v>0.14358974358974352</v>
      </c>
      <c r="AA30" s="15">
        <f t="shared" si="9"/>
        <v>-5.1020408163265918E-3</v>
      </c>
      <c r="AB30" s="15">
        <f t="shared" si="10"/>
        <v>1.3443640124095158E-2</v>
      </c>
      <c r="AC30" s="15">
        <f t="shared" si="11"/>
        <v>0.1664656212303981</v>
      </c>
      <c r="AD30" s="15">
        <f t="shared" si="12"/>
        <v>0.21198830409356706</v>
      </c>
      <c r="AE30" s="15">
        <f t="shared" si="13"/>
        <v>0.15443037974683538</v>
      </c>
      <c r="AF30" s="15">
        <f t="shared" si="14"/>
        <v>8.3180987202924994E-2</v>
      </c>
      <c r="AG30" s="15">
        <f t="shared" si="15"/>
        <v>0.53436185133239822</v>
      </c>
      <c r="AH30" s="15">
        <f t="shared" si="16"/>
        <v>0.10542635658914734</v>
      </c>
      <c r="AI30" s="15">
        <f t="shared" si="17"/>
        <v>-0.21052631578947367</v>
      </c>
      <c r="AJ30" s="15">
        <f t="shared" si="18"/>
        <v>0.53283302063789861</v>
      </c>
      <c r="AK30" s="5">
        <f t="shared" si="19"/>
        <v>-0.21052631578947367</v>
      </c>
    </row>
    <row r="31" spans="1:37">
      <c r="A31" s="52" t="s">
        <v>267</v>
      </c>
      <c r="B31" s="52" t="s">
        <v>273</v>
      </c>
      <c r="C31" s="104">
        <v>31</v>
      </c>
      <c r="D31" s="104">
        <v>12</v>
      </c>
      <c r="E31" s="104">
        <v>2016</v>
      </c>
      <c r="F31" s="101">
        <v>7.07</v>
      </c>
      <c r="G31" s="101">
        <v>6.2</v>
      </c>
      <c r="H31" s="101">
        <v>5.45</v>
      </c>
      <c r="I31" s="102">
        <v>4.79</v>
      </c>
      <c r="J31" s="58">
        <v>4.2300000000000004</v>
      </c>
      <c r="K31" s="58">
        <v>3.71</v>
      </c>
      <c r="L31" s="58">
        <v>3.2</v>
      </c>
      <c r="M31" s="58">
        <v>2.54</v>
      </c>
      <c r="N31" s="57">
        <v>2.4900000000000002</v>
      </c>
      <c r="O31" s="58">
        <v>2.4300000000000002</v>
      </c>
      <c r="P31" s="57">
        <v>2.1800000000000002</v>
      </c>
      <c r="Q31" s="57">
        <v>1.92</v>
      </c>
      <c r="R31" s="57">
        <v>1.6</v>
      </c>
      <c r="S31" s="97">
        <f t="shared" si="1"/>
        <v>3.677692307692308</v>
      </c>
      <c r="T31" s="4">
        <f t="shared" ca="1" si="2"/>
        <v>0</v>
      </c>
      <c r="U31" s="4">
        <f t="shared" ca="1" si="3"/>
        <v>108</v>
      </c>
      <c r="V31" s="4">
        <f t="shared" ca="1" si="4"/>
        <v>252</v>
      </c>
      <c r="W31" s="13">
        <f t="shared" ca="1" si="5"/>
        <v>5.6749999999999998</v>
      </c>
      <c r="X31" s="5">
        <f t="shared" ca="1" si="6"/>
        <v>0.54308722024681</v>
      </c>
      <c r="Y31" s="15">
        <f t="shared" si="7"/>
        <v>0.14032258064516134</v>
      </c>
      <c r="Z31" s="15">
        <f t="shared" si="8"/>
        <v>0.13761467889908263</v>
      </c>
      <c r="AA31" s="15">
        <f t="shared" si="9"/>
        <v>0.13778705636743216</v>
      </c>
      <c r="AB31" s="15">
        <f t="shared" si="10"/>
        <v>0.13238770685579193</v>
      </c>
      <c r="AC31" s="15">
        <f t="shared" si="11"/>
        <v>0.14016172506738567</v>
      </c>
      <c r="AD31" s="15">
        <f t="shared" si="12"/>
        <v>0.15937499999999982</v>
      </c>
      <c r="AE31" s="15">
        <f t="shared" si="13"/>
        <v>0.25984251968503935</v>
      </c>
      <c r="AF31" s="15">
        <f t="shared" si="14"/>
        <v>2.008032128514059E-2</v>
      </c>
      <c r="AG31" s="15">
        <f t="shared" si="15"/>
        <v>2.4691358024691468E-2</v>
      </c>
      <c r="AH31" s="15">
        <f t="shared" si="16"/>
        <v>0.1146788990825689</v>
      </c>
      <c r="AI31" s="15">
        <f t="shared" si="17"/>
        <v>0.13541666666666674</v>
      </c>
      <c r="AJ31" s="15">
        <f t="shared" si="18"/>
        <v>0.19999999999999996</v>
      </c>
      <c r="AK31" s="5">
        <f t="shared" si="19"/>
        <v>2.008032128514059E-2</v>
      </c>
    </row>
    <row r="32" spans="1:37">
      <c r="A32" s="52" t="s">
        <v>279</v>
      </c>
      <c r="B32" s="52" t="s">
        <v>280</v>
      </c>
      <c r="C32" s="104">
        <v>31</v>
      </c>
      <c r="D32" s="104">
        <v>7</v>
      </c>
      <c r="E32" s="104">
        <v>2016</v>
      </c>
      <c r="F32" s="101">
        <v>2.1</v>
      </c>
      <c r="G32" s="101">
        <v>2.12</v>
      </c>
      <c r="H32" s="101">
        <v>2.06</v>
      </c>
      <c r="I32" s="96">
        <v>1.75</v>
      </c>
      <c r="J32" s="58">
        <v>1.58</v>
      </c>
      <c r="K32" s="58">
        <v>1.67</v>
      </c>
      <c r="L32" s="57">
        <v>1.49</v>
      </c>
      <c r="M32" s="58">
        <v>1.29</v>
      </c>
      <c r="N32" s="57">
        <v>1.33</v>
      </c>
      <c r="O32" s="57">
        <v>1.05</v>
      </c>
      <c r="P32" s="57">
        <v>1.31</v>
      </c>
      <c r="Q32" s="57">
        <v>1.17</v>
      </c>
      <c r="R32" s="57">
        <v>0.89</v>
      </c>
      <c r="S32" s="97">
        <f t="shared" si="1"/>
        <v>1.5238461538461541</v>
      </c>
      <c r="T32" s="4">
        <f t="shared" ca="1" si="2"/>
        <v>0</v>
      </c>
      <c r="U32" s="4">
        <f t="shared" ca="1" si="3"/>
        <v>258</v>
      </c>
      <c r="V32" s="4">
        <f t="shared" ca="1" si="4"/>
        <v>102</v>
      </c>
      <c r="W32" s="13">
        <f t="shared" ca="1" si="5"/>
        <v>2.1030000000000002</v>
      </c>
      <c r="X32" s="5">
        <f t="shared" ca="1" si="6"/>
        <v>0.38006057546693572</v>
      </c>
      <c r="Y32" s="15">
        <f t="shared" si="7"/>
        <v>-9.4339622641509413E-3</v>
      </c>
      <c r="Z32" s="15">
        <f t="shared" si="8"/>
        <v>2.9126213592232997E-2</v>
      </c>
      <c r="AA32" s="15">
        <f t="shared" si="9"/>
        <v>0.17714285714285727</v>
      </c>
      <c r="AB32" s="15">
        <f t="shared" si="10"/>
        <v>0.10759493670886067</v>
      </c>
      <c r="AC32" s="15">
        <f t="shared" si="11"/>
        <v>-5.3892215568862145E-2</v>
      </c>
      <c r="AD32" s="15">
        <f t="shared" si="12"/>
        <v>0.12080536912751683</v>
      </c>
      <c r="AE32" s="15">
        <f t="shared" si="13"/>
        <v>0.15503875968992253</v>
      </c>
      <c r="AF32" s="15">
        <f t="shared" si="14"/>
        <v>-3.007518796992481E-2</v>
      </c>
      <c r="AG32" s="15">
        <f t="shared" si="15"/>
        <v>0.26666666666666661</v>
      </c>
      <c r="AH32" s="15">
        <f t="shared" si="16"/>
        <v>-0.19847328244274809</v>
      </c>
      <c r="AI32" s="15">
        <f t="shared" si="17"/>
        <v>0.11965811965811968</v>
      </c>
      <c r="AJ32" s="15">
        <f t="shared" si="18"/>
        <v>0.31460674157303359</v>
      </c>
      <c r="AK32" s="5">
        <f t="shared" si="19"/>
        <v>-0.19847328244274809</v>
      </c>
    </row>
    <row r="33" spans="1:37">
      <c r="A33" t="s">
        <v>40</v>
      </c>
      <c r="B33" t="s">
        <v>41</v>
      </c>
      <c r="C33" s="60">
        <v>31</v>
      </c>
      <c r="D33" s="60">
        <v>12</v>
      </c>
      <c r="E33" s="60">
        <v>2016</v>
      </c>
      <c r="F33" s="101">
        <v>2.2200000000000002</v>
      </c>
      <c r="G33" s="101">
        <v>2.04</v>
      </c>
      <c r="H33" s="101">
        <v>1.92</v>
      </c>
      <c r="I33" s="102">
        <v>2</v>
      </c>
      <c r="J33" s="58">
        <v>2.04</v>
      </c>
      <c r="K33" s="58">
        <v>2.08</v>
      </c>
      <c r="L33" s="58">
        <v>1.92</v>
      </c>
      <c r="M33" s="58">
        <v>1.92</v>
      </c>
      <c r="N33" s="58">
        <v>1.7450000000000001</v>
      </c>
      <c r="O33" s="58">
        <v>1.53</v>
      </c>
      <c r="P33" s="58">
        <v>1.575</v>
      </c>
      <c r="Q33" s="58">
        <v>1.35</v>
      </c>
      <c r="R33" s="58">
        <v>1.1850000000000001</v>
      </c>
      <c r="S33" s="97">
        <f t="shared" si="1"/>
        <v>1.8096153846153848</v>
      </c>
      <c r="T33" s="4">
        <f t="shared" ca="1" si="2"/>
        <v>0</v>
      </c>
      <c r="U33" s="4">
        <f t="shared" ca="1" si="3"/>
        <v>108</v>
      </c>
      <c r="V33" s="4">
        <f t="shared" ca="1" si="4"/>
        <v>252</v>
      </c>
      <c r="W33" s="13">
        <f t="shared" ca="1" si="5"/>
        <v>1.956</v>
      </c>
      <c r="X33" s="5">
        <f t="shared" ca="1" si="6"/>
        <v>8.0892667375132676E-2</v>
      </c>
      <c r="Y33" s="15">
        <f t="shared" si="7"/>
        <v>8.8235294117647189E-2</v>
      </c>
      <c r="Z33" s="15">
        <f t="shared" si="8"/>
        <v>6.25E-2</v>
      </c>
      <c r="AA33" s="15">
        <f t="shared" si="9"/>
        <v>-4.0000000000000036E-2</v>
      </c>
      <c r="AB33" s="15">
        <f t="shared" si="10"/>
        <v>-1.9607843137254943E-2</v>
      </c>
      <c r="AC33" s="15">
        <f t="shared" si="11"/>
        <v>-1.9230769230769273E-2</v>
      </c>
      <c r="AD33" s="15">
        <f t="shared" si="12"/>
        <v>8.3333333333333481E-2</v>
      </c>
      <c r="AE33" s="15">
        <f t="shared" si="13"/>
        <v>0</v>
      </c>
      <c r="AF33" s="15">
        <f t="shared" si="14"/>
        <v>0.1002865329512892</v>
      </c>
      <c r="AG33" s="15">
        <f t="shared" si="15"/>
        <v>0.14052287581699341</v>
      </c>
      <c r="AH33" s="15">
        <f t="shared" si="16"/>
        <v>-2.8571428571428581E-2</v>
      </c>
      <c r="AI33" s="15">
        <f t="shared" si="17"/>
        <v>0.16666666666666652</v>
      </c>
      <c r="AJ33" s="15">
        <f t="shared" si="18"/>
        <v>0.139240506329114</v>
      </c>
      <c r="AK33" s="5">
        <f t="shared" si="19"/>
        <v>-4.0000000000000036E-2</v>
      </c>
    </row>
    <row r="34" spans="1:37">
      <c r="A34" t="s">
        <v>42</v>
      </c>
      <c r="B34" t="s">
        <v>43</v>
      </c>
      <c r="C34" s="60">
        <v>31</v>
      </c>
      <c r="D34" s="60">
        <v>12</v>
      </c>
      <c r="E34" s="60">
        <v>2016</v>
      </c>
      <c r="F34" s="101">
        <v>3.26</v>
      </c>
      <c r="G34" s="101">
        <v>2.99</v>
      </c>
      <c r="H34" s="101">
        <v>2.75</v>
      </c>
      <c r="I34" s="102">
        <v>2.81</v>
      </c>
      <c r="J34" s="58">
        <v>2.92</v>
      </c>
      <c r="K34" s="58">
        <v>2.84</v>
      </c>
      <c r="L34" s="58">
        <v>2.68</v>
      </c>
      <c r="M34" s="58">
        <v>2.5150000000000001</v>
      </c>
      <c r="N34" s="58">
        <v>2.5</v>
      </c>
      <c r="O34" s="58">
        <v>2.2650000000000001</v>
      </c>
      <c r="P34" s="58">
        <v>2.0150000000000001</v>
      </c>
      <c r="Q34" s="58">
        <v>1.77</v>
      </c>
      <c r="R34" s="58">
        <v>1.53</v>
      </c>
      <c r="S34" s="97">
        <f t="shared" si="1"/>
        <v>2.5265384615384616</v>
      </c>
      <c r="T34" s="4">
        <f t="shared" ca="1" si="2"/>
        <v>0</v>
      </c>
      <c r="U34" s="4">
        <f t="shared" ca="1" si="3"/>
        <v>108</v>
      </c>
      <c r="V34" s="4">
        <f t="shared" ca="1" si="4"/>
        <v>252</v>
      </c>
      <c r="W34" s="13">
        <f t="shared" ca="1" si="5"/>
        <v>2.8220000000000001</v>
      </c>
      <c r="X34" s="5">
        <f t="shared" ca="1" si="6"/>
        <v>0.11694321814583652</v>
      </c>
      <c r="Y34" s="15">
        <f t="shared" si="7"/>
        <v>9.0301003344481545E-2</v>
      </c>
      <c r="Z34" s="15">
        <f t="shared" si="8"/>
        <v>8.7272727272727391E-2</v>
      </c>
      <c r="AA34" s="15">
        <f t="shared" si="9"/>
        <v>-2.1352313167259829E-2</v>
      </c>
      <c r="AB34" s="15">
        <f t="shared" si="10"/>
        <v>-3.7671232876712257E-2</v>
      </c>
      <c r="AC34" s="15">
        <f t="shared" si="11"/>
        <v>2.8169014084507005E-2</v>
      </c>
      <c r="AD34" s="15">
        <f t="shared" si="12"/>
        <v>5.9701492537313383E-2</v>
      </c>
      <c r="AE34" s="15">
        <f t="shared" si="13"/>
        <v>6.5606361829025905E-2</v>
      </c>
      <c r="AF34" s="15">
        <f t="shared" si="14"/>
        <v>6.0000000000000053E-3</v>
      </c>
      <c r="AG34" s="15">
        <f t="shared" si="15"/>
        <v>0.10375275938189832</v>
      </c>
      <c r="AH34" s="15">
        <f t="shared" si="16"/>
        <v>0.12406947890818865</v>
      </c>
      <c r="AI34" s="15">
        <f t="shared" si="17"/>
        <v>0.1384180790960452</v>
      </c>
      <c r="AJ34" s="15">
        <f t="shared" si="18"/>
        <v>0.1568627450980391</v>
      </c>
      <c r="AK34" s="5">
        <f t="shared" si="19"/>
        <v>-3.7671232876712257E-2</v>
      </c>
    </row>
    <row r="35" spans="1:37">
      <c r="A35" t="s">
        <v>44</v>
      </c>
      <c r="B35" t="s">
        <v>45</v>
      </c>
      <c r="C35" s="60">
        <v>31</v>
      </c>
      <c r="D35" s="60">
        <v>12</v>
      </c>
      <c r="E35" s="60">
        <v>2016</v>
      </c>
      <c r="F35" s="101">
        <v>1.93</v>
      </c>
      <c r="G35" s="101">
        <v>1.64</v>
      </c>
      <c r="H35" s="101">
        <v>1.42</v>
      </c>
      <c r="I35" s="102">
        <v>1.31</v>
      </c>
      <c r="J35" s="57">
        <v>1.5</v>
      </c>
      <c r="K35" s="57">
        <v>1.27</v>
      </c>
      <c r="L35" s="57">
        <v>1.29</v>
      </c>
      <c r="M35" s="57">
        <v>1.23</v>
      </c>
      <c r="N35" s="57">
        <v>1.06</v>
      </c>
      <c r="O35" s="57">
        <v>1.01</v>
      </c>
      <c r="P35" s="57">
        <v>1.72</v>
      </c>
      <c r="Q35" s="57">
        <v>2.17</v>
      </c>
      <c r="R35" s="57">
        <v>2</v>
      </c>
      <c r="S35" s="97">
        <f t="shared" si="1"/>
        <v>1.5038461538461538</v>
      </c>
      <c r="T35" s="4">
        <f t="shared" ca="1" si="2"/>
        <v>0</v>
      </c>
      <c r="U35" s="4">
        <f t="shared" ca="1" si="3"/>
        <v>108</v>
      </c>
      <c r="V35" s="4">
        <f t="shared" ca="1" si="4"/>
        <v>252</v>
      </c>
      <c r="W35" s="13">
        <f t="shared" ca="1" si="5"/>
        <v>1.4859999999999998</v>
      </c>
      <c r="X35" s="5">
        <f t="shared" ca="1" si="6"/>
        <v>-1.1867007672634378E-2</v>
      </c>
      <c r="Y35" s="15">
        <f t="shared" si="7"/>
        <v>0.17682926829268286</v>
      </c>
      <c r="Z35" s="15">
        <f t="shared" si="8"/>
        <v>0.15492957746478875</v>
      </c>
      <c r="AA35" s="15">
        <f t="shared" si="9"/>
        <v>8.3969465648854769E-2</v>
      </c>
      <c r="AB35" s="15">
        <f t="shared" si="10"/>
        <v>-0.12666666666666659</v>
      </c>
      <c r="AC35" s="15">
        <f t="shared" si="11"/>
        <v>0.18110236220472431</v>
      </c>
      <c r="AD35" s="15">
        <f t="shared" si="12"/>
        <v>-1.5503875968992276E-2</v>
      </c>
      <c r="AE35" s="15">
        <f t="shared" si="13"/>
        <v>4.8780487804878092E-2</v>
      </c>
      <c r="AF35" s="15">
        <f t="shared" si="14"/>
        <v>0.16037735849056589</v>
      </c>
      <c r="AG35" s="15">
        <f t="shared" si="15"/>
        <v>4.9504950495049549E-2</v>
      </c>
      <c r="AH35" s="15">
        <f t="shared" si="16"/>
        <v>-0.41279069767441856</v>
      </c>
      <c r="AI35" s="15">
        <f t="shared" si="17"/>
        <v>-0.20737327188940091</v>
      </c>
      <c r="AJ35" s="15">
        <f t="shared" si="18"/>
        <v>8.4999999999999964E-2</v>
      </c>
      <c r="AK35" s="5">
        <f t="shared" si="19"/>
        <v>-0.41279069767441856</v>
      </c>
    </row>
    <row r="36" spans="1:37">
      <c r="A36" t="s">
        <v>46</v>
      </c>
      <c r="B36" t="s">
        <v>47</v>
      </c>
      <c r="C36" s="60">
        <v>31</v>
      </c>
      <c r="D36" s="60">
        <v>12</v>
      </c>
      <c r="E36" s="60">
        <v>2016</v>
      </c>
      <c r="F36" s="101">
        <v>15.3</v>
      </c>
      <c r="G36" s="101">
        <v>12.9</v>
      </c>
      <c r="H36" s="101">
        <v>12.3</v>
      </c>
      <c r="I36" s="102">
        <v>14.35</v>
      </c>
      <c r="J36" s="58">
        <v>15.87</v>
      </c>
      <c r="K36" s="58">
        <v>15.6</v>
      </c>
      <c r="L36" s="58">
        <v>14.7</v>
      </c>
      <c r="M36" s="58">
        <v>13.03</v>
      </c>
      <c r="N36" s="58">
        <v>11.32</v>
      </c>
      <c r="O36" s="57">
        <v>10.01</v>
      </c>
      <c r="P36" s="57">
        <v>8.93</v>
      </c>
      <c r="Q36" s="57">
        <v>7.18</v>
      </c>
      <c r="R36" s="57">
        <v>6.11</v>
      </c>
      <c r="S36" s="97">
        <f t="shared" ref="S36:S67" si="20">AVERAGE(F36:R36)</f>
        <v>12.123076923076924</v>
      </c>
      <c r="T36" s="4">
        <f t="shared" ref="T36:T67" ca="1" si="21">IF(DAYS360(TODAY(),DATE(E36+2,D36,C36))&gt;=720,0,360-U36)</f>
        <v>0</v>
      </c>
      <c r="U36" s="4">
        <f t="shared" ref="U36:U67" ca="1" si="22">IF(DAYS360(TODAY(),DATE(E36+1,D36,C36))&lt;=360,DAYS360(TODAY(),DATE(E36+1,D36,C36)),360-V36)</f>
        <v>108</v>
      </c>
      <c r="V36" s="4">
        <f t="shared" ref="V36:V67" ca="1" si="23">IF(DATE(E36,D36,C36)&lt;=TODAY(),0,DAYS360(TODAY(),DATE(E36,D36,C36)))</f>
        <v>252</v>
      </c>
      <c r="W36" s="13">
        <f t="shared" ref="W36:W67" ca="1" si="24">(F36/360*T36)+(G36/360*U36)+(H36/360*V36)</f>
        <v>12.48</v>
      </c>
      <c r="X36" s="5">
        <f t="shared" ref="X36:X67" ca="1" si="25">IF(W36&lt;0,IF(W36&lt;0,((W36/S36)-1)*-1,(W36/S36)-1),IF(S36&lt;0,ABS((W36/S36)-1),(W36/S36)-1))</f>
        <v>2.9441624365482255E-2</v>
      </c>
      <c r="Y36" s="15">
        <f t="shared" ref="Y36:Y67" si="26">IF(F36&lt;&gt;"",IF(G36&lt;&gt;"",IF(F36&lt;0,IF(G36&lt;0,((F36/G36)-1)*-1,(F36/G36)-1),IF(G36&lt;0,ABS((F36/G36)-1),(F36/G36)-1))),99.99999)</f>
        <v>0.18604651162790709</v>
      </c>
      <c r="Z36" s="15">
        <f t="shared" ref="Z36:Z67" si="27">IF(H36&lt;&gt;"",IF(G36&lt;0,IF(H36&lt;0,((G36/H36)-1)*-1,(G36/H36)-1),IF(H36&lt;0,ABS((G36/H36)-1),(G36/H36)-1)),99.99999)</f>
        <v>4.8780487804878092E-2</v>
      </c>
      <c r="AA36" s="15">
        <f t="shared" ref="AA36:AA67" si="28">IF(I36&lt;&gt;"",IF(H36&lt;0,IF(I36&lt;0,((H36/I36)-1)*-1,(H36/I36)-1),IF(I36&lt;0,ABS((H36/I36)-1),(H36/I36)-1)),99.99999)</f>
        <v>-0.14285714285714279</v>
      </c>
      <c r="AB36" s="15">
        <f t="shared" ref="AB36:AB67" si="29">IF(J36&lt;&gt;"",IF(I36&lt;0,IF(J36&lt;0,((I36/J36)-1)*-1,(I36/J36)-1),IF(J36&lt;0,ABS((I36/J36)-1),(I36/J36)-1)),99.99999)</f>
        <v>-9.5778197857592895E-2</v>
      </c>
      <c r="AC36" s="15">
        <f t="shared" ref="AC36:AC67" si="30">IF(K36&lt;&gt;"",IF(J36&lt;0,IF(K36&lt;0,((J36/K36)-1)*-1,(J36/K36)-1),IF(K36&lt;0,ABS((J36/K36)-1),(J36/K36)-1)),99.99999)</f>
        <v>1.7307692307692246E-2</v>
      </c>
      <c r="AD36" s="15">
        <f t="shared" ref="AD36:AD67" si="31">IF(L36&lt;&gt;"",IF(K36&lt;0,IF(L36&lt;0,((K36/L36)-1)*-1,(K36/L36)-1),IF(L36&lt;0,ABS((K36/L36)-1),(K36/L36)-1)),99.99999)</f>
        <v>6.1224489795918435E-2</v>
      </c>
      <c r="AE36" s="15">
        <f t="shared" ref="AE36:AE67" si="32">IF(M36&lt;&gt;"",IF(L36&lt;0,IF(M36&lt;0,((L36/M36)-1)*-1,(L36/M36)-1),IF(M36&lt;0,ABS((L36/M36)-1),(L36/M36)-1)),99.99999)</f>
        <v>0.12816577129700701</v>
      </c>
      <c r="AF36" s="15">
        <f t="shared" ref="AF36:AF67" si="33">IF(N36&lt;&gt;"",IF(M36&lt;0,IF(N36&lt;0,((M36/N36)-1)*-1,(M36/N36)-1),IF(N36&lt;0,ABS((M36/N36)-1),(M36/N36)-1)),99.99999)</f>
        <v>0.15106007067137805</v>
      </c>
      <c r="AG36" s="15">
        <f t="shared" ref="AG36:AG67" si="34">IF(O36&lt;&gt;"",IF(N36&lt;0,IF(O36&lt;0,((N36/O36)-1)*-1,(N36/O36)-1),IF(O36&lt;0,ABS((N36/O36)-1),(N36/O36)-1)),99.99999)</f>
        <v>0.13086913086913099</v>
      </c>
      <c r="AH36" s="15">
        <f t="shared" ref="AH36:AH67" si="35">IF(P36&lt;&gt;"",IF(O36&lt;0,IF(P36&lt;0,((O36/P36)-1)*-1,(O36/P36)-1),IF(P36&lt;0,ABS((O36/P36)-1),(O36/P36)-1)),99.99999)</f>
        <v>0.12094064949608074</v>
      </c>
      <c r="AI36" s="15">
        <f t="shared" ref="AI36:AI67" si="36">IF(Q36&lt;&gt;"",IF(P36&lt;0,IF(Q36&lt;0,((P36/Q36)-1)*-1,(P36/Q36)-1),IF(Q36&lt;0,ABS((P36/Q36)-1),(P36/Q36)-1)),99.99999)</f>
        <v>0.24373259052924801</v>
      </c>
      <c r="AJ36" s="15">
        <f t="shared" ref="AJ36:AJ67" si="37">IF(R36&lt;&gt;"",IF(Q36&lt;0,IF(R36&lt;0,((Q36/R36)-1)*-1,(Q36/R36)-1),IF(R36&lt;0,ABS((Q36/R36)-1),(Q36/R36)-1)),99.99999)</f>
        <v>0.17512274959083451</v>
      </c>
      <c r="AK36" s="5">
        <f t="shared" ref="AK36:AK67" si="38">MIN(Y36:AJ36)</f>
        <v>-0.14285714285714279</v>
      </c>
    </row>
    <row r="37" spans="1:37">
      <c r="A37" t="s">
        <v>48</v>
      </c>
      <c r="B37" t="s">
        <v>49</v>
      </c>
      <c r="C37" s="60">
        <v>31</v>
      </c>
      <c r="D37" s="60">
        <v>12</v>
      </c>
      <c r="E37" s="60">
        <v>2016</v>
      </c>
      <c r="F37" s="101">
        <v>6.92</v>
      </c>
      <c r="G37" s="101">
        <v>6.46</v>
      </c>
      <c r="H37" s="101">
        <v>5.99</v>
      </c>
      <c r="I37" s="102">
        <v>5.81</v>
      </c>
      <c r="J37" s="58">
        <v>5.97</v>
      </c>
      <c r="K37" s="58">
        <v>5.68</v>
      </c>
      <c r="L37" s="58">
        <v>5.0999999999999996</v>
      </c>
      <c r="M37" s="58">
        <v>5</v>
      </c>
      <c r="N37" s="58">
        <v>4.76</v>
      </c>
      <c r="O37" s="58">
        <v>4.63</v>
      </c>
      <c r="P37" s="58">
        <v>4.55</v>
      </c>
      <c r="Q37" s="58">
        <v>4.1500000000000004</v>
      </c>
      <c r="R37" s="58">
        <v>3.76</v>
      </c>
      <c r="S37" s="97">
        <f t="shared" si="20"/>
        <v>5.2907692307692304</v>
      </c>
      <c r="T37" s="4">
        <f t="shared" ca="1" si="21"/>
        <v>0</v>
      </c>
      <c r="U37" s="4">
        <f t="shared" ca="1" si="22"/>
        <v>108</v>
      </c>
      <c r="V37" s="4">
        <f t="shared" ca="1" si="23"/>
        <v>252</v>
      </c>
      <c r="W37" s="13">
        <f t="shared" ca="1" si="24"/>
        <v>6.1310000000000002</v>
      </c>
      <c r="X37" s="5">
        <f t="shared" ca="1" si="25"/>
        <v>0.15881070078511206</v>
      </c>
      <c r="Y37" s="15">
        <f t="shared" si="26"/>
        <v>7.120743034055721E-2</v>
      </c>
      <c r="Z37" s="15">
        <f t="shared" si="27"/>
        <v>7.8464106844741144E-2</v>
      </c>
      <c r="AA37" s="15">
        <f t="shared" si="28"/>
        <v>3.0981067125645634E-2</v>
      </c>
      <c r="AB37" s="15">
        <f t="shared" si="29"/>
        <v>-2.6800670016750461E-2</v>
      </c>
      <c r="AC37" s="15">
        <f t="shared" si="30"/>
        <v>5.1056338028169002E-2</v>
      </c>
      <c r="AD37" s="15">
        <f t="shared" si="31"/>
        <v>0.11372549019607847</v>
      </c>
      <c r="AE37" s="15">
        <f t="shared" si="32"/>
        <v>2.0000000000000018E-2</v>
      </c>
      <c r="AF37" s="15">
        <f t="shared" si="33"/>
        <v>5.0420168067226934E-2</v>
      </c>
      <c r="AG37" s="15">
        <f t="shared" si="34"/>
        <v>2.8077753779697678E-2</v>
      </c>
      <c r="AH37" s="15">
        <f t="shared" si="35"/>
        <v>1.758241758241752E-2</v>
      </c>
      <c r="AI37" s="15">
        <f t="shared" si="36"/>
        <v>9.6385542168674565E-2</v>
      </c>
      <c r="AJ37" s="15">
        <f t="shared" si="37"/>
        <v>0.10372340425531923</v>
      </c>
      <c r="AK37" s="5">
        <f t="shared" si="38"/>
        <v>-2.6800670016750461E-2</v>
      </c>
    </row>
    <row r="38" spans="1:37">
      <c r="A38" t="s">
        <v>314</v>
      </c>
      <c r="B38" t="s">
        <v>315</v>
      </c>
      <c r="C38" s="104">
        <v>31</v>
      </c>
      <c r="D38" s="104">
        <v>12</v>
      </c>
      <c r="E38" s="60">
        <v>2016</v>
      </c>
      <c r="F38" s="101">
        <v>4.0999999999999996</v>
      </c>
      <c r="G38" s="101">
        <v>3.71</v>
      </c>
      <c r="H38" s="101">
        <v>2.84</v>
      </c>
      <c r="I38" s="102">
        <v>2.04</v>
      </c>
      <c r="J38" s="58">
        <v>1.98</v>
      </c>
      <c r="K38" s="58">
        <v>-3</v>
      </c>
      <c r="L38" s="58">
        <v>3.37</v>
      </c>
      <c r="M38" s="58">
        <v>3.01</v>
      </c>
      <c r="N38" s="58">
        <v>3.18</v>
      </c>
      <c r="O38" s="57"/>
      <c r="P38" s="57"/>
      <c r="Q38" s="57"/>
      <c r="R38" s="57"/>
      <c r="S38" s="97">
        <f t="shared" si="20"/>
        <v>2.3588888888888886</v>
      </c>
      <c r="T38" s="4">
        <f t="shared" ca="1" si="21"/>
        <v>0</v>
      </c>
      <c r="U38" s="4">
        <f t="shared" ca="1" si="22"/>
        <v>108</v>
      </c>
      <c r="V38" s="4">
        <f t="shared" ca="1" si="23"/>
        <v>252</v>
      </c>
      <c r="W38" s="13">
        <f t="shared" ca="1" si="24"/>
        <v>3.101</v>
      </c>
      <c r="X38" s="5">
        <f t="shared" ca="1" si="25"/>
        <v>0.31460197833254844</v>
      </c>
      <c r="Y38" s="15">
        <f t="shared" si="26"/>
        <v>0.10512129380053903</v>
      </c>
      <c r="Z38" s="15">
        <f t="shared" si="27"/>
        <v>0.30633802816901423</v>
      </c>
      <c r="AA38" s="15">
        <f t="shared" si="28"/>
        <v>0.39215686274509798</v>
      </c>
      <c r="AB38" s="15">
        <f t="shared" si="29"/>
        <v>3.0303030303030276E-2</v>
      </c>
      <c r="AC38" s="15">
        <f t="shared" si="30"/>
        <v>1.6600000000000001</v>
      </c>
      <c r="AD38" s="15">
        <f t="shared" si="31"/>
        <v>-1.8902077151335313</v>
      </c>
      <c r="AE38" s="15">
        <f t="shared" si="32"/>
        <v>0.1196013289036546</v>
      </c>
      <c r="AF38" s="15">
        <f t="shared" si="33"/>
        <v>-5.3459119496855445E-2</v>
      </c>
      <c r="AG38" s="15">
        <f t="shared" si="34"/>
        <v>99.999989999999997</v>
      </c>
      <c r="AH38" s="15">
        <f t="shared" si="35"/>
        <v>99.999989999999997</v>
      </c>
      <c r="AI38" s="15">
        <f t="shared" si="36"/>
        <v>99.999989999999997</v>
      </c>
      <c r="AJ38" s="15">
        <f t="shared" si="37"/>
        <v>99.999989999999997</v>
      </c>
      <c r="AK38" s="5">
        <f t="shared" si="38"/>
        <v>-1.8902077151335313</v>
      </c>
    </row>
    <row r="39" spans="1:37">
      <c r="A39" t="s">
        <v>50</v>
      </c>
      <c r="B39" t="s">
        <v>51</v>
      </c>
      <c r="C39" s="60">
        <v>31</v>
      </c>
      <c r="D39" s="60">
        <v>12</v>
      </c>
      <c r="E39" s="60">
        <v>2016</v>
      </c>
      <c r="F39" s="101">
        <v>6.59</v>
      </c>
      <c r="G39" s="101">
        <v>6.07</v>
      </c>
      <c r="H39" s="101">
        <v>5.41</v>
      </c>
      <c r="I39" s="102">
        <v>4.9800000000000004</v>
      </c>
      <c r="J39" s="58">
        <v>5.36</v>
      </c>
      <c r="K39" s="57">
        <v>5.55</v>
      </c>
      <c r="L39" s="57">
        <v>5.36</v>
      </c>
      <c r="M39" s="57">
        <v>5.27</v>
      </c>
      <c r="N39" s="58">
        <v>4.5999999999999996</v>
      </c>
      <c r="O39" s="58">
        <v>3.98</v>
      </c>
      <c r="P39" s="58">
        <v>3.67</v>
      </c>
      <c r="Q39" s="58">
        <v>3.04</v>
      </c>
      <c r="R39" s="58">
        <v>2.9</v>
      </c>
      <c r="S39" s="97">
        <f t="shared" si="20"/>
        <v>4.8292307692307697</v>
      </c>
      <c r="T39" s="4">
        <f t="shared" ca="1" si="21"/>
        <v>0</v>
      </c>
      <c r="U39" s="4">
        <f t="shared" ca="1" si="22"/>
        <v>108</v>
      </c>
      <c r="V39" s="4">
        <f t="shared" ca="1" si="23"/>
        <v>252</v>
      </c>
      <c r="W39" s="13">
        <f t="shared" ca="1" si="24"/>
        <v>5.6080000000000005</v>
      </c>
      <c r="X39" s="5">
        <f t="shared" ca="1" si="25"/>
        <v>0.16126154826377825</v>
      </c>
      <c r="Y39" s="15">
        <f t="shared" si="26"/>
        <v>8.5667215815485864E-2</v>
      </c>
      <c r="Z39" s="15">
        <f t="shared" si="27"/>
        <v>0.12199630314232901</v>
      </c>
      <c r="AA39" s="15">
        <f t="shared" si="28"/>
        <v>8.6345381526104381E-2</v>
      </c>
      <c r="AB39" s="15">
        <f t="shared" si="29"/>
        <v>-7.0895522388059629E-2</v>
      </c>
      <c r="AC39" s="15">
        <f t="shared" si="30"/>
        <v>-3.4234234234234107E-2</v>
      </c>
      <c r="AD39" s="15">
        <f t="shared" si="31"/>
        <v>3.5447761194029814E-2</v>
      </c>
      <c r="AE39" s="15">
        <f t="shared" si="32"/>
        <v>1.7077798861480309E-2</v>
      </c>
      <c r="AF39" s="15">
        <f t="shared" si="33"/>
        <v>0.14565217391304341</v>
      </c>
      <c r="AG39" s="15">
        <f t="shared" si="34"/>
        <v>0.15577889447236171</v>
      </c>
      <c r="AH39" s="15">
        <f t="shared" si="35"/>
        <v>8.4468664850136266E-2</v>
      </c>
      <c r="AI39" s="15">
        <f t="shared" si="36"/>
        <v>0.20723684210526305</v>
      </c>
      <c r="AJ39" s="15">
        <f t="shared" si="37"/>
        <v>4.8275862068965614E-2</v>
      </c>
      <c r="AK39" s="5">
        <f t="shared" si="38"/>
        <v>-7.0895522388059629E-2</v>
      </c>
    </row>
    <row r="40" spans="1:37">
      <c r="A40" t="s">
        <v>52</v>
      </c>
      <c r="B40" t="s">
        <v>53</v>
      </c>
      <c r="C40" s="60">
        <v>31</v>
      </c>
      <c r="D40" s="60">
        <v>12</v>
      </c>
      <c r="E40" s="60">
        <v>2016</v>
      </c>
      <c r="F40" s="101">
        <v>3.61</v>
      </c>
      <c r="G40" s="101">
        <v>2.82</v>
      </c>
      <c r="H40" s="101">
        <v>2.4900000000000002</v>
      </c>
      <c r="I40" s="96">
        <v>1.56</v>
      </c>
      <c r="J40" s="58">
        <v>1.3959999999999999</v>
      </c>
      <c r="K40" s="57">
        <v>1.47</v>
      </c>
      <c r="L40" s="57">
        <v>2</v>
      </c>
      <c r="M40" s="57">
        <v>2.02</v>
      </c>
      <c r="N40" s="58">
        <v>3.42</v>
      </c>
      <c r="O40" s="58">
        <v>1.69</v>
      </c>
      <c r="P40" s="58">
        <v>2.85</v>
      </c>
      <c r="Q40" s="58">
        <v>3.5590000000000002</v>
      </c>
      <c r="R40" s="57">
        <v>2.0299999999999998</v>
      </c>
      <c r="S40" s="97">
        <f t="shared" si="20"/>
        <v>2.3780769230769234</v>
      </c>
      <c r="T40" s="4">
        <f t="shared" ca="1" si="21"/>
        <v>0</v>
      </c>
      <c r="U40" s="4">
        <f t="shared" ca="1" si="22"/>
        <v>108</v>
      </c>
      <c r="V40" s="4">
        <f t="shared" ca="1" si="23"/>
        <v>252</v>
      </c>
      <c r="W40" s="13">
        <f t="shared" ca="1" si="24"/>
        <v>2.589</v>
      </c>
      <c r="X40" s="5">
        <f t="shared" ca="1" si="25"/>
        <v>8.8694808345463283E-2</v>
      </c>
      <c r="Y40" s="15">
        <f t="shared" si="26"/>
        <v>0.28014184397163122</v>
      </c>
      <c r="Z40" s="15">
        <f t="shared" si="27"/>
        <v>0.13253012048192758</v>
      </c>
      <c r="AA40" s="15">
        <f t="shared" si="28"/>
        <v>0.59615384615384626</v>
      </c>
      <c r="AB40" s="15">
        <f t="shared" si="29"/>
        <v>0.1174785100286535</v>
      </c>
      <c r="AC40" s="15">
        <f t="shared" si="30"/>
        <v>-5.034013605442178E-2</v>
      </c>
      <c r="AD40" s="15">
        <f t="shared" si="31"/>
        <v>-0.26500000000000001</v>
      </c>
      <c r="AE40" s="15">
        <f t="shared" si="32"/>
        <v>-9.9009900990099098E-3</v>
      </c>
      <c r="AF40" s="15">
        <f t="shared" si="33"/>
        <v>-0.40935672514619881</v>
      </c>
      <c r="AG40" s="15">
        <f t="shared" si="34"/>
        <v>1.0236686390532546</v>
      </c>
      <c r="AH40" s="15">
        <f t="shared" si="35"/>
        <v>-0.40701754385964917</v>
      </c>
      <c r="AI40" s="15">
        <f t="shared" si="36"/>
        <v>-0.19921326215228996</v>
      </c>
      <c r="AJ40" s="15">
        <f t="shared" si="37"/>
        <v>0.75320197044334991</v>
      </c>
      <c r="AK40" s="5">
        <f t="shared" si="38"/>
        <v>-0.40935672514619881</v>
      </c>
    </row>
    <row r="41" spans="1:37">
      <c r="A41" t="s">
        <v>54</v>
      </c>
      <c r="B41" t="s">
        <v>55</v>
      </c>
      <c r="C41" s="60">
        <v>30</v>
      </c>
      <c r="D41" s="60">
        <v>6</v>
      </c>
      <c r="E41" s="60">
        <v>2016</v>
      </c>
      <c r="F41" s="101">
        <v>3.65</v>
      </c>
      <c r="G41" s="101">
        <v>2.99</v>
      </c>
      <c r="H41" s="101">
        <v>2.48</v>
      </c>
      <c r="I41" s="102">
        <v>2.63</v>
      </c>
      <c r="J41" s="57">
        <v>2.63</v>
      </c>
      <c r="K41" s="58">
        <v>2.67</v>
      </c>
      <c r="L41" s="58">
        <v>2.73</v>
      </c>
      <c r="M41" s="57">
        <v>2.69</v>
      </c>
      <c r="N41" s="57">
        <v>2.1</v>
      </c>
      <c r="O41" s="57">
        <v>1.62</v>
      </c>
      <c r="P41" s="57">
        <v>1.87</v>
      </c>
      <c r="Q41" s="57">
        <v>1.42</v>
      </c>
      <c r="R41" s="57">
        <v>1.2</v>
      </c>
      <c r="S41" s="97">
        <f t="shared" si="20"/>
        <v>2.3600000000000003</v>
      </c>
      <c r="T41" s="4">
        <f t="shared" ca="1" si="21"/>
        <v>0</v>
      </c>
      <c r="U41" s="4">
        <f t="shared" ca="1" si="22"/>
        <v>289</v>
      </c>
      <c r="V41" s="4">
        <f t="shared" ca="1" si="23"/>
        <v>71</v>
      </c>
      <c r="W41" s="13">
        <f t="shared" ca="1" si="24"/>
        <v>2.889416666666667</v>
      </c>
      <c r="X41" s="5">
        <f t="shared" ca="1" si="25"/>
        <v>0.2243290960451978</v>
      </c>
      <c r="Y41" s="15">
        <f t="shared" si="26"/>
        <v>0.22073578595317711</v>
      </c>
      <c r="Z41" s="15">
        <f t="shared" si="27"/>
        <v>0.20564516129032273</v>
      </c>
      <c r="AA41" s="15">
        <f t="shared" si="28"/>
        <v>-5.7034220532319324E-2</v>
      </c>
      <c r="AB41" s="15">
        <f t="shared" si="29"/>
        <v>0</v>
      </c>
      <c r="AC41" s="15">
        <f t="shared" si="30"/>
        <v>-1.4981273408239737E-2</v>
      </c>
      <c r="AD41" s="15">
        <f t="shared" si="31"/>
        <v>-2.1978021978022011E-2</v>
      </c>
      <c r="AE41" s="15">
        <f t="shared" si="32"/>
        <v>1.4869888475836479E-2</v>
      </c>
      <c r="AF41" s="15">
        <f t="shared" si="33"/>
        <v>0.28095238095238084</v>
      </c>
      <c r="AG41" s="15">
        <f t="shared" si="34"/>
        <v>0.29629629629629628</v>
      </c>
      <c r="AH41" s="15">
        <f t="shared" si="35"/>
        <v>-0.13368983957219249</v>
      </c>
      <c r="AI41" s="15">
        <f t="shared" si="36"/>
        <v>0.31690140845070447</v>
      </c>
      <c r="AJ41" s="15">
        <f t="shared" si="37"/>
        <v>0.18333333333333335</v>
      </c>
      <c r="AK41" s="5">
        <f t="shared" si="38"/>
        <v>-0.13368983957219249</v>
      </c>
    </row>
    <row r="42" spans="1:37">
      <c r="A42" t="s">
        <v>56</v>
      </c>
      <c r="B42" t="s">
        <v>57</v>
      </c>
      <c r="C42" s="60">
        <v>31</v>
      </c>
      <c r="D42" s="60">
        <v>12</v>
      </c>
      <c r="E42" s="60">
        <v>2016</v>
      </c>
      <c r="F42" s="101">
        <v>2.21</v>
      </c>
      <c r="G42" s="101">
        <v>1.97</v>
      </c>
      <c r="H42" s="101">
        <v>1.71</v>
      </c>
      <c r="I42" s="102">
        <v>1.75</v>
      </c>
      <c r="J42" s="58">
        <v>1.75</v>
      </c>
      <c r="K42" s="58">
        <v>1.54</v>
      </c>
      <c r="L42" s="58">
        <v>0.86</v>
      </c>
      <c r="M42" s="58">
        <v>0.97</v>
      </c>
      <c r="N42" s="58">
        <v>0.38</v>
      </c>
      <c r="O42" s="58">
        <v>0.56999999999999995</v>
      </c>
      <c r="P42" s="58">
        <v>0.09</v>
      </c>
      <c r="Q42" s="57"/>
      <c r="R42" s="57"/>
      <c r="S42" s="97">
        <f t="shared" si="20"/>
        <v>1.2545454545454546</v>
      </c>
      <c r="T42" s="4">
        <f t="shared" ca="1" si="21"/>
        <v>0</v>
      </c>
      <c r="U42" s="4">
        <f t="shared" ca="1" si="22"/>
        <v>108</v>
      </c>
      <c r="V42" s="4">
        <f t="shared" ca="1" si="23"/>
        <v>252</v>
      </c>
      <c r="W42" s="13">
        <f t="shared" ca="1" si="24"/>
        <v>1.788</v>
      </c>
      <c r="X42" s="5">
        <f t="shared" ca="1" si="25"/>
        <v>0.42521739130434777</v>
      </c>
      <c r="Y42" s="15">
        <f t="shared" si="26"/>
        <v>0.12182741116751261</v>
      </c>
      <c r="Z42" s="15">
        <f t="shared" si="27"/>
        <v>0.1520467836257311</v>
      </c>
      <c r="AA42" s="15">
        <f t="shared" si="28"/>
        <v>-2.2857142857142909E-2</v>
      </c>
      <c r="AB42" s="15">
        <f t="shared" si="29"/>
        <v>0</v>
      </c>
      <c r="AC42" s="15">
        <f t="shared" si="30"/>
        <v>0.13636363636363624</v>
      </c>
      <c r="AD42" s="15">
        <f t="shared" si="31"/>
        <v>0.79069767441860472</v>
      </c>
      <c r="AE42" s="15">
        <f t="shared" si="32"/>
        <v>-0.11340206185567014</v>
      </c>
      <c r="AF42" s="15">
        <f t="shared" si="33"/>
        <v>1.5526315789473681</v>
      </c>
      <c r="AG42" s="15">
        <f t="shared" si="34"/>
        <v>-0.33333333333333326</v>
      </c>
      <c r="AH42" s="15">
        <f t="shared" si="35"/>
        <v>5.333333333333333</v>
      </c>
      <c r="AI42" s="15">
        <f t="shared" si="36"/>
        <v>99.999989999999997</v>
      </c>
      <c r="AJ42" s="15">
        <f t="shared" si="37"/>
        <v>99.999989999999997</v>
      </c>
      <c r="AK42" s="5">
        <f t="shared" si="38"/>
        <v>-0.33333333333333326</v>
      </c>
    </row>
    <row r="43" spans="1:37">
      <c r="A43" t="s">
        <v>58</v>
      </c>
      <c r="B43" t="s">
        <v>59</v>
      </c>
      <c r="C43" s="60">
        <v>31</v>
      </c>
      <c r="D43" s="60">
        <v>8</v>
      </c>
      <c r="E43" s="60">
        <v>2016</v>
      </c>
      <c r="F43" s="101">
        <v>6.54</v>
      </c>
      <c r="G43" s="101">
        <v>5.6</v>
      </c>
      <c r="H43" s="101">
        <v>4.1500000000000004</v>
      </c>
      <c r="I43" s="102">
        <v>5.73</v>
      </c>
      <c r="J43" s="58">
        <v>5.23</v>
      </c>
      <c r="K43" s="58">
        <v>4.5599999999999996</v>
      </c>
      <c r="L43" s="58">
        <v>3.7</v>
      </c>
      <c r="M43" s="57">
        <v>2.96</v>
      </c>
      <c r="N43" s="58">
        <v>2.41</v>
      </c>
      <c r="O43" s="58">
        <v>4.41</v>
      </c>
      <c r="P43" s="58">
        <v>3.64</v>
      </c>
      <c r="Q43" s="58">
        <v>1.98</v>
      </c>
      <c r="R43" s="58">
        <v>1.3</v>
      </c>
      <c r="S43" s="97">
        <f t="shared" si="20"/>
        <v>4.0161538461538449</v>
      </c>
      <c r="T43" s="4">
        <f t="shared" ca="1" si="21"/>
        <v>0</v>
      </c>
      <c r="U43" s="4">
        <f t="shared" ca="1" si="22"/>
        <v>228</v>
      </c>
      <c r="V43" s="4">
        <f t="shared" ca="1" si="23"/>
        <v>132</v>
      </c>
      <c r="W43" s="13">
        <f t="shared" ca="1" si="24"/>
        <v>5.0683333333333334</v>
      </c>
      <c r="X43" s="5">
        <f t="shared" ca="1" si="25"/>
        <v>0.26198684798569927</v>
      </c>
      <c r="Y43" s="15">
        <f t="shared" si="26"/>
        <v>0.16785714285714293</v>
      </c>
      <c r="Z43" s="15">
        <f t="shared" si="27"/>
        <v>0.34939759036144569</v>
      </c>
      <c r="AA43" s="15">
        <f t="shared" si="28"/>
        <v>-0.27574171029668415</v>
      </c>
      <c r="AB43" s="15">
        <f t="shared" si="29"/>
        <v>9.5602294455066961E-2</v>
      </c>
      <c r="AC43" s="15">
        <f t="shared" si="30"/>
        <v>0.14692982456140369</v>
      </c>
      <c r="AD43" s="15">
        <f t="shared" si="31"/>
        <v>0.23243243243243228</v>
      </c>
      <c r="AE43" s="15">
        <f t="shared" si="32"/>
        <v>0.25</v>
      </c>
      <c r="AF43" s="15">
        <f t="shared" si="33"/>
        <v>0.22821576763485463</v>
      </c>
      <c r="AG43" s="15">
        <f t="shared" si="34"/>
        <v>-0.45351473922902497</v>
      </c>
      <c r="AH43" s="15">
        <f t="shared" si="35"/>
        <v>0.21153846153846145</v>
      </c>
      <c r="AI43" s="15">
        <f t="shared" si="36"/>
        <v>0.83838383838383845</v>
      </c>
      <c r="AJ43" s="15">
        <f t="shared" si="37"/>
        <v>0.52307692307692299</v>
      </c>
      <c r="AK43" s="5">
        <f t="shared" si="38"/>
        <v>-0.45351473922902497</v>
      </c>
    </row>
    <row r="44" spans="1:37">
      <c r="A44" t="s">
        <v>60</v>
      </c>
      <c r="B44" t="s">
        <v>61</v>
      </c>
      <c r="C44" s="60">
        <v>31</v>
      </c>
      <c r="D44" s="60">
        <v>5</v>
      </c>
      <c r="E44" s="60">
        <v>2016</v>
      </c>
      <c r="F44" s="101">
        <v>2.52</v>
      </c>
      <c r="G44" s="101">
        <v>2.2799999999999998</v>
      </c>
      <c r="H44" s="101">
        <v>2.09</v>
      </c>
      <c r="I44" s="96">
        <v>2.21</v>
      </c>
      <c r="J44" s="57">
        <v>2.38</v>
      </c>
      <c r="K44" s="57">
        <v>2.2599999999999998</v>
      </c>
      <c r="L44" s="57">
        <v>1.96</v>
      </c>
      <c r="M44" s="57">
        <v>1.67</v>
      </c>
      <c r="N44" s="57">
        <v>1.21</v>
      </c>
      <c r="O44" s="57">
        <v>1.0900000000000001</v>
      </c>
      <c r="P44" s="57">
        <v>1.06</v>
      </c>
      <c r="Q44" s="57">
        <v>0.81</v>
      </c>
      <c r="R44" s="57">
        <v>0.64</v>
      </c>
      <c r="S44" s="97">
        <f t="shared" si="20"/>
        <v>1.7061538461538459</v>
      </c>
      <c r="T44" s="4">
        <f t="shared" ca="1" si="21"/>
        <v>0</v>
      </c>
      <c r="U44" s="4">
        <f t="shared" ca="1" si="22"/>
        <v>318</v>
      </c>
      <c r="V44" s="4">
        <f t="shared" ca="1" si="23"/>
        <v>42</v>
      </c>
      <c r="W44" s="13">
        <f t="shared" ca="1" si="24"/>
        <v>2.2578333333333331</v>
      </c>
      <c r="X44" s="5">
        <f t="shared" ca="1" si="25"/>
        <v>0.32334685903216109</v>
      </c>
      <c r="Y44" s="15">
        <f t="shared" si="26"/>
        <v>0.10526315789473695</v>
      </c>
      <c r="Z44" s="15">
        <f t="shared" si="27"/>
        <v>9.0909090909090828E-2</v>
      </c>
      <c r="AA44" s="15">
        <f t="shared" si="28"/>
        <v>-5.4298642533936681E-2</v>
      </c>
      <c r="AB44" s="15">
        <f t="shared" si="29"/>
        <v>-7.1428571428571397E-2</v>
      </c>
      <c r="AC44" s="15">
        <f t="shared" si="30"/>
        <v>5.3097345132743445E-2</v>
      </c>
      <c r="AD44" s="15">
        <f t="shared" si="31"/>
        <v>0.15306122448979576</v>
      </c>
      <c r="AE44" s="15">
        <f t="shared" si="32"/>
        <v>0.17365269461077837</v>
      </c>
      <c r="AF44" s="15">
        <f t="shared" si="33"/>
        <v>0.38016528925619841</v>
      </c>
      <c r="AG44" s="15">
        <f t="shared" si="34"/>
        <v>0.11009174311926584</v>
      </c>
      <c r="AH44" s="15">
        <f t="shared" si="35"/>
        <v>2.8301886792452935E-2</v>
      </c>
      <c r="AI44" s="15">
        <f t="shared" si="36"/>
        <v>0.30864197530864201</v>
      </c>
      <c r="AJ44" s="15">
        <f t="shared" si="37"/>
        <v>0.265625</v>
      </c>
      <c r="AK44" s="5">
        <f t="shared" si="38"/>
        <v>-7.1428571428571397E-2</v>
      </c>
    </row>
    <row r="45" spans="1:37">
      <c r="A45" t="s">
        <v>62</v>
      </c>
      <c r="B45" t="s">
        <v>63</v>
      </c>
      <c r="C45" s="60">
        <v>31</v>
      </c>
      <c r="D45" s="60">
        <v>12</v>
      </c>
      <c r="E45" s="60">
        <v>2016</v>
      </c>
      <c r="F45" s="101">
        <v>5.43</v>
      </c>
      <c r="G45" s="101">
        <v>5.0599999999999996</v>
      </c>
      <c r="H45" s="101">
        <v>4.68</v>
      </c>
      <c r="I45" s="102">
        <v>4.57</v>
      </c>
      <c r="J45" s="58">
        <v>4.63</v>
      </c>
      <c r="K45" s="58">
        <v>4.37</v>
      </c>
      <c r="L45" s="58">
        <v>4.0999999999999996</v>
      </c>
      <c r="M45" s="58">
        <v>4.4000000000000004</v>
      </c>
      <c r="N45" s="58">
        <v>4.13</v>
      </c>
      <c r="O45" s="58">
        <v>3.71</v>
      </c>
      <c r="P45" s="58">
        <v>3.68</v>
      </c>
      <c r="Q45" s="58">
        <v>3.38</v>
      </c>
      <c r="R45" s="58">
        <v>3</v>
      </c>
      <c r="S45" s="97">
        <f t="shared" si="20"/>
        <v>4.2415384615384619</v>
      </c>
      <c r="T45" s="4">
        <f t="shared" ca="1" si="21"/>
        <v>0</v>
      </c>
      <c r="U45" s="4">
        <f t="shared" ca="1" si="22"/>
        <v>108</v>
      </c>
      <c r="V45" s="4">
        <f t="shared" ca="1" si="23"/>
        <v>252</v>
      </c>
      <c r="W45" s="13">
        <f t="shared" ca="1" si="24"/>
        <v>4.7939999999999996</v>
      </c>
      <c r="X45" s="5">
        <f t="shared" ca="1" si="25"/>
        <v>0.1302502720348202</v>
      </c>
      <c r="Y45" s="15">
        <f t="shared" si="26"/>
        <v>7.3122529644268797E-2</v>
      </c>
      <c r="Z45" s="15">
        <f t="shared" si="27"/>
        <v>8.119658119658113E-2</v>
      </c>
      <c r="AA45" s="15">
        <f t="shared" si="28"/>
        <v>2.4070021881837933E-2</v>
      </c>
      <c r="AB45" s="15">
        <f t="shared" si="29"/>
        <v>-1.295896328293733E-2</v>
      </c>
      <c r="AC45" s="15">
        <f t="shared" si="30"/>
        <v>5.9496567505720854E-2</v>
      </c>
      <c r="AD45" s="15">
        <f t="shared" si="31"/>
        <v>6.5853658536585424E-2</v>
      </c>
      <c r="AE45" s="15">
        <f t="shared" si="32"/>
        <v>-6.8181818181818343E-2</v>
      </c>
      <c r="AF45" s="15">
        <f t="shared" si="33"/>
        <v>6.5375302663438273E-2</v>
      </c>
      <c r="AG45" s="15">
        <f t="shared" si="34"/>
        <v>0.1132075471698113</v>
      </c>
      <c r="AH45" s="15">
        <f t="shared" si="35"/>
        <v>8.152173913043459E-3</v>
      </c>
      <c r="AI45" s="15">
        <f t="shared" si="36"/>
        <v>8.8757396449704151E-2</v>
      </c>
      <c r="AJ45" s="15">
        <f t="shared" si="37"/>
        <v>0.12666666666666671</v>
      </c>
      <c r="AK45" s="5">
        <f t="shared" si="38"/>
        <v>-6.8181818181818343E-2</v>
      </c>
    </row>
    <row r="46" spans="1:37">
      <c r="A46" t="s">
        <v>64</v>
      </c>
      <c r="B46" t="s">
        <v>65</v>
      </c>
      <c r="C46" s="60">
        <v>31</v>
      </c>
      <c r="D46" s="60">
        <v>12</v>
      </c>
      <c r="E46" s="60">
        <v>2016</v>
      </c>
      <c r="F46" s="101">
        <v>2.57</v>
      </c>
      <c r="G46" s="101">
        <v>2.2400000000000002</v>
      </c>
      <c r="H46" s="101">
        <v>1.69</v>
      </c>
      <c r="I46" s="96">
        <v>1.1100000000000001</v>
      </c>
      <c r="J46" s="57">
        <v>1.42</v>
      </c>
      <c r="K46" s="58">
        <v>1.65</v>
      </c>
      <c r="L46" s="57">
        <v>1.94</v>
      </c>
      <c r="M46" s="57">
        <v>1.27</v>
      </c>
      <c r="N46" s="57">
        <v>1.02</v>
      </c>
      <c r="O46" s="57">
        <v>1.23</v>
      </c>
      <c r="P46" s="57">
        <v>1.2</v>
      </c>
      <c r="Q46" s="57">
        <v>1.17</v>
      </c>
      <c r="R46" s="58">
        <v>1.52</v>
      </c>
      <c r="S46" s="97">
        <f t="shared" si="20"/>
        <v>1.5407692307692307</v>
      </c>
      <c r="T46" s="4">
        <f t="shared" ca="1" si="21"/>
        <v>0</v>
      </c>
      <c r="U46" s="4">
        <f t="shared" ca="1" si="22"/>
        <v>108</v>
      </c>
      <c r="V46" s="4">
        <f t="shared" ca="1" si="23"/>
        <v>252</v>
      </c>
      <c r="W46" s="13">
        <f t="shared" ca="1" si="24"/>
        <v>1.855</v>
      </c>
      <c r="X46" s="5">
        <f t="shared" ca="1" si="25"/>
        <v>0.20394408387418883</v>
      </c>
      <c r="Y46" s="15">
        <f t="shared" si="26"/>
        <v>0.14732142857142838</v>
      </c>
      <c r="Z46" s="15">
        <f t="shared" si="27"/>
        <v>0.32544378698224863</v>
      </c>
      <c r="AA46" s="15">
        <f t="shared" si="28"/>
        <v>0.52252252252252229</v>
      </c>
      <c r="AB46" s="15">
        <f t="shared" si="29"/>
        <v>-0.21830985915492951</v>
      </c>
      <c r="AC46" s="15">
        <f t="shared" si="30"/>
        <v>-0.1393939393939394</v>
      </c>
      <c r="AD46" s="15">
        <f t="shared" si="31"/>
        <v>-0.14948453608247425</v>
      </c>
      <c r="AE46" s="15">
        <f t="shared" si="32"/>
        <v>0.52755905511811019</v>
      </c>
      <c r="AF46" s="15">
        <f t="shared" si="33"/>
        <v>0.24509803921568629</v>
      </c>
      <c r="AG46" s="15">
        <f t="shared" si="34"/>
        <v>-0.1707317073170731</v>
      </c>
      <c r="AH46" s="15">
        <f t="shared" si="35"/>
        <v>2.5000000000000133E-2</v>
      </c>
      <c r="AI46" s="15">
        <f t="shared" si="36"/>
        <v>2.5641025641025772E-2</v>
      </c>
      <c r="AJ46" s="15">
        <f t="shared" si="37"/>
        <v>-0.23026315789473695</v>
      </c>
      <c r="AK46" s="5">
        <f t="shared" si="38"/>
        <v>-0.23026315789473695</v>
      </c>
    </row>
    <row r="47" spans="1:37">
      <c r="A47" t="s">
        <v>66</v>
      </c>
      <c r="B47" t="s">
        <v>67</v>
      </c>
      <c r="C47" s="60">
        <v>31</v>
      </c>
      <c r="D47" s="60">
        <v>12</v>
      </c>
      <c r="E47" s="60">
        <v>2016</v>
      </c>
      <c r="F47" s="101">
        <v>5.2</v>
      </c>
      <c r="G47" s="101">
        <v>4.78</v>
      </c>
      <c r="H47" s="101">
        <v>4.3600000000000003</v>
      </c>
      <c r="I47" s="96">
        <v>4.42</v>
      </c>
      <c r="J47" s="58">
        <v>5.0199999999999996</v>
      </c>
      <c r="K47" s="58">
        <v>5.4</v>
      </c>
      <c r="L47" s="58">
        <v>5.22</v>
      </c>
      <c r="M47" s="58">
        <v>4.88</v>
      </c>
      <c r="N47" s="58">
        <v>3.87</v>
      </c>
      <c r="O47" s="58">
        <v>3.29</v>
      </c>
      <c r="P47" s="57">
        <v>3.31</v>
      </c>
      <c r="Q47" s="58">
        <v>2.8</v>
      </c>
      <c r="R47" s="58">
        <v>2.91</v>
      </c>
      <c r="S47" s="97">
        <f t="shared" si="20"/>
        <v>4.2661538461538457</v>
      </c>
      <c r="T47" s="4">
        <f t="shared" ca="1" si="21"/>
        <v>0</v>
      </c>
      <c r="U47" s="4">
        <f t="shared" ca="1" si="22"/>
        <v>108</v>
      </c>
      <c r="V47" s="4">
        <f t="shared" ca="1" si="23"/>
        <v>252</v>
      </c>
      <c r="W47" s="13">
        <f t="shared" ca="1" si="24"/>
        <v>4.4860000000000007</v>
      </c>
      <c r="X47" s="5">
        <f t="shared" ca="1" si="25"/>
        <v>5.1532636134151044E-2</v>
      </c>
      <c r="Y47" s="15">
        <f t="shared" si="26"/>
        <v>8.786610878661083E-2</v>
      </c>
      <c r="Z47" s="15">
        <f t="shared" si="27"/>
        <v>9.6330275229357776E-2</v>
      </c>
      <c r="AA47" s="15">
        <f t="shared" si="28"/>
        <v>-1.3574660633484115E-2</v>
      </c>
      <c r="AB47" s="15">
        <f t="shared" si="29"/>
        <v>-0.1195219123505975</v>
      </c>
      <c r="AC47" s="15">
        <f t="shared" si="30"/>
        <v>-7.0370370370370527E-2</v>
      </c>
      <c r="AD47" s="15">
        <f t="shared" si="31"/>
        <v>3.4482758620689724E-2</v>
      </c>
      <c r="AE47" s="15">
        <f t="shared" si="32"/>
        <v>6.9672131147541005E-2</v>
      </c>
      <c r="AF47" s="15">
        <f t="shared" si="33"/>
        <v>0.26098191214470279</v>
      </c>
      <c r="AG47" s="15">
        <f t="shared" si="34"/>
        <v>0.17629179331306988</v>
      </c>
      <c r="AH47" s="15">
        <f t="shared" si="35"/>
        <v>-6.0422960725076136E-3</v>
      </c>
      <c r="AI47" s="15">
        <f t="shared" si="36"/>
        <v>0.18214285714285716</v>
      </c>
      <c r="AJ47" s="15">
        <f t="shared" si="37"/>
        <v>-3.7800687285223455E-2</v>
      </c>
      <c r="AK47" s="5">
        <f t="shared" si="38"/>
        <v>-0.1195219123505975</v>
      </c>
    </row>
    <row r="48" spans="1:37">
      <c r="A48" t="s">
        <v>68</v>
      </c>
      <c r="B48" t="s">
        <v>69</v>
      </c>
      <c r="C48" s="60">
        <v>30</v>
      </c>
      <c r="D48" s="60">
        <v>6</v>
      </c>
      <c r="E48" s="60">
        <v>2016</v>
      </c>
      <c r="F48" s="101">
        <v>4.29</v>
      </c>
      <c r="G48" s="101">
        <v>4.17</v>
      </c>
      <c r="H48" s="101">
        <v>3.56</v>
      </c>
      <c r="I48" s="102">
        <v>4.0199999999999996</v>
      </c>
      <c r="J48" s="58">
        <v>4.09</v>
      </c>
      <c r="K48" s="58">
        <v>4.0199999999999996</v>
      </c>
      <c r="L48" s="58">
        <v>3.85</v>
      </c>
      <c r="M48" s="58">
        <v>3.87</v>
      </c>
      <c r="N48" s="58">
        <v>3.67</v>
      </c>
      <c r="O48" s="58">
        <v>3.47</v>
      </c>
      <c r="P48" s="58">
        <v>3.41</v>
      </c>
      <c r="Q48" s="57">
        <v>3.04</v>
      </c>
      <c r="R48" s="57">
        <v>2.64</v>
      </c>
      <c r="S48" s="97">
        <f t="shared" si="20"/>
        <v>3.7</v>
      </c>
      <c r="T48" s="4">
        <f t="shared" ca="1" si="21"/>
        <v>0</v>
      </c>
      <c r="U48" s="4">
        <f t="shared" ca="1" si="22"/>
        <v>289</v>
      </c>
      <c r="V48" s="4">
        <f t="shared" ca="1" si="23"/>
        <v>71</v>
      </c>
      <c r="W48" s="13">
        <f t="shared" ca="1" si="24"/>
        <v>4.0496944444444445</v>
      </c>
      <c r="X48" s="5">
        <f t="shared" ca="1" si="25"/>
        <v>9.4512012012011981E-2</v>
      </c>
      <c r="Y48" s="15">
        <f t="shared" si="26"/>
        <v>2.877697841726623E-2</v>
      </c>
      <c r="Z48" s="15">
        <f t="shared" si="27"/>
        <v>0.1713483146067416</v>
      </c>
      <c r="AA48" s="15">
        <f t="shared" si="28"/>
        <v>-0.11442786069651734</v>
      </c>
      <c r="AB48" s="15">
        <f t="shared" si="29"/>
        <v>-1.7114914425427896E-2</v>
      </c>
      <c r="AC48" s="15">
        <f t="shared" si="30"/>
        <v>1.7412935323383172E-2</v>
      </c>
      <c r="AD48" s="15">
        <f t="shared" si="31"/>
        <v>4.415584415584406E-2</v>
      </c>
      <c r="AE48" s="15">
        <f t="shared" si="32"/>
        <v>-5.1679586563307955E-3</v>
      </c>
      <c r="AF48" s="15">
        <f t="shared" si="33"/>
        <v>5.4495912806539648E-2</v>
      </c>
      <c r="AG48" s="15">
        <f t="shared" si="34"/>
        <v>5.7636887608069065E-2</v>
      </c>
      <c r="AH48" s="15">
        <f t="shared" si="35"/>
        <v>1.7595307917888547E-2</v>
      </c>
      <c r="AI48" s="15">
        <f t="shared" si="36"/>
        <v>0.1217105263157896</v>
      </c>
      <c r="AJ48" s="15">
        <f t="shared" si="37"/>
        <v>0.15151515151515138</v>
      </c>
      <c r="AK48" s="5">
        <f t="shared" si="38"/>
        <v>-0.11442786069651734</v>
      </c>
    </row>
    <row r="49" spans="1:37">
      <c r="A49" t="s">
        <v>70</v>
      </c>
      <c r="B49" t="s">
        <v>71</v>
      </c>
      <c r="C49" s="60">
        <v>31</v>
      </c>
      <c r="D49" s="60">
        <v>12</v>
      </c>
      <c r="E49" s="60">
        <v>2016</v>
      </c>
      <c r="F49" s="101">
        <v>4.16</v>
      </c>
      <c r="G49" s="101">
        <v>4.07</v>
      </c>
      <c r="H49" s="101">
        <v>4.01</v>
      </c>
      <c r="I49" s="102">
        <v>3.99</v>
      </c>
      <c r="J49" s="58">
        <v>3.35</v>
      </c>
      <c r="K49" s="58">
        <v>2.84</v>
      </c>
      <c r="L49" s="58">
        <v>2.2400000000000002</v>
      </c>
      <c r="M49" s="58">
        <v>2.15</v>
      </c>
      <c r="N49" s="58">
        <v>2.08</v>
      </c>
      <c r="O49" s="58">
        <v>2.4</v>
      </c>
      <c r="P49" s="58">
        <v>2.54</v>
      </c>
      <c r="Q49" s="58">
        <v>2.36</v>
      </c>
      <c r="R49" s="58">
        <v>2.06</v>
      </c>
      <c r="S49" s="97">
        <f t="shared" si="20"/>
        <v>2.9423076923076925</v>
      </c>
      <c r="T49" s="4">
        <f t="shared" ca="1" si="21"/>
        <v>0</v>
      </c>
      <c r="U49" s="4">
        <f t="shared" ca="1" si="22"/>
        <v>108</v>
      </c>
      <c r="V49" s="4">
        <f t="shared" ca="1" si="23"/>
        <v>252</v>
      </c>
      <c r="W49" s="13">
        <f t="shared" ca="1" si="24"/>
        <v>4.0280000000000005</v>
      </c>
      <c r="X49" s="5">
        <f t="shared" ca="1" si="25"/>
        <v>0.36899346405228761</v>
      </c>
      <c r="Y49" s="15">
        <f t="shared" si="26"/>
        <v>2.2113022113022129E-2</v>
      </c>
      <c r="Z49" s="15">
        <f t="shared" si="27"/>
        <v>1.4962593516209655E-2</v>
      </c>
      <c r="AA49" s="15">
        <f t="shared" si="28"/>
        <v>5.0125313283206907E-3</v>
      </c>
      <c r="AB49" s="15">
        <f t="shared" si="29"/>
        <v>0.19104477611940296</v>
      </c>
      <c r="AC49" s="15">
        <f t="shared" si="30"/>
        <v>0.17957746478873249</v>
      </c>
      <c r="AD49" s="15">
        <f t="shared" si="31"/>
        <v>0.26785714285714257</v>
      </c>
      <c r="AE49" s="15">
        <f t="shared" si="32"/>
        <v>4.1860465116279277E-2</v>
      </c>
      <c r="AF49" s="15">
        <f t="shared" si="33"/>
        <v>3.3653846153846034E-2</v>
      </c>
      <c r="AG49" s="15">
        <f t="shared" si="34"/>
        <v>-0.1333333333333333</v>
      </c>
      <c r="AH49" s="15">
        <f t="shared" si="35"/>
        <v>-5.5118110236220486E-2</v>
      </c>
      <c r="AI49" s="15">
        <f t="shared" si="36"/>
        <v>7.6271186440677985E-2</v>
      </c>
      <c r="AJ49" s="15">
        <f t="shared" si="37"/>
        <v>0.14563106796116498</v>
      </c>
      <c r="AK49" s="5">
        <f t="shared" si="38"/>
        <v>-0.1333333333333333</v>
      </c>
    </row>
    <row r="50" spans="1:37">
      <c r="A50" t="s">
        <v>260</v>
      </c>
      <c r="B50" t="s">
        <v>265</v>
      </c>
      <c r="C50" s="60">
        <v>30</v>
      </c>
      <c r="D50" s="60">
        <v>9</v>
      </c>
      <c r="E50" s="60">
        <v>2016</v>
      </c>
      <c r="F50" s="101">
        <v>3.86</v>
      </c>
      <c r="G50" s="101">
        <v>3.23</v>
      </c>
      <c r="H50" s="101">
        <v>2.85</v>
      </c>
      <c r="I50" s="96">
        <v>2.58</v>
      </c>
      <c r="J50" s="57">
        <v>2.15</v>
      </c>
      <c r="K50" s="57">
        <v>1.9</v>
      </c>
      <c r="L50" s="58">
        <v>1.54</v>
      </c>
      <c r="M50" s="57">
        <v>1.29</v>
      </c>
      <c r="N50" s="57">
        <v>1</v>
      </c>
      <c r="O50" s="57">
        <v>0.78</v>
      </c>
      <c r="P50" s="57">
        <v>0.24</v>
      </c>
      <c r="Q50" s="57"/>
      <c r="R50" s="57"/>
      <c r="S50" s="97">
        <f t="shared" si="20"/>
        <v>1.947272727272727</v>
      </c>
      <c r="T50" s="4">
        <f t="shared" ca="1" si="21"/>
        <v>0</v>
      </c>
      <c r="U50" s="4">
        <f t="shared" ca="1" si="22"/>
        <v>199</v>
      </c>
      <c r="V50" s="4">
        <f t="shared" ca="1" si="23"/>
        <v>161</v>
      </c>
      <c r="W50" s="13">
        <f t="shared" ca="1" si="24"/>
        <v>3.0600555555555555</v>
      </c>
      <c r="X50" s="5">
        <f t="shared" ca="1" si="25"/>
        <v>0.57145710135906236</v>
      </c>
      <c r="Y50" s="15">
        <f t="shared" si="26"/>
        <v>0.195046439628483</v>
      </c>
      <c r="Z50" s="15">
        <f t="shared" si="27"/>
        <v>0.1333333333333333</v>
      </c>
      <c r="AA50" s="15">
        <f t="shared" si="28"/>
        <v>0.10465116279069764</v>
      </c>
      <c r="AB50" s="15">
        <f t="shared" si="29"/>
        <v>0.20000000000000018</v>
      </c>
      <c r="AC50" s="15">
        <f t="shared" si="30"/>
        <v>0.13157894736842102</v>
      </c>
      <c r="AD50" s="15">
        <f t="shared" si="31"/>
        <v>0.23376623376623362</v>
      </c>
      <c r="AE50" s="15">
        <f t="shared" si="32"/>
        <v>0.193798449612403</v>
      </c>
      <c r="AF50" s="15">
        <f t="shared" si="33"/>
        <v>0.29000000000000004</v>
      </c>
      <c r="AG50" s="15">
        <f t="shared" si="34"/>
        <v>0.28205128205128194</v>
      </c>
      <c r="AH50" s="15">
        <f t="shared" si="35"/>
        <v>2.2500000000000004</v>
      </c>
      <c r="AI50" s="15">
        <f t="shared" si="36"/>
        <v>99.999989999999997</v>
      </c>
      <c r="AJ50" s="15">
        <f t="shared" si="37"/>
        <v>99.999989999999997</v>
      </c>
      <c r="AK50" s="5">
        <f t="shared" si="38"/>
        <v>0.10465116279069764</v>
      </c>
    </row>
    <row r="51" spans="1:37">
      <c r="A51" t="s">
        <v>72</v>
      </c>
      <c r="B51" t="s">
        <v>73</v>
      </c>
      <c r="C51" s="60">
        <v>31</v>
      </c>
      <c r="D51" s="60">
        <v>1</v>
      </c>
      <c r="E51" s="60">
        <v>2016</v>
      </c>
      <c r="F51" s="101">
        <v>4.41</v>
      </c>
      <c r="G51" s="101">
        <v>4.1900000000000004</v>
      </c>
      <c r="H51" s="58">
        <v>4.59</v>
      </c>
      <c r="I51" s="58">
        <v>5.07</v>
      </c>
      <c r="J51" s="58">
        <v>5.1100000000000003</v>
      </c>
      <c r="K51" s="57">
        <v>5.0199999999999996</v>
      </c>
      <c r="L51" s="58">
        <v>4.49</v>
      </c>
      <c r="M51" s="58">
        <v>4.07</v>
      </c>
      <c r="N51" s="58">
        <v>3.66</v>
      </c>
      <c r="O51" s="58">
        <v>3.42</v>
      </c>
      <c r="P51" s="57">
        <v>3.13</v>
      </c>
      <c r="Q51" s="57">
        <v>2.71</v>
      </c>
      <c r="R51" s="57">
        <v>2.68</v>
      </c>
      <c r="S51" s="97">
        <f t="shared" si="20"/>
        <v>4.042307692307693</v>
      </c>
      <c r="T51" s="4">
        <f t="shared" ca="1" si="21"/>
        <v>78</v>
      </c>
      <c r="U51" s="4">
        <f t="shared" ca="1" si="22"/>
        <v>282</v>
      </c>
      <c r="V51" s="4">
        <f t="shared" ca="1" si="23"/>
        <v>0</v>
      </c>
      <c r="W51" s="13">
        <f t="shared" ca="1" si="24"/>
        <v>4.2376666666666667</v>
      </c>
      <c r="X51" s="5">
        <f t="shared" ca="1" si="25"/>
        <v>4.8328575959403652E-2</v>
      </c>
      <c r="Y51" s="15">
        <f t="shared" si="26"/>
        <v>5.2505966587112152E-2</v>
      </c>
      <c r="Z51" s="15">
        <f t="shared" si="27"/>
        <v>-8.7145969498910514E-2</v>
      </c>
      <c r="AA51" s="15">
        <f t="shared" si="28"/>
        <v>-9.4674556213017791E-2</v>
      </c>
      <c r="AB51" s="15">
        <f t="shared" si="29"/>
        <v>-7.8277886497064575E-3</v>
      </c>
      <c r="AC51" s="15">
        <f t="shared" si="30"/>
        <v>1.7928286852589848E-2</v>
      </c>
      <c r="AD51" s="15">
        <f t="shared" si="31"/>
        <v>0.11804008908685959</v>
      </c>
      <c r="AE51" s="15">
        <f t="shared" si="32"/>
        <v>0.10319410319410327</v>
      </c>
      <c r="AF51" s="15">
        <f t="shared" si="33"/>
        <v>0.11202185792349728</v>
      </c>
      <c r="AG51" s="15">
        <f t="shared" si="34"/>
        <v>7.0175438596491224E-2</v>
      </c>
      <c r="AH51" s="15">
        <f t="shared" si="35"/>
        <v>9.2651757188498385E-2</v>
      </c>
      <c r="AI51" s="15">
        <f t="shared" si="36"/>
        <v>0.15498154981549805</v>
      </c>
      <c r="AJ51" s="15">
        <f t="shared" si="37"/>
        <v>1.1194029850746245E-2</v>
      </c>
      <c r="AK51" s="5">
        <f t="shared" si="38"/>
        <v>-9.4674556213017791E-2</v>
      </c>
    </row>
    <row r="52" spans="1:37">
      <c r="A52" t="s">
        <v>74</v>
      </c>
      <c r="B52" t="s">
        <v>75</v>
      </c>
      <c r="C52" s="60">
        <v>31</v>
      </c>
      <c r="D52" s="60">
        <v>12</v>
      </c>
      <c r="E52" s="60">
        <v>2016</v>
      </c>
      <c r="F52" s="101">
        <v>5.32</v>
      </c>
      <c r="G52" s="101">
        <v>5.03</v>
      </c>
      <c r="H52" s="101">
        <v>4.4000000000000004</v>
      </c>
      <c r="I52" s="96">
        <v>4.96</v>
      </c>
      <c r="J52" s="57">
        <v>5.54</v>
      </c>
      <c r="K52" s="58">
        <v>4.91</v>
      </c>
      <c r="L52" s="57">
        <v>4.45</v>
      </c>
      <c r="M52" s="57">
        <v>3.63</v>
      </c>
      <c r="N52" s="57">
        <v>3.17</v>
      </c>
      <c r="O52" s="57">
        <v>2.48</v>
      </c>
      <c r="P52" s="57">
        <v>2.5099999999999998</v>
      </c>
      <c r="Q52" s="57">
        <v>2.61</v>
      </c>
      <c r="R52" s="57">
        <v>1.96</v>
      </c>
      <c r="S52" s="97">
        <f t="shared" si="20"/>
        <v>3.9207692307692308</v>
      </c>
      <c r="T52" s="4">
        <f t="shared" ca="1" si="21"/>
        <v>0</v>
      </c>
      <c r="U52" s="4">
        <f t="shared" ca="1" si="22"/>
        <v>108</v>
      </c>
      <c r="V52" s="4">
        <f t="shared" ca="1" si="23"/>
        <v>252</v>
      </c>
      <c r="W52" s="13">
        <f t="shared" ca="1" si="24"/>
        <v>4.5890000000000004</v>
      </c>
      <c r="X52" s="5">
        <f t="shared" ca="1" si="25"/>
        <v>0.17043358838532474</v>
      </c>
      <c r="Y52" s="15">
        <f t="shared" si="26"/>
        <v>5.7654075546719641E-2</v>
      </c>
      <c r="Z52" s="15">
        <f t="shared" si="27"/>
        <v>0.14318181818181808</v>
      </c>
      <c r="AA52" s="15">
        <f t="shared" si="28"/>
        <v>-0.11290322580645151</v>
      </c>
      <c r="AB52" s="15">
        <f t="shared" si="29"/>
        <v>-0.10469314079422387</v>
      </c>
      <c r="AC52" s="15">
        <f t="shared" si="30"/>
        <v>0.12830957230142559</v>
      </c>
      <c r="AD52" s="15">
        <f t="shared" si="31"/>
        <v>0.10337078651685383</v>
      </c>
      <c r="AE52" s="15">
        <f t="shared" si="32"/>
        <v>0.22589531680440778</v>
      </c>
      <c r="AF52" s="15">
        <f t="shared" si="33"/>
        <v>0.14511041009463721</v>
      </c>
      <c r="AG52" s="15">
        <f t="shared" si="34"/>
        <v>0.27822580645161299</v>
      </c>
      <c r="AH52" s="15">
        <f t="shared" si="35"/>
        <v>-1.1952191235059639E-2</v>
      </c>
      <c r="AI52" s="15">
        <f t="shared" si="36"/>
        <v>-3.8314176245210718E-2</v>
      </c>
      <c r="AJ52" s="15">
        <f t="shared" si="37"/>
        <v>0.33163265306122436</v>
      </c>
      <c r="AK52" s="5">
        <f t="shared" si="38"/>
        <v>-0.11290322580645151</v>
      </c>
    </row>
    <row r="53" spans="1:37">
      <c r="A53" t="s">
        <v>76</v>
      </c>
      <c r="B53" t="s">
        <v>77</v>
      </c>
      <c r="C53" s="60">
        <v>31</v>
      </c>
      <c r="D53" s="60">
        <v>12</v>
      </c>
      <c r="E53" s="60">
        <v>2016</v>
      </c>
      <c r="F53" s="101">
        <v>2090</v>
      </c>
      <c r="G53" s="101">
        <v>1936</v>
      </c>
      <c r="H53" s="101">
        <v>1761</v>
      </c>
      <c r="I53" s="96">
        <v>1612</v>
      </c>
      <c r="J53" s="57">
        <v>1460</v>
      </c>
      <c r="K53" s="57">
        <v>1314</v>
      </c>
      <c r="L53" s="57">
        <v>1187</v>
      </c>
      <c r="M53" s="57">
        <v>1078</v>
      </c>
      <c r="N53" s="57">
        <v>1055</v>
      </c>
      <c r="O53" s="57">
        <v>850.9</v>
      </c>
      <c r="P53" s="57">
        <v>1140</v>
      </c>
      <c r="Q53" s="57">
        <v>1091</v>
      </c>
      <c r="R53" s="57">
        <v>921.2</v>
      </c>
      <c r="S53" s="97">
        <f t="shared" si="20"/>
        <v>1345.8538461538462</v>
      </c>
      <c r="T53" s="4">
        <f t="shared" ca="1" si="21"/>
        <v>0</v>
      </c>
      <c r="U53" s="4">
        <f t="shared" ca="1" si="22"/>
        <v>108</v>
      </c>
      <c r="V53" s="4">
        <f t="shared" ca="1" si="23"/>
        <v>252</v>
      </c>
      <c r="W53" s="13">
        <f t="shared" ca="1" si="24"/>
        <v>1813.5</v>
      </c>
      <c r="X53" s="5">
        <f t="shared" ca="1" si="25"/>
        <v>0.34747172226953427</v>
      </c>
      <c r="Y53" s="15">
        <f t="shared" si="26"/>
        <v>7.9545454545454586E-2</v>
      </c>
      <c r="Z53" s="15">
        <f t="shared" si="27"/>
        <v>9.9375354911981795E-2</v>
      </c>
      <c r="AA53" s="15">
        <f t="shared" si="28"/>
        <v>9.2431761786600397E-2</v>
      </c>
      <c r="AB53" s="15">
        <f t="shared" si="29"/>
        <v>0.10410958904109591</v>
      </c>
      <c r="AC53" s="15">
        <f t="shared" si="30"/>
        <v>0.11111111111111116</v>
      </c>
      <c r="AD53" s="15">
        <f t="shared" si="31"/>
        <v>0.10699241786015157</v>
      </c>
      <c r="AE53" s="15">
        <f t="shared" si="32"/>
        <v>0.10111317254174401</v>
      </c>
      <c r="AF53" s="15">
        <f t="shared" si="33"/>
        <v>2.180094786729847E-2</v>
      </c>
      <c r="AG53" s="15">
        <f t="shared" si="34"/>
        <v>0.23986367375719819</v>
      </c>
      <c r="AH53" s="15">
        <f t="shared" si="35"/>
        <v>-0.25359649122807015</v>
      </c>
      <c r="AI53" s="15">
        <f t="shared" si="36"/>
        <v>4.4912923923006387E-2</v>
      </c>
      <c r="AJ53" s="15">
        <f t="shared" si="37"/>
        <v>0.18432479374728605</v>
      </c>
      <c r="AK53" s="5">
        <f t="shared" si="38"/>
        <v>-0.25359649122807015</v>
      </c>
    </row>
    <row r="54" spans="1:37">
      <c r="A54" t="s">
        <v>79</v>
      </c>
      <c r="B54" t="s">
        <v>80</v>
      </c>
      <c r="C54" s="60">
        <v>31</v>
      </c>
      <c r="D54" s="60">
        <v>12</v>
      </c>
      <c r="E54" s="60">
        <v>2016</v>
      </c>
      <c r="F54" s="101">
        <v>5.56</v>
      </c>
      <c r="G54" s="101">
        <v>5.2</v>
      </c>
      <c r="H54" s="101">
        <v>4.8499999999999996</v>
      </c>
      <c r="I54" s="102">
        <v>4.88</v>
      </c>
      <c r="J54" s="58">
        <v>4.38</v>
      </c>
      <c r="K54" s="58">
        <v>4.07</v>
      </c>
      <c r="L54" s="58">
        <v>3.63</v>
      </c>
      <c r="M54" s="58">
        <v>3.14</v>
      </c>
      <c r="N54" s="58">
        <v>2.82</v>
      </c>
      <c r="O54" s="58">
        <v>1.91</v>
      </c>
      <c r="P54" s="58">
        <v>2.19</v>
      </c>
      <c r="Q54" s="58">
        <v>2.19</v>
      </c>
      <c r="R54" s="57">
        <v>1.99</v>
      </c>
      <c r="S54" s="97">
        <f t="shared" si="20"/>
        <v>3.6007692307692305</v>
      </c>
      <c r="T54" s="4">
        <f t="shared" ca="1" si="21"/>
        <v>0</v>
      </c>
      <c r="U54" s="4">
        <f t="shared" ca="1" si="22"/>
        <v>108</v>
      </c>
      <c r="V54" s="4">
        <f t="shared" ca="1" si="23"/>
        <v>252</v>
      </c>
      <c r="W54" s="13">
        <f t="shared" ca="1" si="24"/>
        <v>4.9550000000000001</v>
      </c>
      <c r="X54" s="5">
        <f t="shared" ca="1" si="25"/>
        <v>0.37609485152745159</v>
      </c>
      <c r="Y54" s="15">
        <f t="shared" si="26"/>
        <v>6.9230769230769207E-2</v>
      </c>
      <c r="Z54" s="15">
        <f t="shared" si="27"/>
        <v>7.2164948453608435E-2</v>
      </c>
      <c r="AA54" s="15">
        <f t="shared" si="28"/>
        <v>-6.147540983606592E-3</v>
      </c>
      <c r="AB54" s="15">
        <f t="shared" si="29"/>
        <v>0.11415525114155245</v>
      </c>
      <c r="AC54" s="15">
        <f t="shared" si="30"/>
        <v>7.6167076167076075E-2</v>
      </c>
      <c r="AD54" s="15">
        <f t="shared" si="31"/>
        <v>0.12121212121212133</v>
      </c>
      <c r="AE54" s="15">
        <f t="shared" si="32"/>
        <v>0.15605095541401259</v>
      </c>
      <c r="AF54" s="15">
        <f t="shared" si="33"/>
        <v>0.1134751773049647</v>
      </c>
      <c r="AG54" s="15">
        <f t="shared" si="34"/>
        <v>0.47643979057591612</v>
      </c>
      <c r="AH54" s="15">
        <f t="shared" si="35"/>
        <v>-0.12785388127853881</v>
      </c>
      <c r="AI54" s="15">
        <f t="shared" si="36"/>
        <v>0</v>
      </c>
      <c r="AJ54" s="15">
        <f t="shared" si="37"/>
        <v>0.10050251256281406</v>
      </c>
      <c r="AK54" s="5">
        <f t="shared" si="38"/>
        <v>-0.12785388127853881</v>
      </c>
    </row>
    <row r="55" spans="1:37">
      <c r="A55" s="52" t="s">
        <v>266</v>
      </c>
      <c r="B55" s="52" t="s">
        <v>270</v>
      </c>
      <c r="C55" s="104">
        <v>31</v>
      </c>
      <c r="D55" s="104">
        <v>12</v>
      </c>
      <c r="E55" s="104">
        <v>2016</v>
      </c>
      <c r="F55" s="101">
        <v>7.99</v>
      </c>
      <c r="G55" s="101">
        <v>7.4</v>
      </c>
      <c r="H55" s="101">
        <v>6.88</v>
      </c>
      <c r="I55" s="96">
        <v>6.18</v>
      </c>
      <c r="J55" s="58">
        <v>7.13</v>
      </c>
      <c r="K55" s="57">
        <v>7.1</v>
      </c>
      <c r="L55" s="58">
        <v>7.89</v>
      </c>
      <c r="M55" s="58">
        <v>7.71</v>
      </c>
      <c r="N55" s="58">
        <v>6.89</v>
      </c>
      <c r="O55" s="58">
        <v>4.58</v>
      </c>
      <c r="P55" s="58">
        <v>5.46</v>
      </c>
      <c r="Q55" s="58">
        <v>5.0199999999999996</v>
      </c>
      <c r="R55" s="58">
        <v>4.66</v>
      </c>
      <c r="S55" s="97">
        <f t="shared" si="20"/>
        <v>6.5299999999999994</v>
      </c>
      <c r="T55" s="4">
        <f t="shared" ca="1" si="21"/>
        <v>0</v>
      </c>
      <c r="U55" s="4">
        <f t="shared" ca="1" si="22"/>
        <v>108</v>
      </c>
      <c r="V55" s="4">
        <f t="shared" ca="1" si="23"/>
        <v>252</v>
      </c>
      <c r="W55" s="13">
        <f t="shared" ca="1" si="24"/>
        <v>7.0359999999999996</v>
      </c>
      <c r="X55" s="5">
        <f t="shared" ca="1" si="25"/>
        <v>7.7488514548238907E-2</v>
      </c>
      <c r="Y55" s="15">
        <f t="shared" si="26"/>
        <v>7.9729729729729693E-2</v>
      </c>
      <c r="Z55" s="15">
        <f t="shared" si="27"/>
        <v>7.5581395348837344E-2</v>
      </c>
      <c r="AA55" s="15">
        <f t="shared" si="28"/>
        <v>0.11326860841423958</v>
      </c>
      <c r="AB55" s="15">
        <f t="shared" si="29"/>
        <v>-0.13323983169705478</v>
      </c>
      <c r="AC55" s="15">
        <f t="shared" si="30"/>
        <v>4.2253521126760507E-3</v>
      </c>
      <c r="AD55" s="15">
        <f t="shared" si="31"/>
        <v>-0.10012674271229405</v>
      </c>
      <c r="AE55" s="15">
        <f t="shared" si="32"/>
        <v>2.3346303501945442E-2</v>
      </c>
      <c r="AF55" s="15">
        <f t="shared" si="33"/>
        <v>0.11901306240928888</v>
      </c>
      <c r="AG55" s="15">
        <f t="shared" si="34"/>
        <v>0.50436681222707413</v>
      </c>
      <c r="AH55" s="15">
        <f t="shared" si="35"/>
        <v>-0.16117216117216115</v>
      </c>
      <c r="AI55" s="15">
        <f t="shared" si="36"/>
        <v>8.7649402390438391E-2</v>
      </c>
      <c r="AJ55" s="15">
        <f t="shared" si="37"/>
        <v>7.7253218884119956E-2</v>
      </c>
      <c r="AK55" s="5">
        <f t="shared" si="38"/>
        <v>-0.16117216117216115</v>
      </c>
    </row>
    <row r="56" spans="1:37">
      <c r="A56" s="52" t="s">
        <v>320</v>
      </c>
      <c r="B56" s="52" t="s">
        <v>321</v>
      </c>
      <c r="C56" s="104">
        <v>31</v>
      </c>
      <c r="D56" s="104">
        <v>8</v>
      </c>
      <c r="E56" s="104">
        <v>2016</v>
      </c>
      <c r="F56" s="101">
        <v>5.45</v>
      </c>
      <c r="G56" s="101">
        <v>4.7</v>
      </c>
      <c r="H56" s="101">
        <v>4.3099999999999996</v>
      </c>
      <c r="I56" s="96">
        <v>4.5999999999999996</v>
      </c>
      <c r="J56" s="58">
        <v>3.343</v>
      </c>
      <c r="K56" s="58">
        <v>3.52</v>
      </c>
      <c r="L56" s="58">
        <v>3.3610000000000002</v>
      </c>
      <c r="M56" s="58">
        <v>3.0339999999999998</v>
      </c>
      <c r="N56" s="58">
        <v>2.7509999999999999</v>
      </c>
      <c r="O56" s="58">
        <v>2.5499999999999998</v>
      </c>
      <c r="P56" s="58">
        <v>2.48</v>
      </c>
      <c r="Q56" s="58">
        <v>2.4</v>
      </c>
      <c r="R56" s="57">
        <v>2.0699999999999998</v>
      </c>
      <c r="S56" s="97">
        <f t="shared" si="20"/>
        <v>3.4283846153846151</v>
      </c>
      <c r="T56" s="4">
        <f t="shared" ca="1" si="21"/>
        <v>0</v>
      </c>
      <c r="U56" s="4">
        <f t="shared" ca="1" si="22"/>
        <v>228</v>
      </c>
      <c r="V56" s="4">
        <f t="shared" ca="1" si="23"/>
        <v>132</v>
      </c>
      <c r="W56" s="13">
        <f t="shared" ca="1" si="24"/>
        <v>4.5570000000000004</v>
      </c>
      <c r="X56" s="5">
        <f t="shared" ca="1" si="25"/>
        <v>0.32919742421862752</v>
      </c>
      <c r="Y56" s="15">
        <f t="shared" si="26"/>
        <v>0.15957446808510634</v>
      </c>
      <c r="Z56" s="15">
        <f t="shared" si="27"/>
        <v>9.0487238979118478E-2</v>
      </c>
      <c r="AA56" s="15">
        <f t="shared" si="28"/>
        <v>-6.3043478260869534E-2</v>
      </c>
      <c r="AB56" s="15">
        <f t="shared" si="29"/>
        <v>0.37600957224050235</v>
      </c>
      <c r="AC56" s="15">
        <f t="shared" si="30"/>
        <v>-5.0284090909090917E-2</v>
      </c>
      <c r="AD56" s="15">
        <f t="shared" si="31"/>
        <v>4.7307349003272714E-2</v>
      </c>
      <c r="AE56" s="15">
        <f t="shared" si="32"/>
        <v>0.10777851021753482</v>
      </c>
      <c r="AF56" s="15">
        <f t="shared" si="33"/>
        <v>0.10287168302435479</v>
      </c>
      <c r="AG56" s="15">
        <f t="shared" si="34"/>
        <v>7.8823529411764737E-2</v>
      </c>
      <c r="AH56" s="15">
        <f t="shared" si="35"/>
        <v>2.8225806451612767E-2</v>
      </c>
      <c r="AI56" s="15">
        <f t="shared" si="36"/>
        <v>3.3333333333333437E-2</v>
      </c>
      <c r="AJ56" s="15">
        <f t="shared" si="37"/>
        <v>0.15942028985507251</v>
      </c>
      <c r="AK56" s="5">
        <f t="shared" si="38"/>
        <v>-6.3043478260869534E-2</v>
      </c>
    </row>
    <row r="57" spans="1:37">
      <c r="A57" t="s">
        <v>83</v>
      </c>
      <c r="B57" t="s">
        <v>84</v>
      </c>
      <c r="C57" s="60">
        <v>30</v>
      </c>
      <c r="D57" s="60">
        <v>6</v>
      </c>
      <c r="E57" s="60">
        <v>2016</v>
      </c>
      <c r="F57" s="101">
        <v>1.03</v>
      </c>
      <c r="G57" s="101">
        <v>0.95400000000000007</v>
      </c>
      <c r="H57" s="101">
        <v>0.92799999999999994</v>
      </c>
      <c r="I57" s="102">
        <v>0.88800000000000001</v>
      </c>
      <c r="J57" s="58">
        <v>0.95499999999999996</v>
      </c>
      <c r="K57" s="58">
        <v>1.0309999999999999</v>
      </c>
      <c r="L57" s="58">
        <v>0.92600000000000005</v>
      </c>
      <c r="M57" s="58">
        <v>0.81599999999999995</v>
      </c>
      <c r="N57" s="58">
        <v>0.70899999999999996</v>
      </c>
      <c r="O57" s="57">
        <v>0.65</v>
      </c>
      <c r="P57" s="57">
        <v>0.59</v>
      </c>
      <c r="Q57" s="57">
        <v>0.55000000000000004</v>
      </c>
      <c r="R57" s="58">
        <v>0.505</v>
      </c>
      <c r="S57" s="97">
        <f t="shared" si="20"/>
        <v>0.81015384615384634</v>
      </c>
      <c r="T57" s="4">
        <f t="shared" ca="1" si="21"/>
        <v>0</v>
      </c>
      <c r="U57" s="4">
        <f t="shared" ca="1" si="22"/>
        <v>289</v>
      </c>
      <c r="V57" s="4">
        <f t="shared" ca="1" si="23"/>
        <v>71</v>
      </c>
      <c r="W57" s="13">
        <f t="shared" ca="1" si="24"/>
        <v>0.94887222222222223</v>
      </c>
      <c r="X57" s="5">
        <f t="shared" ca="1" si="25"/>
        <v>0.17122473308857633</v>
      </c>
      <c r="Y57" s="15">
        <f t="shared" si="26"/>
        <v>7.9664570230608023E-2</v>
      </c>
      <c r="Z57" s="15">
        <f t="shared" si="27"/>
        <v>2.8017241379310498E-2</v>
      </c>
      <c r="AA57" s="15">
        <f t="shared" si="28"/>
        <v>4.5045045045045029E-2</v>
      </c>
      <c r="AB57" s="15">
        <f t="shared" si="29"/>
        <v>-7.0157068062827177E-2</v>
      </c>
      <c r="AC57" s="15">
        <f t="shared" si="30"/>
        <v>-7.3714839961202649E-2</v>
      </c>
      <c r="AD57" s="15">
        <f t="shared" si="31"/>
        <v>0.11339092872570178</v>
      </c>
      <c r="AE57" s="15">
        <f t="shared" si="32"/>
        <v>0.13480392156862764</v>
      </c>
      <c r="AF57" s="15">
        <f t="shared" si="33"/>
        <v>0.15091678420310295</v>
      </c>
      <c r="AG57" s="15">
        <f t="shared" si="34"/>
        <v>9.0769230769230713E-2</v>
      </c>
      <c r="AH57" s="15">
        <f t="shared" si="35"/>
        <v>0.10169491525423746</v>
      </c>
      <c r="AI57" s="15">
        <f t="shared" si="36"/>
        <v>7.2727272727272529E-2</v>
      </c>
      <c r="AJ57" s="15">
        <f t="shared" si="37"/>
        <v>8.9108910891089188E-2</v>
      </c>
      <c r="AK57" s="5">
        <f t="shared" si="38"/>
        <v>-7.3714839961202649E-2</v>
      </c>
    </row>
    <row r="58" spans="1:37">
      <c r="A58" t="s">
        <v>85</v>
      </c>
      <c r="B58" t="s">
        <v>86</v>
      </c>
      <c r="C58" s="60">
        <v>31</v>
      </c>
      <c r="D58" s="60">
        <v>3</v>
      </c>
      <c r="E58" s="60">
        <v>2016</v>
      </c>
      <c r="F58" s="101">
        <v>2.37</v>
      </c>
      <c r="G58" s="101">
        <v>2.12</v>
      </c>
      <c r="H58" s="101">
        <v>2</v>
      </c>
      <c r="I58" s="96">
        <v>2.04</v>
      </c>
      <c r="J58" s="57">
        <v>2.09</v>
      </c>
      <c r="K58" s="57">
        <v>2.04</v>
      </c>
      <c r="L58" s="57">
        <v>2.64</v>
      </c>
      <c r="M58" s="57">
        <v>1.52</v>
      </c>
      <c r="N58" s="57">
        <v>1.22</v>
      </c>
      <c r="O58" s="57">
        <v>1.25</v>
      </c>
      <c r="P58" s="57">
        <v>1.34</v>
      </c>
      <c r="Q58" s="57">
        <v>1.1000000000000001</v>
      </c>
      <c r="R58" s="57"/>
      <c r="S58" s="97">
        <f t="shared" si="20"/>
        <v>1.8108333333333333</v>
      </c>
      <c r="T58" s="4">
        <f t="shared" ca="1" si="21"/>
        <v>18</v>
      </c>
      <c r="U58" s="4">
        <f t="shared" ca="1" si="22"/>
        <v>342</v>
      </c>
      <c r="V58" s="4">
        <f t="shared" ca="1" si="23"/>
        <v>0</v>
      </c>
      <c r="W58" s="13">
        <f t="shared" ca="1" si="24"/>
        <v>2.1324999999999998</v>
      </c>
      <c r="X58" s="5">
        <f t="shared" ca="1" si="25"/>
        <v>0.1776346065347445</v>
      </c>
      <c r="Y58" s="15">
        <f t="shared" si="26"/>
        <v>0.11792452830188682</v>
      </c>
      <c r="Z58" s="15">
        <f t="shared" si="27"/>
        <v>6.0000000000000053E-2</v>
      </c>
      <c r="AA58" s="15">
        <f t="shared" si="28"/>
        <v>-1.9607843137254943E-2</v>
      </c>
      <c r="AB58" s="15">
        <f t="shared" si="29"/>
        <v>-2.3923444976076458E-2</v>
      </c>
      <c r="AC58" s="15">
        <f t="shared" si="30"/>
        <v>2.450980392156854E-2</v>
      </c>
      <c r="AD58" s="15">
        <f t="shared" si="31"/>
        <v>-0.22727272727272729</v>
      </c>
      <c r="AE58" s="15">
        <f t="shared" si="32"/>
        <v>0.73684210526315796</v>
      </c>
      <c r="AF58" s="15">
        <f t="shared" si="33"/>
        <v>0.24590163934426235</v>
      </c>
      <c r="AG58" s="15">
        <f t="shared" si="34"/>
        <v>-2.4000000000000021E-2</v>
      </c>
      <c r="AH58" s="15">
        <f t="shared" si="35"/>
        <v>-6.7164179104477695E-2</v>
      </c>
      <c r="AI58" s="15">
        <f t="shared" si="36"/>
        <v>0.21818181818181825</v>
      </c>
      <c r="AJ58" s="15">
        <f t="shared" si="37"/>
        <v>99.999989999999997</v>
      </c>
      <c r="AK58" s="5">
        <f t="shared" si="38"/>
        <v>-0.22727272727272729</v>
      </c>
    </row>
    <row r="59" spans="1:37">
      <c r="A59" t="s">
        <v>87</v>
      </c>
      <c r="B59" t="s">
        <v>88</v>
      </c>
      <c r="C59" s="60">
        <v>31</v>
      </c>
      <c r="D59" s="60">
        <v>12</v>
      </c>
      <c r="E59" s="60">
        <v>2016</v>
      </c>
      <c r="F59" s="101">
        <v>3.22</v>
      </c>
      <c r="G59" s="101">
        <v>2.92</v>
      </c>
      <c r="H59" s="101">
        <v>2.7</v>
      </c>
      <c r="I59" s="96">
        <v>2.41</v>
      </c>
      <c r="J59" s="58">
        <v>2.6850000000000001</v>
      </c>
      <c r="K59" s="58">
        <v>2.6949999999999998</v>
      </c>
      <c r="L59" s="58">
        <v>2.6440000000000001</v>
      </c>
      <c r="M59" s="58">
        <v>2.4710000000000001</v>
      </c>
      <c r="N59" s="57">
        <v>2.165</v>
      </c>
      <c r="O59" s="57">
        <v>1.9470000000000001</v>
      </c>
      <c r="P59" s="58">
        <v>1.5780000000000001</v>
      </c>
      <c r="Q59" s="58">
        <v>1.234</v>
      </c>
      <c r="R59" s="58">
        <v>1.071</v>
      </c>
      <c r="S59" s="97">
        <f t="shared" si="20"/>
        <v>2.2876923076923075</v>
      </c>
      <c r="T59" s="4">
        <f t="shared" ca="1" si="21"/>
        <v>0</v>
      </c>
      <c r="U59" s="4">
        <f t="shared" ca="1" si="22"/>
        <v>108</v>
      </c>
      <c r="V59" s="4">
        <f t="shared" ca="1" si="23"/>
        <v>252</v>
      </c>
      <c r="W59" s="13">
        <f t="shared" ca="1" si="24"/>
        <v>2.766</v>
      </c>
      <c r="X59" s="5">
        <f t="shared" ca="1" si="25"/>
        <v>0.20907868190988577</v>
      </c>
      <c r="Y59" s="15">
        <f t="shared" si="26"/>
        <v>0.10273972602739745</v>
      </c>
      <c r="Z59" s="15">
        <f t="shared" si="27"/>
        <v>8.1481481481481488E-2</v>
      </c>
      <c r="AA59" s="15">
        <f t="shared" si="28"/>
        <v>0.1203319502074689</v>
      </c>
      <c r="AB59" s="15">
        <f t="shared" si="29"/>
        <v>-0.10242085661080069</v>
      </c>
      <c r="AC59" s="15">
        <f t="shared" si="30"/>
        <v>-3.7105751391465214E-3</v>
      </c>
      <c r="AD59" s="15">
        <f t="shared" si="31"/>
        <v>1.9288956127080148E-2</v>
      </c>
      <c r="AE59" s="15">
        <f t="shared" si="32"/>
        <v>7.0012140833670689E-2</v>
      </c>
      <c r="AF59" s="15">
        <f t="shared" si="33"/>
        <v>0.14133949191685913</v>
      </c>
      <c r="AG59" s="15">
        <f t="shared" si="34"/>
        <v>0.11196712891628136</v>
      </c>
      <c r="AH59" s="15">
        <f t="shared" si="35"/>
        <v>0.23384030418250945</v>
      </c>
      <c r="AI59" s="15">
        <f t="shared" si="36"/>
        <v>0.27876823338735823</v>
      </c>
      <c r="AJ59" s="15">
        <f t="shared" si="37"/>
        <v>0.15219421101774055</v>
      </c>
      <c r="AK59" s="5">
        <f t="shared" si="38"/>
        <v>-0.10242085661080069</v>
      </c>
    </row>
    <row r="60" spans="1:37">
      <c r="A60" t="s">
        <v>252</v>
      </c>
      <c r="B60" t="s">
        <v>253</v>
      </c>
      <c r="C60" s="60">
        <v>30</v>
      </c>
      <c r="D60" s="60">
        <v>4</v>
      </c>
      <c r="E60" s="60">
        <v>2016</v>
      </c>
      <c r="F60" s="101">
        <v>4.16</v>
      </c>
      <c r="G60" s="101">
        <v>3.83</v>
      </c>
      <c r="H60" s="106">
        <v>3.37</v>
      </c>
      <c r="I60" s="102">
        <v>3.79</v>
      </c>
      <c r="J60" s="58">
        <v>3.81</v>
      </c>
      <c r="K60" s="58">
        <v>3.69</v>
      </c>
      <c r="L60" s="57">
        <v>3.41</v>
      </c>
      <c r="M60" s="58">
        <v>3.37</v>
      </c>
      <c r="N60" s="58">
        <v>3.22</v>
      </c>
      <c r="O60" s="58">
        <v>2.92</v>
      </c>
      <c r="P60" s="58">
        <v>2.6</v>
      </c>
      <c r="Q60" s="57">
        <v>2.41</v>
      </c>
      <c r="R60" s="58">
        <v>2.2000000000000002</v>
      </c>
      <c r="S60" s="97">
        <f t="shared" si="20"/>
        <v>3.2907692307692309</v>
      </c>
      <c r="T60" s="4">
        <f t="shared" ca="1" si="21"/>
        <v>0</v>
      </c>
      <c r="U60" s="4">
        <f t="shared" ca="1" si="22"/>
        <v>349</v>
      </c>
      <c r="V60" s="4">
        <f t="shared" ca="1" si="23"/>
        <v>11</v>
      </c>
      <c r="W60" s="13">
        <f t="shared" ca="1" si="24"/>
        <v>3.8159444444444444</v>
      </c>
      <c r="X60" s="5">
        <f t="shared" ca="1" si="25"/>
        <v>0.15959041088774595</v>
      </c>
      <c r="Y60" s="15">
        <f t="shared" si="26"/>
        <v>8.6161879895561455E-2</v>
      </c>
      <c r="Z60" s="15">
        <f t="shared" si="27"/>
        <v>0.13649851632047483</v>
      </c>
      <c r="AA60" s="15">
        <f t="shared" si="28"/>
        <v>-0.1108179419525066</v>
      </c>
      <c r="AB60" s="15">
        <f t="shared" si="29"/>
        <v>-5.2493438320210251E-3</v>
      </c>
      <c r="AC60" s="15">
        <f t="shared" si="30"/>
        <v>3.2520325203251987E-2</v>
      </c>
      <c r="AD60" s="15">
        <f t="shared" si="31"/>
        <v>8.2111436950146555E-2</v>
      </c>
      <c r="AE60" s="15">
        <f t="shared" si="32"/>
        <v>1.1869436201780381E-2</v>
      </c>
      <c r="AF60" s="15">
        <f t="shared" si="33"/>
        <v>4.658385093167694E-2</v>
      </c>
      <c r="AG60" s="15">
        <f t="shared" si="34"/>
        <v>0.10273972602739745</v>
      </c>
      <c r="AH60" s="15">
        <f t="shared" si="35"/>
        <v>0.12307692307692308</v>
      </c>
      <c r="AI60" s="15">
        <f t="shared" si="36"/>
        <v>7.8838174273858863E-2</v>
      </c>
      <c r="AJ60" s="15">
        <f t="shared" si="37"/>
        <v>9.5454545454545459E-2</v>
      </c>
      <c r="AK60" s="5">
        <f t="shared" si="38"/>
        <v>-0.1108179419525066</v>
      </c>
    </row>
    <row r="61" spans="1:37">
      <c r="A61" t="s">
        <v>89</v>
      </c>
      <c r="B61" t="s">
        <v>90</v>
      </c>
      <c r="C61" s="60">
        <v>31</v>
      </c>
      <c r="D61" s="60">
        <v>12</v>
      </c>
      <c r="E61" s="60">
        <v>2016</v>
      </c>
      <c r="F61" s="101">
        <v>3.61</v>
      </c>
      <c r="G61" s="101">
        <v>3.34</v>
      </c>
      <c r="H61" s="101">
        <v>3.03</v>
      </c>
      <c r="I61" s="102">
        <v>2.8</v>
      </c>
      <c r="J61" s="58">
        <v>2.57</v>
      </c>
      <c r="K61" s="58">
        <v>2.38</v>
      </c>
      <c r="L61" s="58">
        <v>2.21</v>
      </c>
      <c r="M61" s="58">
        <v>2.0499999999999998</v>
      </c>
      <c r="N61" s="58">
        <v>1.9</v>
      </c>
      <c r="O61" s="58">
        <v>1.75</v>
      </c>
      <c r="P61" s="58">
        <v>1.48</v>
      </c>
      <c r="Q61" s="58">
        <v>1.48</v>
      </c>
      <c r="R61" s="58">
        <v>1.51</v>
      </c>
      <c r="S61" s="97">
        <f t="shared" si="20"/>
        <v>2.316153846153846</v>
      </c>
      <c r="T61" s="4">
        <f t="shared" ca="1" si="21"/>
        <v>0</v>
      </c>
      <c r="U61" s="4">
        <f t="shared" ca="1" si="22"/>
        <v>108</v>
      </c>
      <c r="V61" s="4">
        <f t="shared" ca="1" si="23"/>
        <v>252</v>
      </c>
      <c r="W61" s="13">
        <f t="shared" ca="1" si="24"/>
        <v>3.1230000000000002</v>
      </c>
      <c r="X61" s="5">
        <f t="shared" ca="1" si="25"/>
        <v>0.34835602789770848</v>
      </c>
      <c r="Y61" s="15">
        <f t="shared" si="26"/>
        <v>8.083832335329344E-2</v>
      </c>
      <c r="Z61" s="15">
        <f t="shared" si="27"/>
        <v>0.10231023102310233</v>
      </c>
      <c r="AA61" s="15">
        <f t="shared" si="28"/>
        <v>8.2142857142857073E-2</v>
      </c>
      <c r="AB61" s="15">
        <f t="shared" si="29"/>
        <v>8.9494163424124418E-2</v>
      </c>
      <c r="AC61" s="15">
        <f t="shared" si="30"/>
        <v>7.9831932773109182E-2</v>
      </c>
      <c r="AD61" s="15">
        <f t="shared" si="31"/>
        <v>7.6923076923076872E-2</v>
      </c>
      <c r="AE61" s="15">
        <f t="shared" si="32"/>
        <v>7.8048780487804947E-2</v>
      </c>
      <c r="AF61" s="15">
        <f t="shared" si="33"/>
        <v>7.8947368421052655E-2</v>
      </c>
      <c r="AG61" s="15">
        <f t="shared" si="34"/>
        <v>8.5714285714285632E-2</v>
      </c>
      <c r="AH61" s="15">
        <f t="shared" si="35"/>
        <v>0.18243243243243246</v>
      </c>
      <c r="AI61" s="15">
        <f t="shared" si="36"/>
        <v>0</v>
      </c>
      <c r="AJ61" s="15">
        <f t="shared" si="37"/>
        <v>-1.9867549668874163E-2</v>
      </c>
      <c r="AK61" s="5">
        <f t="shared" si="38"/>
        <v>-1.9867549668874163E-2</v>
      </c>
    </row>
    <row r="62" spans="1:37">
      <c r="A62" t="s">
        <v>92</v>
      </c>
      <c r="B62" t="s">
        <v>93</v>
      </c>
      <c r="C62" s="60">
        <v>31</v>
      </c>
      <c r="D62" s="60">
        <v>5</v>
      </c>
      <c r="E62" s="60">
        <v>2016</v>
      </c>
      <c r="F62" s="101">
        <v>3.29</v>
      </c>
      <c r="G62" s="101">
        <v>3.07</v>
      </c>
      <c r="H62" s="101">
        <v>2.84</v>
      </c>
      <c r="I62" s="102">
        <v>2.83</v>
      </c>
      <c r="J62" s="58">
        <v>2.82</v>
      </c>
      <c r="K62" s="58">
        <v>2.69</v>
      </c>
      <c r="L62" s="58">
        <v>2.56</v>
      </c>
      <c r="M62" s="58">
        <v>2.48</v>
      </c>
      <c r="N62" s="58">
        <v>2.2999999999999998</v>
      </c>
      <c r="O62" s="58">
        <v>1.99</v>
      </c>
      <c r="P62" s="58">
        <v>1.76</v>
      </c>
      <c r="Q62" s="57">
        <v>1.59</v>
      </c>
      <c r="R62" s="57">
        <v>1.45</v>
      </c>
      <c r="S62" s="97">
        <f t="shared" si="20"/>
        <v>2.4361538461538461</v>
      </c>
      <c r="T62" s="4">
        <f t="shared" ca="1" si="21"/>
        <v>0</v>
      </c>
      <c r="U62" s="4">
        <f t="shared" ca="1" si="22"/>
        <v>318</v>
      </c>
      <c r="V62" s="4">
        <f t="shared" ca="1" si="23"/>
        <v>42</v>
      </c>
      <c r="W62" s="13">
        <f t="shared" ca="1" si="24"/>
        <v>3.0431666666666661</v>
      </c>
      <c r="X62" s="5">
        <f t="shared" ca="1" si="25"/>
        <v>0.24916850857804418</v>
      </c>
      <c r="Y62" s="15">
        <f t="shared" si="26"/>
        <v>7.1661237785016318E-2</v>
      </c>
      <c r="Z62" s="15">
        <f t="shared" si="27"/>
        <v>8.098591549295775E-2</v>
      </c>
      <c r="AA62" s="15">
        <f t="shared" si="28"/>
        <v>3.5335689045936647E-3</v>
      </c>
      <c r="AB62" s="15">
        <f t="shared" si="29"/>
        <v>3.5460992907803135E-3</v>
      </c>
      <c r="AC62" s="15">
        <f t="shared" si="30"/>
        <v>4.8327137546468446E-2</v>
      </c>
      <c r="AD62" s="15">
        <f t="shared" si="31"/>
        <v>5.078125E-2</v>
      </c>
      <c r="AE62" s="15">
        <f t="shared" si="32"/>
        <v>3.2258064516129004E-2</v>
      </c>
      <c r="AF62" s="15">
        <f t="shared" si="33"/>
        <v>7.8260869565217384E-2</v>
      </c>
      <c r="AG62" s="15">
        <f t="shared" si="34"/>
        <v>0.15577889447236171</v>
      </c>
      <c r="AH62" s="15">
        <f t="shared" si="35"/>
        <v>0.13068181818181812</v>
      </c>
      <c r="AI62" s="15">
        <f t="shared" si="36"/>
        <v>0.10691823899371067</v>
      </c>
      <c r="AJ62" s="15">
        <f t="shared" si="37"/>
        <v>9.6551724137931227E-2</v>
      </c>
      <c r="AK62" s="5">
        <f t="shared" si="38"/>
        <v>3.5335689045936647E-3</v>
      </c>
    </row>
    <row r="63" spans="1:37">
      <c r="A63" s="52" t="s">
        <v>323</v>
      </c>
      <c r="B63" s="52" t="s">
        <v>324</v>
      </c>
      <c r="C63" s="104">
        <v>31</v>
      </c>
      <c r="D63" s="104">
        <v>12</v>
      </c>
      <c r="E63" s="104">
        <v>2016</v>
      </c>
      <c r="F63" s="101">
        <v>4.9400000000000004</v>
      </c>
      <c r="G63" s="101">
        <v>4.6500000000000004</v>
      </c>
      <c r="H63" s="101">
        <v>4.33</v>
      </c>
      <c r="I63" s="102">
        <v>4.12</v>
      </c>
      <c r="J63" s="58">
        <v>3.98</v>
      </c>
      <c r="K63" s="58">
        <v>3.72</v>
      </c>
      <c r="L63" s="58">
        <v>3.24</v>
      </c>
      <c r="M63" s="58">
        <v>2.83</v>
      </c>
      <c r="N63" s="58">
        <v>2.5499999999999998</v>
      </c>
      <c r="O63" s="58">
        <v>2.17</v>
      </c>
      <c r="P63" s="58">
        <v>1.88</v>
      </c>
      <c r="Q63" s="58">
        <v>2.08</v>
      </c>
      <c r="R63" s="58">
        <v>2.37</v>
      </c>
      <c r="S63" s="97">
        <f t="shared" si="20"/>
        <v>3.2969230769230764</v>
      </c>
      <c r="T63" s="4">
        <f t="shared" ca="1" si="21"/>
        <v>0</v>
      </c>
      <c r="U63" s="4">
        <f t="shared" ca="1" si="22"/>
        <v>108</v>
      </c>
      <c r="V63" s="4">
        <f t="shared" ca="1" si="23"/>
        <v>252</v>
      </c>
      <c r="W63" s="13">
        <f t="shared" ca="1" si="24"/>
        <v>4.4260000000000002</v>
      </c>
      <c r="X63" s="5">
        <f t="shared" ca="1" si="25"/>
        <v>0.34246383574428396</v>
      </c>
      <c r="Y63" s="15">
        <f t="shared" si="26"/>
        <v>6.2365591397849363E-2</v>
      </c>
      <c r="Z63" s="15">
        <f t="shared" si="27"/>
        <v>7.390300230946889E-2</v>
      </c>
      <c r="AA63" s="15">
        <f t="shared" si="28"/>
        <v>5.0970873786407855E-2</v>
      </c>
      <c r="AB63" s="15">
        <f t="shared" si="29"/>
        <v>3.5175879396984966E-2</v>
      </c>
      <c r="AC63" s="15">
        <f t="shared" si="30"/>
        <v>6.9892473118279508E-2</v>
      </c>
      <c r="AD63" s="15">
        <f t="shared" si="31"/>
        <v>0.14814814814814814</v>
      </c>
      <c r="AE63" s="15">
        <f t="shared" si="32"/>
        <v>0.14487632508833936</v>
      </c>
      <c r="AF63" s="15">
        <f t="shared" si="33"/>
        <v>0.1098039215686275</v>
      </c>
      <c r="AG63" s="15">
        <f t="shared" si="34"/>
        <v>0.1751152073732718</v>
      </c>
      <c r="AH63" s="15">
        <f t="shared" si="35"/>
        <v>0.1542553191489362</v>
      </c>
      <c r="AI63" s="15">
        <f t="shared" si="36"/>
        <v>-9.6153846153846256E-2</v>
      </c>
      <c r="AJ63" s="15">
        <f t="shared" si="37"/>
        <v>-0.1223628691983123</v>
      </c>
      <c r="AK63" s="5">
        <f t="shared" si="38"/>
        <v>-0.1223628691983123</v>
      </c>
    </row>
    <row r="64" spans="1:37">
      <c r="A64" t="s">
        <v>254</v>
      </c>
      <c r="B64" t="s">
        <v>255</v>
      </c>
      <c r="C64" s="60">
        <v>31</v>
      </c>
      <c r="D64" s="60">
        <v>12</v>
      </c>
      <c r="E64" s="60">
        <v>2016</v>
      </c>
      <c r="F64" s="101">
        <v>4.3099999999999996</v>
      </c>
      <c r="G64" s="101">
        <v>3.9</v>
      </c>
      <c r="H64" s="101">
        <v>3.52</v>
      </c>
      <c r="I64" s="102">
        <v>3.52</v>
      </c>
      <c r="J64" s="58">
        <v>3.81</v>
      </c>
      <c r="K64" s="58">
        <v>3.77</v>
      </c>
      <c r="L64" s="58">
        <v>3.61</v>
      </c>
      <c r="M64" s="58">
        <v>3.38</v>
      </c>
      <c r="N64" s="57">
        <v>3.3</v>
      </c>
      <c r="O64" s="57">
        <v>3.16</v>
      </c>
      <c r="P64" s="57">
        <v>2.99</v>
      </c>
      <c r="Q64" s="57">
        <v>2.76</v>
      </c>
      <c r="R64" s="58">
        <v>2.5099999999999998</v>
      </c>
      <c r="S64" s="97">
        <f t="shared" si="20"/>
        <v>3.4261538461538459</v>
      </c>
      <c r="T64" s="4">
        <f t="shared" ca="1" si="21"/>
        <v>0</v>
      </c>
      <c r="U64" s="4">
        <f t="shared" ca="1" si="22"/>
        <v>108</v>
      </c>
      <c r="V64" s="4">
        <f t="shared" ca="1" si="23"/>
        <v>252</v>
      </c>
      <c r="W64" s="13">
        <f t="shared" ca="1" si="24"/>
        <v>3.6339999999999999</v>
      </c>
      <c r="X64" s="5">
        <f t="shared" ca="1" si="25"/>
        <v>6.0664571171980208E-2</v>
      </c>
      <c r="Y64" s="15">
        <f t="shared" si="26"/>
        <v>0.10512820512820498</v>
      </c>
      <c r="Z64" s="15">
        <f t="shared" si="27"/>
        <v>0.10795454545454541</v>
      </c>
      <c r="AA64" s="15">
        <f t="shared" si="28"/>
        <v>0</v>
      </c>
      <c r="AB64" s="15">
        <f t="shared" si="29"/>
        <v>-7.6115485564304475E-2</v>
      </c>
      <c r="AC64" s="15">
        <f t="shared" si="30"/>
        <v>1.0610079575596787E-2</v>
      </c>
      <c r="AD64" s="15">
        <f t="shared" si="31"/>
        <v>4.4321329639889218E-2</v>
      </c>
      <c r="AE64" s="15">
        <f t="shared" si="32"/>
        <v>6.8047337278106523E-2</v>
      </c>
      <c r="AF64" s="15">
        <f t="shared" si="33"/>
        <v>2.4242424242424176E-2</v>
      </c>
      <c r="AG64" s="15">
        <f t="shared" si="34"/>
        <v>4.4303797468354222E-2</v>
      </c>
      <c r="AH64" s="15">
        <f t="shared" si="35"/>
        <v>5.6856187290969862E-2</v>
      </c>
      <c r="AI64" s="15">
        <f t="shared" si="36"/>
        <v>8.3333333333333481E-2</v>
      </c>
      <c r="AJ64" s="15">
        <f t="shared" si="37"/>
        <v>9.960159362549792E-2</v>
      </c>
      <c r="AK64" s="5">
        <f t="shared" si="38"/>
        <v>-7.6115485564304475E-2</v>
      </c>
    </row>
    <row r="65" spans="1:37">
      <c r="A65" t="s">
        <v>94</v>
      </c>
      <c r="B65" t="s">
        <v>95</v>
      </c>
      <c r="C65" s="60">
        <v>31</v>
      </c>
      <c r="D65" s="60">
        <v>12</v>
      </c>
      <c r="E65" s="60">
        <v>2016</v>
      </c>
      <c r="F65" s="101">
        <v>6.95</v>
      </c>
      <c r="G65" s="101">
        <v>6.54</v>
      </c>
      <c r="H65" s="101">
        <v>6.07</v>
      </c>
      <c r="I65" s="102">
        <v>5.76</v>
      </c>
      <c r="J65" s="58">
        <v>5.7720000000000002</v>
      </c>
      <c r="K65" s="58">
        <v>5.5419999999999998</v>
      </c>
      <c r="L65" s="58">
        <v>5.0419999999999998</v>
      </c>
      <c r="M65" s="58">
        <v>4.6100000000000003</v>
      </c>
      <c r="N65" s="58">
        <v>4.4950000000000001</v>
      </c>
      <c r="O65" s="58">
        <v>4.3410000000000002</v>
      </c>
      <c r="P65" s="58">
        <v>3.9660000000000002</v>
      </c>
      <c r="Q65" s="58">
        <v>4.0819999999999999</v>
      </c>
      <c r="R65" s="58">
        <v>3.746</v>
      </c>
      <c r="S65" s="97">
        <f t="shared" si="20"/>
        <v>5.147384615384615</v>
      </c>
      <c r="T65" s="4">
        <f t="shared" ca="1" si="21"/>
        <v>0</v>
      </c>
      <c r="U65" s="4">
        <f t="shared" ca="1" si="22"/>
        <v>108</v>
      </c>
      <c r="V65" s="4">
        <f t="shared" ca="1" si="23"/>
        <v>252</v>
      </c>
      <c r="W65" s="13">
        <f t="shared" ca="1" si="24"/>
        <v>6.2110000000000003</v>
      </c>
      <c r="X65" s="5">
        <f t="shared" ca="1" si="25"/>
        <v>0.2066321955884991</v>
      </c>
      <c r="Y65" s="15">
        <f t="shared" si="26"/>
        <v>6.2691131498471053E-2</v>
      </c>
      <c r="Z65" s="15">
        <f t="shared" si="27"/>
        <v>7.7429983525535429E-2</v>
      </c>
      <c r="AA65" s="15">
        <f t="shared" si="28"/>
        <v>5.3819444444444642E-2</v>
      </c>
      <c r="AB65" s="15">
        <f t="shared" si="29"/>
        <v>-2.0790020790021346E-3</v>
      </c>
      <c r="AC65" s="15">
        <f t="shared" si="30"/>
        <v>4.1501263081920037E-2</v>
      </c>
      <c r="AD65" s="15">
        <f t="shared" si="31"/>
        <v>9.9166997223324005E-2</v>
      </c>
      <c r="AE65" s="15">
        <f t="shared" si="32"/>
        <v>9.3709327548806787E-2</v>
      </c>
      <c r="AF65" s="15">
        <f t="shared" si="33"/>
        <v>2.5583982202447286E-2</v>
      </c>
      <c r="AG65" s="15">
        <f t="shared" si="34"/>
        <v>3.5475696844045057E-2</v>
      </c>
      <c r="AH65" s="15">
        <f t="shared" si="35"/>
        <v>9.4553706505295043E-2</v>
      </c>
      <c r="AI65" s="15">
        <f t="shared" si="36"/>
        <v>-2.8417442430181183E-2</v>
      </c>
      <c r="AJ65" s="15">
        <f t="shared" si="37"/>
        <v>8.9695675387079454E-2</v>
      </c>
      <c r="AK65" s="5">
        <f t="shared" si="38"/>
        <v>-2.8417442430181183E-2</v>
      </c>
    </row>
    <row r="66" spans="1:37">
      <c r="A66" t="s">
        <v>256</v>
      </c>
      <c r="B66" t="s">
        <v>257</v>
      </c>
      <c r="C66" s="60">
        <v>31</v>
      </c>
      <c r="D66" s="60">
        <v>12</v>
      </c>
      <c r="E66" s="60">
        <v>2016</v>
      </c>
      <c r="F66" s="101">
        <v>5.03</v>
      </c>
      <c r="G66" s="101">
        <v>4.16</v>
      </c>
      <c r="H66" s="101">
        <v>3.54</v>
      </c>
      <c r="I66" s="102">
        <v>3.43</v>
      </c>
      <c r="J66" s="57">
        <v>3.1</v>
      </c>
      <c r="K66" s="58">
        <v>2.61</v>
      </c>
      <c r="L66" s="58">
        <v>2.2040000000000002</v>
      </c>
      <c r="M66" s="58">
        <v>1.87</v>
      </c>
      <c r="N66" s="57">
        <v>1.405</v>
      </c>
      <c r="O66" s="58">
        <v>1.119</v>
      </c>
      <c r="P66" s="58">
        <v>0.94099999999999995</v>
      </c>
      <c r="Q66" s="58">
        <v>0.75800000000000001</v>
      </c>
      <c r="R66" s="58">
        <v>0.33700000000000002</v>
      </c>
      <c r="S66" s="97">
        <f t="shared" si="20"/>
        <v>2.3464615384615386</v>
      </c>
      <c r="T66" s="4">
        <f t="shared" ca="1" si="21"/>
        <v>0</v>
      </c>
      <c r="U66" s="4">
        <f t="shared" ca="1" si="22"/>
        <v>108</v>
      </c>
      <c r="V66" s="4">
        <f t="shared" ca="1" si="23"/>
        <v>252</v>
      </c>
      <c r="W66" s="13">
        <f t="shared" ca="1" si="24"/>
        <v>3.726</v>
      </c>
      <c r="X66" s="5">
        <f t="shared" ca="1" si="25"/>
        <v>0.58792289535798581</v>
      </c>
      <c r="Y66" s="15">
        <f t="shared" si="26"/>
        <v>0.20913461538461542</v>
      </c>
      <c r="Z66" s="15">
        <f t="shared" si="27"/>
        <v>0.17514124293785316</v>
      </c>
      <c r="AA66" s="15">
        <f t="shared" si="28"/>
        <v>3.2069970845481022E-2</v>
      </c>
      <c r="AB66" s="15">
        <f t="shared" si="29"/>
        <v>0.1064516129032258</v>
      </c>
      <c r="AC66" s="15">
        <f t="shared" si="30"/>
        <v>0.1877394636015326</v>
      </c>
      <c r="AD66" s="15">
        <f t="shared" si="31"/>
        <v>0.18421052631578938</v>
      </c>
      <c r="AE66" s="15">
        <f t="shared" si="32"/>
        <v>0.17860962566844929</v>
      </c>
      <c r="AF66" s="15">
        <f t="shared" si="33"/>
        <v>0.33096085409252685</v>
      </c>
      <c r="AG66" s="15">
        <f t="shared" si="34"/>
        <v>0.25558534405719402</v>
      </c>
      <c r="AH66" s="15">
        <f t="shared" si="35"/>
        <v>0.1891604675876728</v>
      </c>
      <c r="AI66" s="15">
        <f t="shared" si="36"/>
        <v>0.24142480211081785</v>
      </c>
      <c r="AJ66" s="15">
        <f t="shared" si="37"/>
        <v>1.2492581602373884</v>
      </c>
      <c r="AK66" s="5">
        <f t="shared" si="38"/>
        <v>3.2069970845481022E-2</v>
      </c>
    </row>
    <row r="67" spans="1:37">
      <c r="A67" t="s">
        <v>258</v>
      </c>
      <c r="B67" t="s">
        <v>259</v>
      </c>
      <c r="C67" s="60">
        <v>31</v>
      </c>
      <c r="D67" s="60">
        <v>12</v>
      </c>
      <c r="E67" s="60">
        <v>2016</v>
      </c>
      <c r="F67" s="101">
        <v>6.09</v>
      </c>
      <c r="G67" s="101">
        <v>5.4</v>
      </c>
      <c r="H67" s="101">
        <v>4.76</v>
      </c>
      <c r="I67" s="102">
        <v>4.5999999999999996</v>
      </c>
      <c r="J67" s="58">
        <v>4.21</v>
      </c>
      <c r="K67" s="58">
        <v>3.65</v>
      </c>
      <c r="L67" s="58">
        <v>2.99</v>
      </c>
      <c r="M67" s="58">
        <v>2.46</v>
      </c>
      <c r="N67" s="58">
        <v>2.13</v>
      </c>
      <c r="O67" s="58">
        <v>1.7</v>
      </c>
      <c r="P67" s="58">
        <v>1.82</v>
      </c>
      <c r="Q67" s="58">
        <v>2.5</v>
      </c>
      <c r="R67" s="58">
        <v>2.25</v>
      </c>
      <c r="S67" s="97">
        <f t="shared" si="20"/>
        <v>3.4276923076923085</v>
      </c>
      <c r="T67" s="4">
        <f t="shared" ca="1" si="21"/>
        <v>0</v>
      </c>
      <c r="U67" s="4">
        <f t="shared" ca="1" si="22"/>
        <v>108</v>
      </c>
      <c r="V67" s="4">
        <f t="shared" ca="1" si="23"/>
        <v>252</v>
      </c>
      <c r="W67" s="13">
        <f t="shared" ca="1" si="24"/>
        <v>4.952</v>
      </c>
      <c r="X67" s="5">
        <f t="shared" ca="1" si="25"/>
        <v>0.44470377019748608</v>
      </c>
      <c r="Y67" s="15">
        <f t="shared" si="26"/>
        <v>0.12777777777777777</v>
      </c>
      <c r="Z67" s="15">
        <f t="shared" si="27"/>
        <v>0.13445378151260523</v>
      </c>
      <c r="AA67" s="15">
        <f t="shared" si="28"/>
        <v>3.4782608695652195E-2</v>
      </c>
      <c r="AB67" s="15">
        <f t="shared" si="29"/>
        <v>9.263657957244642E-2</v>
      </c>
      <c r="AC67" s="15">
        <f t="shared" si="30"/>
        <v>0.15342465753424661</v>
      </c>
      <c r="AD67" s="15">
        <f t="shared" si="31"/>
        <v>0.22073578595317711</v>
      </c>
      <c r="AE67" s="15">
        <f t="shared" si="32"/>
        <v>0.21544715447154483</v>
      </c>
      <c r="AF67" s="15">
        <f t="shared" si="33"/>
        <v>0.15492957746478875</v>
      </c>
      <c r="AG67" s="15">
        <f t="shared" si="34"/>
        <v>0.25294117647058822</v>
      </c>
      <c r="AH67" s="15">
        <f t="shared" si="35"/>
        <v>-6.5934065934066033E-2</v>
      </c>
      <c r="AI67" s="15">
        <f t="shared" si="36"/>
        <v>-0.27200000000000002</v>
      </c>
      <c r="AJ67" s="15">
        <f t="shared" si="37"/>
        <v>0.11111111111111116</v>
      </c>
      <c r="AK67" s="5">
        <f t="shared" si="38"/>
        <v>-0.27200000000000002</v>
      </c>
    </row>
    <row r="68" spans="1:37">
      <c r="A68" s="52" t="s">
        <v>269</v>
      </c>
      <c r="B68" s="52" t="s">
        <v>271</v>
      </c>
      <c r="C68" s="104">
        <v>31</v>
      </c>
      <c r="D68" s="104">
        <v>12</v>
      </c>
      <c r="E68" s="104">
        <v>2016</v>
      </c>
      <c r="F68" s="101">
        <v>9.3699999999999992</v>
      </c>
      <c r="G68" s="101">
        <v>8.27</v>
      </c>
      <c r="H68" s="101">
        <v>7.21</v>
      </c>
      <c r="I68" s="96">
        <v>6.01</v>
      </c>
      <c r="J68" s="57">
        <v>5.7</v>
      </c>
      <c r="K68" s="57">
        <v>5.5</v>
      </c>
      <c r="L68" s="57">
        <v>5.28</v>
      </c>
      <c r="M68" s="57">
        <v>4.7300000000000004</v>
      </c>
      <c r="N68" s="57">
        <v>4.0999999999999996</v>
      </c>
      <c r="O68" s="57">
        <v>3.24</v>
      </c>
      <c r="P68" s="58">
        <v>2.95</v>
      </c>
      <c r="Q68" s="58">
        <v>3.5</v>
      </c>
      <c r="R68" s="57">
        <v>2.97</v>
      </c>
      <c r="S68" s="97">
        <f t="shared" ref="S68:S99" si="39">AVERAGE(F68:R68)</f>
        <v>5.2946153846153852</v>
      </c>
      <c r="T68" s="4">
        <f t="shared" ref="T68:T99" ca="1" si="40">IF(DAYS360(TODAY(),DATE(E68+2,D68,C68))&gt;=720,0,360-U68)</f>
        <v>0</v>
      </c>
      <c r="U68" s="4">
        <f t="shared" ref="U68:U99" ca="1" si="41">IF(DAYS360(TODAY(),DATE(E68+1,D68,C68))&lt;=360,DAYS360(TODAY(),DATE(E68+1,D68,C68)),360-V68)</f>
        <v>108</v>
      </c>
      <c r="V68" s="4">
        <f t="shared" ref="V68:V103" ca="1" si="42">IF(DATE(E68,D68,C68)&lt;=TODAY(),0,DAYS360(TODAY(),DATE(E68,D68,C68)))</f>
        <v>252</v>
      </c>
      <c r="W68" s="13">
        <f t="shared" ref="W68:W99" ca="1" si="43">(F68/360*T68)+(G68/360*U68)+(H68/360*V68)</f>
        <v>7.5279999999999996</v>
      </c>
      <c r="X68" s="5">
        <f t="shared" ref="X68:X99" ca="1" si="44">IF(W68&lt;0,IF(W68&lt;0,((W68/S68)-1)*-1,(W68/S68)-1),IF(S68&lt;0,ABS((W68/S68)-1),(W68/S68)-1))</f>
        <v>0.42182187999418841</v>
      </c>
      <c r="Y68" s="15">
        <f t="shared" ref="Y68:Y103" si="45">IF(F68&lt;&gt;"",IF(G68&lt;&gt;"",IF(F68&lt;0,IF(G68&lt;0,((F68/G68)-1)*-1,(F68/G68)-1),IF(G68&lt;0,ABS((F68/G68)-1),(F68/G68)-1))),99.99999)</f>
        <v>0.13301088270858519</v>
      </c>
      <c r="Z68" s="15">
        <f t="shared" ref="Z68:Z103" si="46">IF(H68&lt;&gt;"",IF(G68&lt;0,IF(H68&lt;0,((G68/H68)-1)*-1,(G68/H68)-1),IF(H68&lt;0,ABS((G68/H68)-1),(G68/H68)-1)),99.99999)</f>
        <v>0.14701803051317608</v>
      </c>
      <c r="AA68" s="15">
        <f t="shared" ref="AA68:AA103" si="47">IF(I68&lt;&gt;"",IF(H68&lt;0,IF(I68&lt;0,((H68/I68)-1)*-1,(H68/I68)-1),IF(I68&lt;0,ABS((H68/I68)-1),(H68/I68)-1)),99.99999)</f>
        <v>0.19966722129783698</v>
      </c>
      <c r="AB68" s="15">
        <f t="shared" ref="AB68:AB103" si="48">IF(J68&lt;&gt;"",IF(I68&lt;0,IF(J68&lt;0,((I68/J68)-1)*-1,(I68/J68)-1),IF(J68&lt;0,ABS((I68/J68)-1),(I68/J68)-1)),99.99999)</f>
        <v>5.4385964912280649E-2</v>
      </c>
      <c r="AC68" s="15">
        <f t="shared" ref="AC68:AC103" si="49">IF(K68&lt;&gt;"",IF(J68&lt;0,IF(K68&lt;0,((J68/K68)-1)*-1,(J68/K68)-1),IF(K68&lt;0,ABS((J68/K68)-1),(J68/K68)-1)),99.99999)</f>
        <v>3.6363636363636376E-2</v>
      </c>
      <c r="AD68" s="15">
        <f t="shared" ref="AD68:AD103" si="50">IF(L68&lt;&gt;"",IF(K68&lt;0,IF(L68&lt;0,((K68/L68)-1)*-1,(K68/L68)-1),IF(L68&lt;0,ABS((K68/L68)-1),(K68/L68)-1)),99.99999)</f>
        <v>4.1666666666666519E-2</v>
      </c>
      <c r="AE68" s="15">
        <f t="shared" ref="AE68:AE103" si="51">IF(M68&lt;&gt;"",IF(L68&lt;0,IF(M68&lt;0,((L68/M68)-1)*-1,(L68/M68)-1),IF(M68&lt;0,ABS((L68/M68)-1),(L68/M68)-1)),99.99999)</f>
        <v>0.11627906976744184</v>
      </c>
      <c r="AF68" s="15">
        <f t="shared" ref="AF68:AF103" si="52">IF(N68&lt;&gt;"",IF(M68&lt;0,IF(N68&lt;0,((M68/N68)-1)*-1,(M68/N68)-1),IF(N68&lt;0,ABS((M68/N68)-1),(M68/N68)-1)),99.99999)</f>
        <v>0.15365853658536599</v>
      </c>
      <c r="AG68" s="15">
        <f t="shared" ref="AG68:AG103" si="53">IF(O68&lt;&gt;"",IF(N68&lt;0,IF(O68&lt;0,((N68/O68)-1)*-1,(N68/O68)-1),IF(O68&lt;0,ABS((N68/O68)-1),(N68/O68)-1)),99.99999)</f>
        <v>0.26543209876543195</v>
      </c>
      <c r="AH68" s="15">
        <f t="shared" ref="AH68:AH103" si="54">IF(P68&lt;&gt;"",IF(O68&lt;0,IF(P68&lt;0,((O68/P68)-1)*-1,(O68/P68)-1),IF(P68&lt;0,ABS((O68/P68)-1),(O68/P68)-1)),99.99999)</f>
        <v>9.8305084745762716E-2</v>
      </c>
      <c r="AI68" s="15">
        <f t="shared" ref="AI68:AI103" si="55">IF(Q68&lt;&gt;"",IF(P68&lt;0,IF(Q68&lt;0,((P68/Q68)-1)*-1,(P68/Q68)-1),IF(Q68&lt;0,ABS((P68/Q68)-1),(P68/Q68)-1)),99.99999)</f>
        <v>-0.15714285714285714</v>
      </c>
      <c r="AJ68" s="15">
        <f t="shared" ref="AJ68:AJ103" si="56">IF(R68&lt;&gt;"",IF(Q68&lt;0,IF(R68&lt;0,((Q68/R68)-1)*-1,(Q68/R68)-1),IF(R68&lt;0,ABS((Q68/R68)-1),(Q68/R68)-1)),99.99999)</f>
        <v>0.17845117845117842</v>
      </c>
      <c r="AK68" s="5">
        <f t="shared" ref="AK68:AK99" si="57">MIN(Y68:AJ68)</f>
        <v>-0.15714285714285714</v>
      </c>
    </row>
    <row r="69" spans="1:37">
      <c r="A69" s="52"/>
      <c r="B69" s="52"/>
      <c r="C69" s="104"/>
      <c r="D69" s="104"/>
      <c r="E69" s="104"/>
      <c r="F69" s="82"/>
      <c r="G69" s="82"/>
      <c r="H69" s="81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97" t="e">
        <f t="shared" si="39"/>
        <v>#DIV/0!</v>
      </c>
      <c r="T69" s="4">
        <f t="shared" ca="1" si="40"/>
        <v>41899</v>
      </c>
      <c r="U69" s="4">
        <f t="shared" ca="1" si="41"/>
        <v>-41539</v>
      </c>
      <c r="V69" s="4" t="e">
        <f t="shared" ca="1" si="42"/>
        <v>#NUM!</v>
      </c>
      <c r="W69" s="13" t="e">
        <f t="shared" ca="1" si="43"/>
        <v>#NUM!</v>
      </c>
      <c r="X69" s="5" t="e">
        <f t="shared" ca="1" si="44"/>
        <v>#NUM!</v>
      </c>
      <c r="Y69" s="15">
        <f t="shared" si="45"/>
        <v>99.999989999999997</v>
      </c>
      <c r="Z69" s="15">
        <f t="shared" si="46"/>
        <v>99.999989999999997</v>
      </c>
      <c r="AA69" s="15">
        <f t="shared" si="47"/>
        <v>99.999989999999997</v>
      </c>
      <c r="AB69" s="15">
        <f t="shared" si="48"/>
        <v>99.999989999999997</v>
      </c>
      <c r="AC69" s="15">
        <f t="shared" si="49"/>
        <v>99.999989999999997</v>
      </c>
      <c r="AD69" s="15">
        <f t="shared" si="50"/>
        <v>99.999989999999997</v>
      </c>
      <c r="AE69" s="15">
        <f t="shared" si="51"/>
        <v>99.999989999999997</v>
      </c>
      <c r="AF69" s="15">
        <f t="shared" si="52"/>
        <v>99.999989999999997</v>
      </c>
      <c r="AG69" s="15">
        <f t="shared" si="53"/>
        <v>99.999989999999997</v>
      </c>
      <c r="AH69" s="15">
        <f t="shared" si="54"/>
        <v>99.999989999999997</v>
      </c>
      <c r="AI69" s="15">
        <f t="shared" si="55"/>
        <v>99.999989999999997</v>
      </c>
      <c r="AJ69" s="15">
        <f t="shared" si="56"/>
        <v>99.999989999999997</v>
      </c>
      <c r="AK69" s="5">
        <f t="shared" si="57"/>
        <v>99.999989999999997</v>
      </c>
    </row>
    <row r="70" spans="1:37">
      <c r="A70" s="52"/>
      <c r="B70" s="52"/>
      <c r="C70" s="104"/>
      <c r="D70" s="104"/>
      <c r="E70" s="104"/>
      <c r="F70" s="82"/>
      <c r="G70" s="82"/>
      <c r="H70" s="81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97" t="e">
        <f t="shared" si="39"/>
        <v>#DIV/0!</v>
      </c>
      <c r="T70" s="4">
        <f t="shared" ca="1" si="40"/>
        <v>41899</v>
      </c>
      <c r="U70" s="4">
        <f t="shared" ca="1" si="41"/>
        <v>-41539</v>
      </c>
      <c r="V70" s="4" t="e">
        <f t="shared" ca="1" si="42"/>
        <v>#NUM!</v>
      </c>
      <c r="W70" s="13" t="e">
        <f t="shared" ca="1" si="43"/>
        <v>#NUM!</v>
      </c>
      <c r="X70" s="5" t="e">
        <f t="shared" ca="1" si="44"/>
        <v>#NUM!</v>
      </c>
      <c r="Y70" s="15">
        <f t="shared" si="45"/>
        <v>99.999989999999997</v>
      </c>
      <c r="Z70" s="15">
        <f t="shared" si="46"/>
        <v>99.999989999999997</v>
      </c>
      <c r="AA70" s="15">
        <f t="shared" si="47"/>
        <v>99.999989999999997</v>
      </c>
      <c r="AB70" s="15">
        <f t="shared" si="48"/>
        <v>99.999989999999997</v>
      </c>
      <c r="AC70" s="15">
        <f t="shared" si="49"/>
        <v>99.999989999999997</v>
      </c>
      <c r="AD70" s="15">
        <f t="shared" si="50"/>
        <v>99.999989999999997</v>
      </c>
      <c r="AE70" s="15">
        <f t="shared" si="51"/>
        <v>99.999989999999997</v>
      </c>
      <c r="AF70" s="15">
        <f t="shared" si="52"/>
        <v>99.999989999999997</v>
      </c>
      <c r="AG70" s="15">
        <f t="shared" si="53"/>
        <v>99.999989999999997</v>
      </c>
      <c r="AH70" s="15">
        <f t="shared" si="54"/>
        <v>99.999989999999997</v>
      </c>
      <c r="AI70" s="15">
        <f t="shared" si="55"/>
        <v>99.999989999999997</v>
      </c>
      <c r="AJ70" s="15">
        <f t="shared" si="56"/>
        <v>99.999989999999997</v>
      </c>
      <c r="AK70" s="5">
        <f t="shared" si="57"/>
        <v>99.999989999999997</v>
      </c>
    </row>
    <row r="71" spans="1:37">
      <c r="A71" s="52"/>
      <c r="B71" s="52"/>
      <c r="C71" s="104"/>
      <c r="D71" s="104"/>
      <c r="E71" s="104"/>
      <c r="F71" s="82"/>
      <c r="G71" s="82"/>
      <c r="H71" s="81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97" t="e">
        <f t="shared" si="39"/>
        <v>#DIV/0!</v>
      </c>
      <c r="T71" s="4">
        <f t="shared" ca="1" si="40"/>
        <v>41899</v>
      </c>
      <c r="U71" s="4">
        <f t="shared" ca="1" si="41"/>
        <v>-41539</v>
      </c>
      <c r="V71" s="4" t="e">
        <f t="shared" ca="1" si="42"/>
        <v>#NUM!</v>
      </c>
      <c r="W71" s="13" t="e">
        <f t="shared" ca="1" si="43"/>
        <v>#NUM!</v>
      </c>
      <c r="X71" s="5" t="e">
        <f t="shared" ca="1" si="44"/>
        <v>#NUM!</v>
      </c>
      <c r="Y71" s="15">
        <f t="shared" si="45"/>
        <v>99.999989999999997</v>
      </c>
      <c r="Z71" s="15">
        <f t="shared" si="46"/>
        <v>99.999989999999997</v>
      </c>
      <c r="AA71" s="15">
        <f t="shared" si="47"/>
        <v>99.999989999999997</v>
      </c>
      <c r="AB71" s="15">
        <f t="shared" si="48"/>
        <v>99.999989999999997</v>
      </c>
      <c r="AC71" s="15">
        <f t="shared" si="49"/>
        <v>99.999989999999997</v>
      </c>
      <c r="AD71" s="15">
        <f t="shared" si="50"/>
        <v>99.999989999999997</v>
      </c>
      <c r="AE71" s="15">
        <f t="shared" si="51"/>
        <v>99.999989999999997</v>
      </c>
      <c r="AF71" s="15">
        <f t="shared" si="52"/>
        <v>99.999989999999997</v>
      </c>
      <c r="AG71" s="15">
        <f t="shared" si="53"/>
        <v>99.999989999999997</v>
      </c>
      <c r="AH71" s="15">
        <f t="shared" si="54"/>
        <v>99.999989999999997</v>
      </c>
      <c r="AI71" s="15">
        <f t="shared" si="55"/>
        <v>99.999989999999997</v>
      </c>
      <c r="AJ71" s="15">
        <f t="shared" si="56"/>
        <v>99.999989999999997</v>
      </c>
      <c r="AK71" s="5">
        <f t="shared" si="57"/>
        <v>99.999989999999997</v>
      </c>
    </row>
    <row r="72" spans="1:37">
      <c r="A72" s="52"/>
      <c r="B72" s="52"/>
      <c r="C72" s="104"/>
      <c r="D72" s="104"/>
      <c r="E72" s="104"/>
      <c r="F72" s="82"/>
      <c r="G72" s="82"/>
      <c r="H72" s="81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97" t="e">
        <f t="shared" si="39"/>
        <v>#DIV/0!</v>
      </c>
      <c r="T72" s="4">
        <f t="shared" ca="1" si="40"/>
        <v>41899</v>
      </c>
      <c r="U72" s="4">
        <f t="shared" ca="1" si="41"/>
        <v>-41539</v>
      </c>
      <c r="V72" s="4" t="e">
        <f t="shared" ca="1" si="42"/>
        <v>#NUM!</v>
      </c>
      <c r="W72" s="13" t="e">
        <f t="shared" ca="1" si="43"/>
        <v>#NUM!</v>
      </c>
      <c r="X72" s="5" t="e">
        <f t="shared" ca="1" si="44"/>
        <v>#NUM!</v>
      </c>
      <c r="Y72" s="15">
        <f t="shared" si="45"/>
        <v>99.999989999999997</v>
      </c>
      <c r="Z72" s="15">
        <f t="shared" si="46"/>
        <v>99.999989999999997</v>
      </c>
      <c r="AA72" s="15">
        <f t="shared" si="47"/>
        <v>99.999989999999997</v>
      </c>
      <c r="AB72" s="15">
        <f t="shared" si="48"/>
        <v>99.999989999999997</v>
      </c>
      <c r="AC72" s="15">
        <f t="shared" si="49"/>
        <v>99.999989999999997</v>
      </c>
      <c r="AD72" s="15">
        <f t="shared" si="50"/>
        <v>99.999989999999997</v>
      </c>
      <c r="AE72" s="15">
        <f t="shared" si="51"/>
        <v>99.999989999999997</v>
      </c>
      <c r="AF72" s="15">
        <f t="shared" si="52"/>
        <v>99.999989999999997</v>
      </c>
      <c r="AG72" s="15">
        <f t="shared" si="53"/>
        <v>99.999989999999997</v>
      </c>
      <c r="AH72" s="15">
        <f t="shared" si="54"/>
        <v>99.999989999999997</v>
      </c>
      <c r="AI72" s="15">
        <f t="shared" si="55"/>
        <v>99.999989999999997</v>
      </c>
      <c r="AJ72" s="15">
        <f t="shared" si="56"/>
        <v>99.999989999999997</v>
      </c>
      <c r="AK72" s="5">
        <f t="shared" si="57"/>
        <v>99.999989999999997</v>
      </c>
    </row>
    <row r="73" spans="1:37">
      <c r="A73" s="52"/>
      <c r="B73" s="52"/>
      <c r="C73" s="104"/>
      <c r="D73" s="104"/>
      <c r="E73" s="104"/>
      <c r="F73" s="82"/>
      <c r="G73" s="82"/>
      <c r="H73" s="81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97" t="e">
        <f t="shared" si="39"/>
        <v>#DIV/0!</v>
      </c>
      <c r="T73" s="4">
        <f t="shared" ca="1" si="40"/>
        <v>41899</v>
      </c>
      <c r="U73" s="4">
        <f t="shared" ca="1" si="41"/>
        <v>-41539</v>
      </c>
      <c r="V73" s="4" t="e">
        <f t="shared" ca="1" si="42"/>
        <v>#NUM!</v>
      </c>
      <c r="W73" s="13" t="e">
        <f t="shared" ca="1" si="43"/>
        <v>#NUM!</v>
      </c>
      <c r="X73" s="5" t="e">
        <f t="shared" ca="1" si="44"/>
        <v>#NUM!</v>
      </c>
      <c r="Y73" s="15">
        <f t="shared" si="45"/>
        <v>99.999989999999997</v>
      </c>
      <c r="Z73" s="15">
        <f t="shared" si="46"/>
        <v>99.999989999999997</v>
      </c>
      <c r="AA73" s="15">
        <f t="shared" si="47"/>
        <v>99.999989999999997</v>
      </c>
      <c r="AB73" s="15">
        <f t="shared" si="48"/>
        <v>99.999989999999997</v>
      </c>
      <c r="AC73" s="15">
        <f t="shared" si="49"/>
        <v>99.999989999999997</v>
      </c>
      <c r="AD73" s="15">
        <f t="shared" si="50"/>
        <v>99.999989999999997</v>
      </c>
      <c r="AE73" s="15">
        <f t="shared" si="51"/>
        <v>99.999989999999997</v>
      </c>
      <c r="AF73" s="15">
        <f t="shared" si="52"/>
        <v>99.999989999999997</v>
      </c>
      <c r="AG73" s="15">
        <f t="shared" si="53"/>
        <v>99.999989999999997</v>
      </c>
      <c r="AH73" s="15">
        <f t="shared" si="54"/>
        <v>99.999989999999997</v>
      </c>
      <c r="AI73" s="15">
        <f t="shared" si="55"/>
        <v>99.999989999999997</v>
      </c>
      <c r="AJ73" s="15">
        <f t="shared" si="56"/>
        <v>99.999989999999997</v>
      </c>
      <c r="AK73" s="5">
        <f t="shared" si="57"/>
        <v>99.999989999999997</v>
      </c>
    </row>
    <row r="74" spans="1:37">
      <c r="A74" s="52"/>
      <c r="B74" s="52"/>
      <c r="C74" s="104"/>
      <c r="D74" s="104"/>
      <c r="E74" s="104"/>
      <c r="F74" s="82"/>
      <c r="G74" s="82"/>
      <c r="H74" s="81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97" t="e">
        <f t="shared" si="39"/>
        <v>#DIV/0!</v>
      </c>
      <c r="T74" s="4">
        <f t="shared" ca="1" si="40"/>
        <v>41899</v>
      </c>
      <c r="U74" s="4">
        <f t="shared" ca="1" si="41"/>
        <v>-41539</v>
      </c>
      <c r="V74" s="4" t="e">
        <f t="shared" ca="1" si="42"/>
        <v>#NUM!</v>
      </c>
      <c r="W74" s="13" t="e">
        <f t="shared" ca="1" si="43"/>
        <v>#NUM!</v>
      </c>
      <c r="X74" s="5" t="e">
        <f t="shared" ca="1" si="44"/>
        <v>#NUM!</v>
      </c>
      <c r="Y74" s="15">
        <f t="shared" si="45"/>
        <v>99.999989999999997</v>
      </c>
      <c r="Z74" s="15">
        <f t="shared" si="46"/>
        <v>99.999989999999997</v>
      </c>
      <c r="AA74" s="15">
        <f t="shared" si="47"/>
        <v>99.999989999999997</v>
      </c>
      <c r="AB74" s="15">
        <f t="shared" si="48"/>
        <v>99.999989999999997</v>
      </c>
      <c r="AC74" s="15">
        <f t="shared" si="49"/>
        <v>99.999989999999997</v>
      </c>
      <c r="AD74" s="15">
        <f t="shared" si="50"/>
        <v>99.999989999999997</v>
      </c>
      <c r="AE74" s="15">
        <f t="shared" si="51"/>
        <v>99.999989999999997</v>
      </c>
      <c r="AF74" s="15">
        <f t="shared" si="52"/>
        <v>99.999989999999997</v>
      </c>
      <c r="AG74" s="15">
        <f t="shared" si="53"/>
        <v>99.999989999999997</v>
      </c>
      <c r="AH74" s="15">
        <f t="shared" si="54"/>
        <v>99.999989999999997</v>
      </c>
      <c r="AI74" s="15">
        <f t="shared" si="55"/>
        <v>99.999989999999997</v>
      </c>
      <c r="AJ74" s="15">
        <f t="shared" si="56"/>
        <v>99.999989999999997</v>
      </c>
      <c r="AK74" s="5">
        <f t="shared" si="57"/>
        <v>99.999989999999997</v>
      </c>
    </row>
    <row r="75" spans="1:37">
      <c r="A75" s="52"/>
      <c r="B75" s="52"/>
      <c r="C75" s="104"/>
      <c r="D75" s="104"/>
      <c r="E75" s="104"/>
      <c r="F75" s="82"/>
      <c r="G75" s="82"/>
      <c r="H75" s="81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97" t="e">
        <f t="shared" si="39"/>
        <v>#DIV/0!</v>
      </c>
      <c r="T75" s="4">
        <f t="shared" ca="1" si="40"/>
        <v>41899</v>
      </c>
      <c r="U75" s="4">
        <f t="shared" ca="1" si="41"/>
        <v>-41539</v>
      </c>
      <c r="V75" s="4" t="e">
        <f t="shared" ca="1" si="42"/>
        <v>#NUM!</v>
      </c>
      <c r="W75" s="13" t="e">
        <f t="shared" ca="1" si="43"/>
        <v>#NUM!</v>
      </c>
      <c r="X75" s="5" t="e">
        <f t="shared" ca="1" si="44"/>
        <v>#NUM!</v>
      </c>
      <c r="Y75" s="15">
        <f t="shared" si="45"/>
        <v>99.999989999999997</v>
      </c>
      <c r="Z75" s="15">
        <f t="shared" si="46"/>
        <v>99.999989999999997</v>
      </c>
      <c r="AA75" s="15">
        <f t="shared" si="47"/>
        <v>99.999989999999997</v>
      </c>
      <c r="AB75" s="15">
        <f t="shared" si="48"/>
        <v>99.999989999999997</v>
      </c>
      <c r="AC75" s="15">
        <f t="shared" si="49"/>
        <v>99.999989999999997</v>
      </c>
      <c r="AD75" s="15">
        <f t="shared" si="50"/>
        <v>99.999989999999997</v>
      </c>
      <c r="AE75" s="15">
        <f t="shared" si="51"/>
        <v>99.999989999999997</v>
      </c>
      <c r="AF75" s="15">
        <f t="shared" si="52"/>
        <v>99.999989999999997</v>
      </c>
      <c r="AG75" s="15">
        <f t="shared" si="53"/>
        <v>99.999989999999997</v>
      </c>
      <c r="AH75" s="15">
        <f t="shared" si="54"/>
        <v>99.999989999999997</v>
      </c>
      <c r="AI75" s="15">
        <f t="shared" si="55"/>
        <v>99.999989999999997</v>
      </c>
      <c r="AJ75" s="15">
        <f t="shared" si="56"/>
        <v>99.999989999999997</v>
      </c>
      <c r="AK75" s="5">
        <f t="shared" si="57"/>
        <v>99.999989999999997</v>
      </c>
    </row>
    <row r="76" spans="1:37">
      <c r="A76" s="52"/>
      <c r="B76" s="52"/>
      <c r="C76" s="104"/>
      <c r="D76" s="104"/>
      <c r="E76" s="104"/>
      <c r="F76" s="82"/>
      <c r="G76" s="82"/>
      <c r="H76" s="81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97" t="e">
        <f t="shared" si="39"/>
        <v>#DIV/0!</v>
      </c>
      <c r="T76" s="4">
        <f t="shared" ca="1" si="40"/>
        <v>41899</v>
      </c>
      <c r="U76" s="4">
        <f t="shared" ca="1" si="41"/>
        <v>-41539</v>
      </c>
      <c r="V76" s="4" t="e">
        <f t="shared" ca="1" si="42"/>
        <v>#NUM!</v>
      </c>
      <c r="W76" s="13" t="e">
        <f t="shared" ca="1" si="43"/>
        <v>#NUM!</v>
      </c>
      <c r="X76" s="5" t="e">
        <f t="shared" ca="1" si="44"/>
        <v>#NUM!</v>
      </c>
      <c r="Y76" s="15">
        <f t="shared" si="45"/>
        <v>99.999989999999997</v>
      </c>
      <c r="Z76" s="15">
        <f t="shared" si="46"/>
        <v>99.999989999999997</v>
      </c>
      <c r="AA76" s="15">
        <f t="shared" si="47"/>
        <v>99.999989999999997</v>
      </c>
      <c r="AB76" s="15">
        <f t="shared" si="48"/>
        <v>99.999989999999997</v>
      </c>
      <c r="AC76" s="15">
        <f t="shared" si="49"/>
        <v>99.999989999999997</v>
      </c>
      <c r="AD76" s="15">
        <f t="shared" si="50"/>
        <v>99.999989999999997</v>
      </c>
      <c r="AE76" s="15">
        <f t="shared" si="51"/>
        <v>99.999989999999997</v>
      </c>
      <c r="AF76" s="15">
        <f t="shared" si="52"/>
        <v>99.999989999999997</v>
      </c>
      <c r="AG76" s="15">
        <f t="shared" si="53"/>
        <v>99.999989999999997</v>
      </c>
      <c r="AH76" s="15">
        <f t="shared" si="54"/>
        <v>99.999989999999997</v>
      </c>
      <c r="AI76" s="15">
        <f t="shared" si="55"/>
        <v>99.999989999999997</v>
      </c>
      <c r="AJ76" s="15">
        <f t="shared" si="56"/>
        <v>99.999989999999997</v>
      </c>
      <c r="AK76" s="5">
        <f t="shared" si="57"/>
        <v>99.999989999999997</v>
      </c>
    </row>
    <row r="77" spans="1:37">
      <c r="A77" s="52"/>
      <c r="B77" s="52"/>
      <c r="C77" s="104"/>
      <c r="D77" s="104"/>
      <c r="E77" s="104"/>
      <c r="F77" s="82"/>
      <c r="G77" s="82"/>
      <c r="H77" s="81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97" t="e">
        <f t="shared" si="39"/>
        <v>#DIV/0!</v>
      </c>
      <c r="T77" s="4">
        <f t="shared" ca="1" si="40"/>
        <v>41899</v>
      </c>
      <c r="U77" s="4">
        <f t="shared" ca="1" si="41"/>
        <v>-41539</v>
      </c>
      <c r="V77" s="4" t="e">
        <f t="shared" ca="1" si="42"/>
        <v>#NUM!</v>
      </c>
      <c r="W77" s="13" t="e">
        <f t="shared" ca="1" si="43"/>
        <v>#NUM!</v>
      </c>
      <c r="X77" s="5" t="e">
        <f t="shared" ca="1" si="44"/>
        <v>#NUM!</v>
      </c>
      <c r="Y77" s="15">
        <f t="shared" si="45"/>
        <v>99.999989999999997</v>
      </c>
      <c r="Z77" s="15">
        <f t="shared" si="46"/>
        <v>99.999989999999997</v>
      </c>
      <c r="AA77" s="15">
        <f t="shared" si="47"/>
        <v>99.999989999999997</v>
      </c>
      <c r="AB77" s="15">
        <f t="shared" si="48"/>
        <v>99.999989999999997</v>
      </c>
      <c r="AC77" s="15">
        <f t="shared" si="49"/>
        <v>99.999989999999997</v>
      </c>
      <c r="AD77" s="15">
        <f t="shared" si="50"/>
        <v>99.999989999999997</v>
      </c>
      <c r="AE77" s="15">
        <f t="shared" si="51"/>
        <v>99.999989999999997</v>
      </c>
      <c r="AF77" s="15">
        <f t="shared" si="52"/>
        <v>99.999989999999997</v>
      </c>
      <c r="AG77" s="15">
        <f t="shared" si="53"/>
        <v>99.999989999999997</v>
      </c>
      <c r="AH77" s="15">
        <f t="shared" si="54"/>
        <v>99.999989999999997</v>
      </c>
      <c r="AI77" s="15">
        <f t="shared" si="55"/>
        <v>99.999989999999997</v>
      </c>
      <c r="AJ77" s="15">
        <f t="shared" si="56"/>
        <v>99.999989999999997</v>
      </c>
      <c r="AK77" s="5">
        <f t="shared" si="57"/>
        <v>99.999989999999997</v>
      </c>
    </row>
    <row r="78" spans="1:37">
      <c r="A78" s="52"/>
      <c r="B78" s="52"/>
      <c r="C78" s="104"/>
      <c r="D78" s="104"/>
      <c r="E78" s="104"/>
      <c r="F78" s="82"/>
      <c r="G78" s="82"/>
      <c r="H78" s="81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97" t="e">
        <f t="shared" si="39"/>
        <v>#DIV/0!</v>
      </c>
      <c r="T78" s="4">
        <f t="shared" ca="1" si="40"/>
        <v>41899</v>
      </c>
      <c r="U78" s="4">
        <f t="shared" ca="1" si="41"/>
        <v>-41539</v>
      </c>
      <c r="V78" s="4" t="e">
        <f t="shared" ca="1" si="42"/>
        <v>#NUM!</v>
      </c>
      <c r="W78" s="13" t="e">
        <f t="shared" ca="1" si="43"/>
        <v>#NUM!</v>
      </c>
      <c r="X78" s="5" t="e">
        <f t="shared" ca="1" si="44"/>
        <v>#NUM!</v>
      </c>
      <c r="Y78" s="15">
        <f t="shared" si="45"/>
        <v>99.999989999999997</v>
      </c>
      <c r="Z78" s="15">
        <f t="shared" si="46"/>
        <v>99.999989999999997</v>
      </c>
      <c r="AA78" s="15">
        <f t="shared" si="47"/>
        <v>99.999989999999997</v>
      </c>
      <c r="AB78" s="15">
        <f t="shared" si="48"/>
        <v>99.999989999999997</v>
      </c>
      <c r="AC78" s="15">
        <f t="shared" si="49"/>
        <v>99.999989999999997</v>
      </c>
      <c r="AD78" s="15">
        <f t="shared" si="50"/>
        <v>99.999989999999997</v>
      </c>
      <c r="AE78" s="15">
        <f t="shared" si="51"/>
        <v>99.999989999999997</v>
      </c>
      <c r="AF78" s="15">
        <f t="shared" si="52"/>
        <v>99.999989999999997</v>
      </c>
      <c r="AG78" s="15">
        <f t="shared" si="53"/>
        <v>99.999989999999997</v>
      </c>
      <c r="AH78" s="15">
        <f t="shared" si="54"/>
        <v>99.999989999999997</v>
      </c>
      <c r="AI78" s="15">
        <f t="shared" si="55"/>
        <v>99.999989999999997</v>
      </c>
      <c r="AJ78" s="15">
        <f t="shared" si="56"/>
        <v>99.999989999999997</v>
      </c>
      <c r="AK78" s="5">
        <f t="shared" si="57"/>
        <v>99.999989999999997</v>
      </c>
    </row>
    <row r="79" spans="1:37">
      <c r="A79" s="52"/>
      <c r="B79" s="52"/>
      <c r="C79" s="104"/>
      <c r="D79" s="104"/>
      <c r="E79" s="104"/>
      <c r="F79" s="82"/>
      <c r="G79" s="82"/>
      <c r="H79" s="81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97" t="e">
        <f t="shared" si="39"/>
        <v>#DIV/0!</v>
      </c>
      <c r="T79" s="4">
        <f t="shared" ca="1" si="40"/>
        <v>41899</v>
      </c>
      <c r="U79" s="4">
        <f t="shared" ca="1" si="41"/>
        <v>-41539</v>
      </c>
      <c r="V79" s="4" t="e">
        <f t="shared" ca="1" si="42"/>
        <v>#NUM!</v>
      </c>
      <c r="W79" s="13" t="e">
        <f t="shared" ca="1" si="43"/>
        <v>#NUM!</v>
      </c>
      <c r="X79" s="5" t="e">
        <f t="shared" ca="1" si="44"/>
        <v>#NUM!</v>
      </c>
      <c r="Y79" s="15">
        <f t="shared" si="45"/>
        <v>99.999989999999997</v>
      </c>
      <c r="Z79" s="15">
        <f t="shared" si="46"/>
        <v>99.999989999999997</v>
      </c>
      <c r="AA79" s="15">
        <f t="shared" si="47"/>
        <v>99.999989999999997</v>
      </c>
      <c r="AB79" s="15">
        <f t="shared" si="48"/>
        <v>99.999989999999997</v>
      </c>
      <c r="AC79" s="15">
        <f t="shared" si="49"/>
        <v>99.999989999999997</v>
      </c>
      <c r="AD79" s="15">
        <f t="shared" si="50"/>
        <v>99.999989999999997</v>
      </c>
      <c r="AE79" s="15">
        <f t="shared" si="51"/>
        <v>99.999989999999997</v>
      </c>
      <c r="AF79" s="15">
        <f t="shared" si="52"/>
        <v>99.999989999999997</v>
      </c>
      <c r="AG79" s="15">
        <f t="shared" si="53"/>
        <v>99.999989999999997</v>
      </c>
      <c r="AH79" s="15">
        <f t="shared" si="54"/>
        <v>99.999989999999997</v>
      </c>
      <c r="AI79" s="15">
        <f t="shared" si="55"/>
        <v>99.999989999999997</v>
      </c>
      <c r="AJ79" s="15">
        <f t="shared" si="56"/>
        <v>99.999989999999997</v>
      </c>
      <c r="AK79" s="5">
        <f t="shared" si="57"/>
        <v>99.999989999999997</v>
      </c>
    </row>
    <row r="80" spans="1:37">
      <c r="A80" s="52"/>
      <c r="B80" s="52"/>
      <c r="C80" s="104"/>
      <c r="D80" s="104"/>
      <c r="E80" s="104"/>
      <c r="F80" s="82"/>
      <c r="G80" s="82"/>
      <c r="H80" s="81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97" t="e">
        <f t="shared" si="39"/>
        <v>#DIV/0!</v>
      </c>
      <c r="T80" s="4">
        <f t="shared" ca="1" si="40"/>
        <v>41899</v>
      </c>
      <c r="U80" s="4">
        <f t="shared" ca="1" si="41"/>
        <v>-41539</v>
      </c>
      <c r="V80" s="4" t="e">
        <f t="shared" ca="1" si="42"/>
        <v>#NUM!</v>
      </c>
      <c r="W80" s="13" t="e">
        <f t="shared" ca="1" si="43"/>
        <v>#NUM!</v>
      </c>
      <c r="X80" s="5" t="e">
        <f t="shared" ca="1" si="44"/>
        <v>#NUM!</v>
      </c>
      <c r="Y80" s="15">
        <f t="shared" si="45"/>
        <v>99.999989999999997</v>
      </c>
      <c r="Z80" s="15">
        <f t="shared" si="46"/>
        <v>99.999989999999997</v>
      </c>
      <c r="AA80" s="15">
        <f t="shared" si="47"/>
        <v>99.999989999999997</v>
      </c>
      <c r="AB80" s="15">
        <f t="shared" si="48"/>
        <v>99.999989999999997</v>
      </c>
      <c r="AC80" s="15">
        <f t="shared" si="49"/>
        <v>99.999989999999997</v>
      </c>
      <c r="AD80" s="15">
        <f t="shared" si="50"/>
        <v>99.999989999999997</v>
      </c>
      <c r="AE80" s="15">
        <f t="shared" si="51"/>
        <v>99.999989999999997</v>
      </c>
      <c r="AF80" s="15">
        <f t="shared" si="52"/>
        <v>99.999989999999997</v>
      </c>
      <c r="AG80" s="15">
        <f t="shared" si="53"/>
        <v>99.999989999999997</v>
      </c>
      <c r="AH80" s="15">
        <f t="shared" si="54"/>
        <v>99.999989999999997</v>
      </c>
      <c r="AI80" s="15">
        <f t="shared" si="55"/>
        <v>99.999989999999997</v>
      </c>
      <c r="AJ80" s="15">
        <f t="shared" si="56"/>
        <v>99.999989999999997</v>
      </c>
      <c r="AK80" s="5">
        <f t="shared" si="57"/>
        <v>99.999989999999997</v>
      </c>
    </row>
    <row r="81" spans="1:37">
      <c r="A81" s="52"/>
      <c r="B81" s="52"/>
      <c r="C81" s="104"/>
      <c r="D81" s="104"/>
      <c r="E81" s="104"/>
      <c r="F81" s="82"/>
      <c r="G81" s="82"/>
      <c r="H81" s="81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97" t="e">
        <f t="shared" si="39"/>
        <v>#DIV/0!</v>
      </c>
      <c r="T81" s="4">
        <f t="shared" ca="1" si="40"/>
        <v>41899</v>
      </c>
      <c r="U81" s="4">
        <f t="shared" ca="1" si="41"/>
        <v>-41539</v>
      </c>
      <c r="V81" s="4" t="e">
        <f t="shared" ca="1" si="42"/>
        <v>#NUM!</v>
      </c>
      <c r="W81" s="13" t="e">
        <f t="shared" ca="1" si="43"/>
        <v>#NUM!</v>
      </c>
      <c r="X81" s="5" t="e">
        <f t="shared" ca="1" si="44"/>
        <v>#NUM!</v>
      </c>
      <c r="Y81" s="15">
        <f t="shared" si="45"/>
        <v>99.999989999999997</v>
      </c>
      <c r="Z81" s="15">
        <f t="shared" si="46"/>
        <v>99.999989999999997</v>
      </c>
      <c r="AA81" s="15">
        <f t="shared" si="47"/>
        <v>99.999989999999997</v>
      </c>
      <c r="AB81" s="15">
        <f t="shared" si="48"/>
        <v>99.999989999999997</v>
      </c>
      <c r="AC81" s="15">
        <f t="shared" si="49"/>
        <v>99.999989999999997</v>
      </c>
      <c r="AD81" s="15">
        <f t="shared" si="50"/>
        <v>99.999989999999997</v>
      </c>
      <c r="AE81" s="15">
        <f t="shared" si="51"/>
        <v>99.999989999999997</v>
      </c>
      <c r="AF81" s="15">
        <f t="shared" si="52"/>
        <v>99.999989999999997</v>
      </c>
      <c r="AG81" s="15">
        <f t="shared" si="53"/>
        <v>99.999989999999997</v>
      </c>
      <c r="AH81" s="15">
        <f t="shared" si="54"/>
        <v>99.999989999999997</v>
      </c>
      <c r="AI81" s="15">
        <f t="shared" si="55"/>
        <v>99.999989999999997</v>
      </c>
      <c r="AJ81" s="15">
        <f t="shared" si="56"/>
        <v>99.999989999999997</v>
      </c>
      <c r="AK81" s="5">
        <f t="shared" si="57"/>
        <v>99.999989999999997</v>
      </c>
    </row>
    <row r="82" spans="1:37">
      <c r="A82" s="52"/>
      <c r="B82" s="52"/>
      <c r="C82" s="104"/>
      <c r="D82" s="104"/>
      <c r="E82" s="104"/>
      <c r="F82" s="82"/>
      <c r="G82" s="82"/>
      <c r="H82" s="81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97" t="e">
        <f t="shared" si="39"/>
        <v>#DIV/0!</v>
      </c>
      <c r="T82" s="4">
        <f t="shared" ca="1" si="40"/>
        <v>41899</v>
      </c>
      <c r="U82" s="4">
        <f t="shared" ca="1" si="41"/>
        <v>-41539</v>
      </c>
      <c r="V82" s="4" t="e">
        <f t="shared" ca="1" si="42"/>
        <v>#NUM!</v>
      </c>
      <c r="W82" s="13" t="e">
        <f t="shared" ca="1" si="43"/>
        <v>#NUM!</v>
      </c>
      <c r="X82" s="5" t="e">
        <f t="shared" ca="1" si="44"/>
        <v>#NUM!</v>
      </c>
      <c r="Y82" s="15">
        <f t="shared" si="45"/>
        <v>99.999989999999997</v>
      </c>
      <c r="Z82" s="15">
        <f t="shared" si="46"/>
        <v>99.999989999999997</v>
      </c>
      <c r="AA82" s="15">
        <f t="shared" si="47"/>
        <v>99.999989999999997</v>
      </c>
      <c r="AB82" s="15">
        <f t="shared" si="48"/>
        <v>99.999989999999997</v>
      </c>
      <c r="AC82" s="15">
        <f t="shared" si="49"/>
        <v>99.999989999999997</v>
      </c>
      <c r="AD82" s="15">
        <f t="shared" si="50"/>
        <v>99.999989999999997</v>
      </c>
      <c r="AE82" s="15">
        <f t="shared" si="51"/>
        <v>99.999989999999997</v>
      </c>
      <c r="AF82" s="15">
        <f t="shared" si="52"/>
        <v>99.999989999999997</v>
      </c>
      <c r="AG82" s="15">
        <f t="shared" si="53"/>
        <v>99.999989999999997</v>
      </c>
      <c r="AH82" s="15">
        <f t="shared" si="54"/>
        <v>99.999989999999997</v>
      </c>
      <c r="AI82" s="15">
        <f t="shared" si="55"/>
        <v>99.999989999999997</v>
      </c>
      <c r="AJ82" s="15">
        <f t="shared" si="56"/>
        <v>99.999989999999997</v>
      </c>
      <c r="AK82" s="5">
        <f t="shared" si="57"/>
        <v>99.999989999999997</v>
      </c>
    </row>
    <row r="83" spans="1:37">
      <c r="A83" s="52"/>
      <c r="B83" s="52"/>
      <c r="C83" s="104"/>
      <c r="D83" s="104"/>
      <c r="E83" s="104"/>
      <c r="F83" s="82"/>
      <c r="G83" s="82"/>
      <c r="H83" s="81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97" t="e">
        <f t="shared" si="39"/>
        <v>#DIV/0!</v>
      </c>
      <c r="T83" s="4">
        <f t="shared" ca="1" si="40"/>
        <v>41899</v>
      </c>
      <c r="U83" s="4">
        <f t="shared" ca="1" si="41"/>
        <v>-41539</v>
      </c>
      <c r="V83" s="4" t="e">
        <f t="shared" ca="1" si="42"/>
        <v>#NUM!</v>
      </c>
      <c r="W83" s="13" t="e">
        <f t="shared" ca="1" si="43"/>
        <v>#NUM!</v>
      </c>
      <c r="X83" s="5" t="e">
        <f t="shared" ca="1" si="44"/>
        <v>#NUM!</v>
      </c>
      <c r="Y83" s="15">
        <f t="shared" si="45"/>
        <v>99.999989999999997</v>
      </c>
      <c r="Z83" s="15">
        <f t="shared" si="46"/>
        <v>99.999989999999997</v>
      </c>
      <c r="AA83" s="15">
        <f t="shared" si="47"/>
        <v>99.999989999999997</v>
      </c>
      <c r="AB83" s="15">
        <f t="shared" si="48"/>
        <v>99.999989999999997</v>
      </c>
      <c r="AC83" s="15">
        <f t="shared" si="49"/>
        <v>99.999989999999997</v>
      </c>
      <c r="AD83" s="15">
        <f t="shared" si="50"/>
        <v>99.999989999999997</v>
      </c>
      <c r="AE83" s="15">
        <f t="shared" si="51"/>
        <v>99.999989999999997</v>
      </c>
      <c r="AF83" s="15">
        <f t="shared" si="52"/>
        <v>99.999989999999997</v>
      </c>
      <c r="AG83" s="15">
        <f t="shared" si="53"/>
        <v>99.999989999999997</v>
      </c>
      <c r="AH83" s="15">
        <f t="shared" si="54"/>
        <v>99.999989999999997</v>
      </c>
      <c r="AI83" s="15">
        <f t="shared" si="55"/>
        <v>99.999989999999997</v>
      </c>
      <c r="AJ83" s="15">
        <f t="shared" si="56"/>
        <v>99.999989999999997</v>
      </c>
      <c r="AK83" s="5">
        <f t="shared" si="57"/>
        <v>99.999989999999997</v>
      </c>
    </row>
    <row r="84" spans="1:37">
      <c r="A84" s="52"/>
      <c r="B84" s="52"/>
      <c r="C84" s="104"/>
      <c r="D84" s="104"/>
      <c r="E84" s="104"/>
      <c r="F84" s="82"/>
      <c r="G84" s="82"/>
      <c r="H84" s="81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97" t="e">
        <f t="shared" si="39"/>
        <v>#DIV/0!</v>
      </c>
      <c r="T84" s="4">
        <f t="shared" ca="1" si="40"/>
        <v>41899</v>
      </c>
      <c r="U84" s="4">
        <f t="shared" ca="1" si="41"/>
        <v>-41539</v>
      </c>
      <c r="V84" s="4" t="e">
        <f t="shared" ca="1" si="42"/>
        <v>#NUM!</v>
      </c>
      <c r="W84" s="13" t="e">
        <f t="shared" ca="1" si="43"/>
        <v>#NUM!</v>
      </c>
      <c r="X84" s="5" t="e">
        <f t="shared" ca="1" si="44"/>
        <v>#NUM!</v>
      </c>
      <c r="Y84" s="15">
        <f t="shared" si="45"/>
        <v>99.999989999999997</v>
      </c>
      <c r="Z84" s="15">
        <f t="shared" si="46"/>
        <v>99.999989999999997</v>
      </c>
      <c r="AA84" s="15">
        <f t="shared" si="47"/>
        <v>99.999989999999997</v>
      </c>
      <c r="AB84" s="15">
        <f t="shared" si="48"/>
        <v>99.999989999999997</v>
      </c>
      <c r="AC84" s="15">
        <f t="shared" si="49"/>
        <v>99.999989999999997</v>
      </c>
      <c r="AD84" s="15">
        <f t="shared" si="50"/>
        <v>99.999989999999997</v>
      </c>
      <c r="AE84" s="15">
        <f t="shared" si="51"/>
        <v>99.999989999999997</v>
      </c>
      <c r="AF84" s="15">
        <f t="shared" si="52"/>
        <v>99.999989999999997</v>
      </c>
      <c r="AG84" s="15">
        <f t="shared" si="53"/>
        <v>99.999989999999997</v>
      </c>
      <c r="AH84" s="15">
        <f t="shared" si="54"/>
        <v>99.999989999999997</v>
      </c>
      <c r="AI84" s="15">
        <f t="shared" si="55"/>
        <v>99.999989999999997</v>
      </c>
      <c r="AJ84" s="15">
        <f t="shared" si="56"/>
        <v>99.999989999999997</v>
      </c>
      <c r="AK84" s="5">
        <f t="shared" si="57"/>
        <v>99.999989999999997</v>
      </c>
    </row>
    <row r="85" spans="1:37">
      <c r="A85" s="52"/>
      <c r="B85" s="52"/>
      <c r="C85" s="104"/>
      <c r="D85" s="104"/>
      <c r="E85" s="104"/>
      <c r="F85" s="82"/>
      <c r="G85" s="82"/>
      <c r="H85" s="81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97" t="e">
        <f t="shared" si="39"/>
        <v>#DIV/0!</v>
      </c>
      <c r="T85" s="4">
        <f t="shared" ca="1" si="40"/>
        <v>41899</v>
      </c>
      <c r="U85" s="4">
        <f t="shared" ca="1" si="41"/>
        <v>-41539</v>
      </c>
      <c r="V85" s="4" t="e">
        <f t="shared" ca="1" si="42"/>
        <v>#NUM!</v>
      </c>
      <c r="W85" s="13" t="e">
        <f t="shared" ca="1" si="43"/>
        <v>#NUM!</v>
      </c>
      <c r="X85" s="5" t="e">
        <f t="shared" ca="1" si="44"/>
        <v>#NUM!</v>
      </c>
      <c r="Y85" s="15">
        <f t="shared" si="45"/>
        <v>99.999989999999997</v>
      </c>
      <c r="Z85" s="15">
        <f t="shared" si="46"/>
        <v>99.999989999999997</v>
      </c>
      <c r="AA85" s="15">
        <f t="shared" si="47"/>
        <v>99.999989999999997</v>
      </c>
      <c r="AB85" s="15">
        <f t="shared" si="48"/>
        <v>99.999989999999997</v>
      </c>
      <c r="AC85" s="15">
        <f t="shared" si="49"/>
        <v>99.999989999999997</v>
      </c>
      <c r="AD85" s="15">
        <f t="shared" si="50"/>
        <v>99.999989999999997</v>
      </c>
      <c r="AE85" s="15">
        <f t="shared" si="51"/>
        <v>99.999989999999997</v>
      </c>
      <c r="AF85" s="15">
        <f t="shared" si="52"/>
        <v>99.999989999999997</v>
      </c>
      <c r="AG85" s="15">
        <f t="shared" si="53"/>
        <v>99.999989999999997</v>
      </c>
      <c r="AH85" s="15">
        <f t="shared" si="54"/>
        <v>99.999989999999997</v>
      </c>
      <c r="AI85" s="15">
        <f t="shared" si="55"/>
        <v>99.999989999999997</v>
      </c>
      <c r="AJ85" s="15">
        <f t="shared" si="56"/>
        <v>99.999989999999997</v>
      </c>
      <c r="AK85" s="5">
        <f t="shared" si="57"/>
        <v>99.999989999999997</v>
      </c>
    </row>
    <row r="86" spans="1:37">
      <c r="A86" s="52"/>
      <c r="B86" s="52"/>
      <c r="C86" s="104"/>
      <c r="D86" s="104"/>
      <c r="E86" s="104"/>
      <c r="F86" s="82"/>
      <c r="G86" s="82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97" t="e">
        <f t="shared" si="39"/>
        <v>#DIV/0!</v>
      </c>
      <c r="T86" s="4">
        <f t="shared" ca="1" si="40"/>
        <v>41899</v>
      </c>
      <c r="U86" s="4">
        <f t="shared" ca="1" si="41"/>
        <v>-41539</v>
      </c>
      <c r="V86" s="4" t="e">
        <f t="shared" ca="1" si="42"/>
        <v>#NUM!</v>
      </c>
      <c r="W86" s="13" t="e">
        <f t="shared" ca="1" si="43"/>
        <v>#NUM!</v>
      </c>
      <c r="X86" s="5" t="e">
        <f t="shared" ca="1" si="44"/>
        <v>#NUM!</v>
      </c>
      <c r="Y86" s="15">
        <f t="shared" si="45"/>
        <v>99.999989999999997</v>
      </c>
      <c r="Z86" s="15">
        <f t="shared" si="46"/>
        <v>99.999989999999997</v>
      </c>
      <c r="AA86" s="15">
        <f t="shared" si="47"/>
        <v>99.999989999999997</v>
      </c>
      <c r="AB86" s="15">
        <f t="shared" si="48"/>
        <v>99.999989999999997</v>
      </c>
      <c r="AC86" s="15">
        <f t="shared" si="49"/>
        <v>99.999989999999997</v>
      </c>
      <c r="AD86" s="15">
        <f t="shared" si="50"/>
        <v>99.999989999999997</v>
      </c>
      <c r="AE86" s="15">
        <f t="shared" si="51"/>
        <v>99.999989999999997</v>
      </c>
      <c r="AF86" s="15">
        <f t="shared" si="52"/>
        <v>99.999989999999997</v>
      </c>
      <c r="AG86" s="15">
        <f t="shared" si="53"/>
        <v>99.999989999999997</v>
      </c>
      <c r="AH86" s="15">
        <f t="shared" si="54"/>
        <v>99.999989999999997</v>
      </c>
      <c r="AI86" s="15">
        <f t="shared" si="55"/>
        <v>99.999989999999997</v>
      </c>
      <c r="AJ86" s="15">
        <f t="shared" si="56"/>
        <v>99.999989999999997</v>
      </c>
      <c r="AK86" s="5">
        <f t="shared" si="57"/>
        <v>99.999989999999997</v>
      </c>
    </row>
    <row r="87" spans="1:37">
      <c r="A87" s="52"/>
      <c r="B87" s="52"/>
      <c r="C87" s="104"/>
      <c r="D87" s="104"/>
      <c r="E87" s="104"/>
      <c r="F87" s="82"/>
      <c r="G87" s="82"/>
      <c r="H87" s="81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97" t="e">
        <f t="shared" si="39"/>
        <v>#DIV/0!</v>
      </c>
      <c r="T87" s="4">
        <f t="shared" ca="1" si="40"/>
        <v>41899</v>
      </c>
      <c r="U87" s="4">
        <f t="shared" ca="1" si="41"/>
        <v>-41539</v>
      </c>
      <c r="V87" s="4" t="e">
        <f t="shared" ca="1" si="42"/>
        <v>#NUM!</v>
      </c>
      <c r="W87" s="13" t="e">
        <f t="shared" ca="1" si="43"/>
        <v>#NUM!</v>
      </c>
      <c r="X87" s="5" t="e">
        <f t="shared" ca="1" si="44"/>
        <v>#NUM!</v>
      </c>
      <c r="Y87" s="15">
        <f t="shared" si="45"/>
        <v>99.999989999999997</v>
      </c>
      <c r="Z87" s="15">
        <f t="shared" si="46"/>
        <v>99.999989999999997</v>
      </c>
      <c r="AA87" s="15">
        <f t="shared" si="47"/>
        <v>99.999989999999997</v>
      </c>
      <c r="AB87" s="15">
        <f t="shared" si="48"/>
        <v>99.999989999999997</v>
      </c>
      <c r="AC87" s="15">
        <f t="shared" si="49"/>
        <v>99.999989999999997</v>
      </c>
      <c r="AD87" s="15">
        <f t="shared" si="50"/>
        <v>99.999989999999997</v>
      </c>
      <c r="AE87" s="15">
        <f t="shared" si="51"/>
        <v>99.999989999999997</v>
      </c>
      <c r="AF87" s="15">
        <f t="shared" si="52"/>
        <v>99.999989999999997</v>
      </c>
      <c r="AG87" s="15">
        <f t="shared" si="53"/>
        <v>99.999989999999997</v>
      </c>
      <c r="AH87" s="15">
        <f t="shared" si="54"/>
        <v>99.999989999999997</v>
      </c>
      <c r="AI87" s="15">
        <f t="shared" si="55"/>
        <v>99.999989999999997</v>
      </c>
      <c r="AJ87" s="15">
        <f t="shared" si="56"/>
        <v>99.999989999999997</v>
      </c>
      <c r="AK87" s="5">
        <f t="shared" si="57"/>
        <v>99.999989999999997</v>
      </c>
    </row>
    <row r="88" spans="1:37">
      <c r="A88" s="52"/>
      <c r="B88" s="52"/>
      <c r="C88" s="104"/>
      <c r="D88" s="104"/>
      <c r="E88" s="104"/>
      <c r="F88" s="82"/>
      <c r="G88" s="82"/>
      <c r="H88" s="81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97" t="e">
        <f t="shared" si="39"/>
        <v>#DIV/0!</v>
      </c>
      <c r="T88" s="4">
        <f t="shared" ca="1" si="40"/>
        <v>41899</v>
      </c>
      <c r="U88" s="4">
        <f t="shared" ca="1" si="41"/>
        <v>-41539</v>
      </c>
      <c r="V88" s="4" t="e">
        <f t="shared" ca="1" si="42"/>
        <v>#NUM!</v>
      </c>
      <c r="W88" s="13" t="e">
        <f t="shared" ca="1" si="43"/>
        <v>#NUM!</v>
      </c>
      <c r="X88" s="5" t="e">
        <f t="shared" ca="1" si="44"/>
        <v>#NUM!</v>
      </c>
      <c r="Y88" s="15">
        <f t="shared" si="45"/>
        <v>99.999989999999997</v>
      </c>
      <c r="Z88" s="15">
        <f t="shared" si="46"/>
        <v>99.999989999999997</v>
      </c>
      <c r="AA88" s="15">
        <f t="shared" si="47"/>
        <v>99.999989999999997</v>
      </c>
      <c r="AB88" s="15">
        <f t="shared" si="48"/>
        <v>99.999989999999997</v>
      </c>
      <c r="AC88" s="15">
        <f t="shared" si="49"/>
        <v>99.999989999999997</v>
      </c>
      <c r="AD88" s="15">
        <f t="shared" si="50"/>
        <v>99.999989999999997</v>
      </c>
      <c r="AE88" s="15">
        <f t="shared" si="51"/>
        <v>99.999989999999997</v>
      </c>
      <c r="AF88" s="15">
        <f t="shared" si="52"/>
        <v>99.999989999999997</v>
      </c>
      <c r="AG88" s="15">
        <f t="shared" si="53"/>
        <v>99.999989999999997</v>
      </c>
      <c r="AH88" s="15">
        <f t="shared" si="54"/>
        <v>99.999989999999997</v>
      </c>
      <c r="AI88" s="15">
        <f t="shared" si="55"/>
        <v>99.999989999999997</v>
      </c>
      <c r="AJ88" s="15">
        <f t="shared" si="56"/>
        <v>99.999989999999997</v>
      </c>
      <c r="AK88" s="5">
        <f t="shared" si="57"/>
        <v>99.999989999999997</v>
      </c>
    </row>
    <row r="89" spans="1:37">
      <c r="A89" s="52"/>
      <c r="B89" s="52"/>
      <c r="C89" s="104"/>
      <c r="D89" s="104"/>
      <c r="E89" s="104"/>
      <c r="F89" s="82"/>
      <c r="G89" s="82"/>
      <c r="H89" s="81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97" t="e">
        <f t="shared" si="39"/>
        <v>#DIV/0!</v>
      </c>
      <c r="T89" s="4">
        <f t="shared" ca="1" si="40"/>
        <v>41899</v>
      </c>
      <c r="U89" s="4">
        <f t="shared" ca="1" si="41"/>
        <v>-41539</v>
      </c>
      <c r="V89" s="4" t="e">
        <f t="shared" ca="1" si="42"/>
        <v>#NUM!</v>
      </c>
      <c r="W89" s="13" t="e">
        <f t="shared" ca="1" si="43"/>
        <v>#NUM!</v>
      </c>
      <c r="X89" s="5" t="e">
        <f t="shared" ca="1" si="44"/>
        <v>#NUM!</v>
      </c>
      <c r="Y89" s="15">
        <f t="shared" si="45"/>
        <v>99.999989999999997</v>
      </c>
      <c r="Z89" s="15">
        <f t="shared" si="46"/>
        <v>99.999989999999997</v>
      </c>
      <c r="AA89" s="15">
        <f t="shared" si="47"/>
        <v>99.999989999999997</v>
      </c>
      <c r="AB89" s="15">
        <f t="shared" si="48"/>
        <v>99.999989999999997</v>
      </c>
      <c r="AC89" s="15">
        <f t="shared" si="49"/>
        <v>99.999989999999997</v>
      </c>
      <c r="AD89" s="15">
        <f t="shared" si="50"/>
        <v>99.999989999999997</v>
      </c>
      <c r="AE89" s="15">
        <f t="shared" si="51"/>
        <v>99.999989999999997</v>
      </c>
      <c r="AF89" s="15">
        <f t="shared" si="52"/>
        <v>99.999989999999997</v>
      </c>
      <c r="AG89" s="15">
        <f t="shared" si="53"/>
        <v>99.999989999999997</v>
      </c>
      <c r="AH89" s="15">
        <f t="shared" si="54"/>
        <v>99.999989999999997</v>
      </c>
      <c r="AI89" s="15">
        <f t="shared" si="55"/>
        <v>99.999989999999997</v>
      </c>
      <c r="AJ89" s="15">
        <f t="shared" si="56"/>
        <v>99.999989999999997</v>
      </c>
      <c r="AK89" s="5">
        <f t="shared" si="57"/>
        <v>99.999989999999997</v>
      </c>
    </row>
    <row r="90" spans="1:37">
      <c r="A90" s="52"/>
      <c r="B90" s="52"/>
      <c r="C90" s="104"/>
      <c r="D90" s="104"/>
      <c r="E90" s="104"/>
      <c r="F90" s="82"/>
      <c r="G90" s="82"/>
      <c r="H90" s="81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97" t="e">
        <f t="shared" si="39"/>
        <v>#DIV/0!</v>
      </c>
      <c r="T90" s="4">
        <f t="shared" ca="1" si="40"/>
        <v>41899</v>
      </c>
      <c r="U90" s="4">
        <f t="shared" ca="1" si="41"/>
        <v>-41539</v>
      </c>
      <c r="V90" s="4" t="e">
        <f t="shared" ca="1" si="42"/>
        <v>#NUM!</v>
      </c>
      <c r="W90" s="13" t="e">
        <f t="shared" ca="1" si="43"/>
        <v>#NUM!</v>
      </c>
      <c r="X90" s="5" t="e">
        <f t="shared" ca="1" si="44"/>
        <v>#NUM!</v>
      </c>
      <c r="Y90" s="15">
        <f t="shared" si="45"/>
        <v>99.999989999999997</v>
      </c>
      <c r="Z90" s="15">
        <f t="shared" si="46"/>
        <v>99.999989999999997</v>
      </c>
      <c r="AA90" s="15">
        <f t="shared" si="47"/>
        <v>99.999989999999997</v>
      </c>
      <c r="AB90" s="15">
        <f t="shared" si="48"/>
        <v>99.999989999999997</v>
      </c>
      <c r="AC90" s="15">
        <f t="shared" si="49"/>
        <v>99.999989999999997</v>
      </c>
      <c r="AD90" s="15">
        <f t="shared" si="50"/>
        <v>99.999989999999997</v>
      </c>
      <c r="AE90" s="15">
        <f t="shared" si="51"/>
        <v>99.999989999999997</v>
      </c>
      <c r="AF90" s="15">
        <f t="shared" si="52"/>
        <v>99.999989999999997</v>
      </c>
      <c r="AG90" s="15">
        <f t="shared" si="53"/>
        <v>99.999989999999997</v>
      </c>
      <c r="AH90" s="15">
        <f t="shared" si="54"/>
        <v>99.999989999999997</v>
      </c>
      <c r="AI90" s="15">
        <f t="shared" si="55"/>
        <v>99.999989999999997</v>
      </c>
      <c r="AJ90" s="15">
        <f t="shared" si="56"/>
        <v>99.999989999999997</v>
      </c>
      <c r="AK90" s="5">
        <f t="shared" si="57"/>
        <v>99.999989999999997</v>
      </c>
    </row>
    <row r="91" spans="1:37">
      <c r="A91" s="52"/>
      <c r="B91" s="52"/>
      <c r="C91" s="104"/>
      <c r="D91" s="104"/>
      <c r="E91" s="104"/>
      <c r="F91" s="82"/>
      <c r="G91" s="82"/>
      <c r="H91" s="81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97" t="e">
        <f t="shared" si="39"/>
        <v>#DIV/0!</v>
      </c>
      <c r="T91" s="4">
        <f t="shared" ca="1" si="40"/>
        <v>41899</v>
      </c>
      <c r="U91" s="4">
        <f t="shared" ca="1" si="41"/>
        <v>-41539</v>
      </c>
      <c r="V91" s="4" t="e">
        <f t="shared" ca="1" si="42"/>
        <v>#NUM!</v>
      </c>
      <c r="W91" s="13" t="e">
        <f t="shared" ca="1" si="43"/>
        <v>#NUM!</v>
      </c>
      <c r="X91" s="5" t="e">
        <f t="shared" ca="1" si="44"/>
        <v>#NUM!</v>
      </c>
      <c r="Y91" s="15">
        <f t="shared" si="45"/>
        <v>99.999989999999997</v>
      </c>
      <c r="Z91" s="15">
        <f t="shared" si="46"/>
        <v>99.999989999999997</v>
      </c>
      <c r="AA91" s="15">
        <f t="shared" si="47"/>
        <v>99.999989999999997</v>
      </c>
      <c r="AB91" s="15">
        <f t="shared" si="48"/>
        <v>99.999989999999997</v>
      </c>
      <c r="AC91" s="15">
        <f t="shared" si="49"/>
        <v>99.999989999999997</v>
      </c>
      <c r="AD91" s="15">
        <f t="shared" si="50"/>
        <v>99.999989999999997</v>
      </c>
      <c r="AE91" s="15">
        <f t="shared" si="51"/>
        <v>99.999989999999997</v>
      </c>
      <c r="AF91" s="15">
        <f t="shared" si="52"/>
        <v>99.999989999999997</v>
      </c>
      <c r="AG91" s="15">
        <f t="shared" si="53"/>
        <v>99.999989999999997</v>
      </c>
      <c r="AH91" s="15">
        <f t="shared" si="54"/>
        <v>99.999989999999997</v>
      </c>
      <c r="AI91" s="15">
        <f t="shared" si="55"/>
        <v>99.999989999999997</v>
      </c>
      <c r="AJ91" s="15">
        <f t="shared" si="56"/>
        <v>99.999989999999997</v>
      </c>
      <c r="AK91" s="5">
        <f t="shared" si="57"/>
        <v>99.999989999999997</v>
      </c>
    </row>
    <row r="92" spans="1:37">
      <c r="A92" s="52"/>
      <c r="B92" s="52"/>
      <c r="C92" s="104"/>
      <c r="D92" s="104"/>
      <c r="E92" s="104"/>
      <c r="F92" s="82"/>
      <c r="G92" s="82"/>
      <c r="H92" s="81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97" t="e">
        <f t="shared" si="39"/>
        <v>#DIV/0!</v>
      </c>
      <c r="T92" s="4">
        <f t="shared" ca="1" si="40"/>
        <v>41899</v>
      </c>
      <c r="U92" s="4">
        <f t="shared" ca="1" si="41"/>
        <v>-41539</v>
      </c>
      <c r="V92" s="4" t="e">
        <f t="shared" ca="1" si="42"/>
        <v>#NUM!</v>
      </c>
      <c r="W92" s="13" t="e">
        <f t="shared" ca="1" si="43"/>
        <v>#NUM!</v>
      </c>
      <c r="X92" s="5" t="e">
        <f t="shared" ca="1" si="44"/>
        <v>#NUM!</v>
      </c>
      <c r="Y92" s="15">
        <f t="shared" si="45"/>
        <v>99.999989999999997</v>
      </c>
      <c r="Z92" s="15">
        <f t="shared" si="46"/>
        <v>99.999989999999997</v>
      </c>
      <c r="AA92" s="15">
        <f t="shared" si="47"/>
        <v>99.999989999999997</v>
      </c>
      <c r="AB92" s="15">
        <f t="shared" si="48"/>
        <v>99.999989999999997</v>
      </c>
      <c r="AC92" s="15">
        <f t="shared" si="49"/>
        <v>99.999989999999997</v>
      </c>
      <c r="AD92" s="15">
        <f t="shared" si="50"/>
        <v>99.999989999999997</v>
      </c>
      <c r="AE92" s="15">
        <f t="shared" si="51"/>
        <v>99.999989999999997</v>
      </c>
      <c r="AF92" s="15">
        <f t="shared" si="52"/>
        <v>99.999989999999997</v>
      </c>
      <c r="AG92" s="15">
        <f t="shared" si="53"/>
        <v>99.999989999999997</v>
      </c>
      <c r="AH92" s="15">
        <f t="shared" si="54"/>
        <v>99.999989999999997</v>
      </c>
      <c r="AI92" s="15">
        <f t="shared" si="55"/>
        <v>99.999989999999997</v>
      </c>
      <c r="AJ92" s="15">
        <f t="shared" si="56"/>
        <v>99.999989999999997</v>
      </c>
      <c r="AK92" s="5">
        <f t="shared" si="57"/>
        <v>99.999989999999997</v>
      </c>
    </row>
    <row r="93" spans="1:37">
      <c r="A93" s="52"/>
      <c r="B93" s="52"/>
      <c r="C93" s="104"/>
      <c r="D93" s="104"/>
      <c r="E93" s="104"/>
      <c r="F93" s="82"/>
      <c r="G93" s="82"/>
      <c r="H93" s="81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97" t="e">
        <f t="shared" si="39"/>
        <v>#DIV/0!</v>
      </c>
      <c r="T93" s="4">
        <f t="shared" ca="1" si="40"/>
        <v>41899</v>
      </c>
      <c r="U93" s="4">
        <f t="shared" ca="1" si="41"/>
        <v>-41539</v>
      </c>
      <c r="V93" s="4" t="e">
        <f t="shared" ca="1" si="42"/>
        <v>#NUM!</v>
      </c>
      <c r="W93" s="13" t="e">
        <f t="shared" ca="1" si="43"/>
        <v>#NUM!</v>
      </c>
      <c r="X93" s="5" t="e">
        <f t="shared" ca="1" si="44"/>
        <v>#NUM!</v>
      </c>
      <c r="Y93" s="15">
        <f t="shared" si="45"/>
        <v>99.999989999999997</v>
      </c>
      <c r="Z93" s="15">
        <f t="shared" si="46"/>
        <v>99.999989999999997</v>
      </c>
      <c r="AA93" s="15">
        <f t="shared" si="47"/>
        <v>99.999989999999997</v>
      </c>
      <c r="AB93" s="15">
        <f t="shared" si="48"/>
        <v>99.999989999999997</v>
      </c>
      <c r="AC93" s="15">
        <f t="shared" si="49"/>
        <v>99.999989999999997</v>
      </c>
      <c r="AD93" s="15">
        <f t="shared" si="50"/>
        <v>99.999989999999997</v>
      </c>
      <c r="AE93" s="15">
        <f t="shared" si="51"/>
        <v>99.999989999999997</v>
      </c>
      <c r="AF93" s="15">
        <f t="shared" si="52"/>
        <v>99.999989999999997</v>
      </c>
      <c r="AG93" s="15">
        <f t="shared" si="53"/>
        <v>99.999989999999997</v>
      </c>
      <c r="AH93" s="15">
        <f t="shared" si="54"/>
        <v>99.999989999999997</v>
      </c>
      <c r="AI93" s="15">
        <f t="shared" si="55"/>
        <v>99.999989999999997</v>
      </c>
      <c r="AJ93" s="15">
        <f t="shared" si="56"/>
        <v>99.999989999999997</v>
      </c>
      <c r="AK93" s="5">
        <f t="shared" si="57"/>
        <v>99.999989999999997</v>
      </c>
    </row>
    <row r="94" spans="1:37">
      <c r="A94" s="52"/>
      <c r="B94" s="52"/>
      <c r="C94" s="104"/>
      <c r="D94" s="104"/>
      <c r="E94" s="104"/>
      <c r="F94" s="82"/>
      <c r="G94" s="82"/>
      <c r="H94" s="81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97" t="e">
        <f t="shared" si="39"/>
        <v>#DIV/0!</v>
      </c>
      <c r="T94" s="4">
        <f t="shared" ca="1" si="40"/>
        <v>41899</v>
      </c>
      <c r="U94" s="4">
        <f t="shared" ca="1" si="41"/>
        <v>-41539</v>
      </c>
      <c r="V94" s="4" t="e">
        <f t="shared" ca="1" si="42"/>
        <v>#NUM!</v>
      </c>
      <c r="W94" s="13" t="e">
        <f t="shared" ca="1" si="43"/>
        <v>#NUM!</v>
      </c>
      <c r="X94" s="5" t="e">
        <f t="shared" ca="1" si="44"/>
        <v>#NUM!</v>
      </c>
      <c r="Y94" s="15">
        <f t="shared" si="45"/>
        <v>99.999989999999997</v>
      </c>
      <c r="Z94" s="15">
        <f t="shared" si="46"/>
        <v>99.999989999999997</v>
      </c>
      <c r="AA94" s="15">
        <f t="shared" si="47"/>
        <v>99.999989999999997</v>
      </c>
      <c r="AB94" s="15">
        <f t="shared" si="48"/>
        <v>99.999989999999997</v>
      </c>
      <c r="AC94" s="15">
        <f t="shared" si="49"/>
        <v>99.999989999999997</v>
      </c>
      <c r="AD94" s="15">
        <f t="shared" si="50"/>
        <v>99.999989999999997</v>
      </c>
      <c r="AE94" s="15">
        <f t="shared" si="51"/>
        <v>99.999989999999997</v>
      </c>
      <c r="AF94" s="15">
        <f t="shared" si="52"/>
        <v>99.999989999999997</v>
      </c>
      <c r="AG94" s="15">
        <f t="shared" si="53"/>
        <v>99.999989999999997</v>
      </c>
      <c r="AH94" s="15">
        <f t="shared" si="54"/>
        <v>99.999989999999997</v>
      </c>
      <c r="AI94" s="15">
        <f t="shared" si="55"/>
        <v>99.999989999999997</v>
      </c>
      <c r="AJ94" s="15">
        <f t="shared" si="56"/>
        <v>99.999989999999997</v>
      </c>
      <c r="AK94" s="5">
        <f t="shared" si="57"/>
        <v>99.999989999999997</v>
      </c>
    </row>
    <row r="95" spans="1:37">
      <c r="A95" s="52"/>
      <c r="B95" s="52"/>
      <c r="C95" s="104"/>
      <c r="D95" s="104"/>
      <c r="E95" s="104"/>
      <c r="F95" s="82"/>
      <c r="G95" s="82"/>
      <c r="H95" s="81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97" t="e">
        <f t="shared" si="39"/>
        <v>#DIV/0!</v>
      </c>
      <c r="T95" s="4">
        <f t="shared" ca="1" si="40"/>
        <v>41899</v>
      </c>
      <c r="U95" s="4">
        <f t="shared" ca="1" si="41"/>
        <v>-41539</v>
      </c>
      <c r="V95" s="4" t="e">
        <f t="shared" ca="1" si="42"/>
        <v>#NUM!</v>
      </c>
      <c r="W95" s="13" t="e">
        <f t="shared" ca="1" si="43"/>
        <v>#NUM!</v>
      </c>
      <c r="X95" s="5" t="e">
        <f t="shared" ca="1" si="44"/>
        <v>#NUM!</v>
      </c>
      <c r="Y95" s="15">
        <f t="shared" si="45"/>
        <v>99.999989999999997</v>
      </c>
      <c r="Z95" s="15">
        <f t="shared" si="46"/>
        <v>99.999989999999997</v>
      </c>
      <c r="AA95" s="15">
        <f t="shared" si="47"/>
        <v>99.999989999999997</v>
      </c>
      <c r="AB95" s="15">
        <f t="shared" si="48"/>
        <v>99.999989999999997</v>
      </c>
      <c r="AC95" s="15">
        <f t="shared" si="49"/>
        <v>99.999989999999997</v>
      </c>
      <c r="AD95" s="15">
        <f t="shared" si="50"/>
        <v>99.999989999999997</v>
      </c>
      <c r="AE95" s="15">
        <f t="shared" si="51"/>
        <v>99.999989999999997</v>
      </c>
      <c r="AF95" s="15">
        <f t="shared" si="52"/>
        <v>99.999989999999997</v>
      </c>
      <c r="AG95" s="15">
        <f t="shared" si="53"/>
        <v>99.999989999999997</v>
      </c>
      <c r="AH95" s="15">
        <f t="shared" si="54"/>
        <v>99.999989999999997</v>
      </c>
      <c r="AI95" s="15">
        <f t="shared" si="55"/>
        <v>99.999989999999997</v>
      </c>
      <c r="AJ95" s="15">
        <f t="shared" si="56"/>
        <v>99.999989999999997</v>
      </c>
      <c r="AK95" s="5">
        <f t="shared" si="57"/>
        <v>99.999989999999997</v>
      </c>
    </row>
    <row r="96" spans="1:37">
      <c r="A96" s="52"/>
      <c r="B96" s="52"/>
      <c r="C96" s="104"/>
      <c r="D96" s="104"/>
      <c r="E96" s="104"/>
      <c r="F96" s="82"/>
      <c r="G96" s="82"/>
      <c r="H96" s="81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97" t="e">
        <f t="shared" si="39"/>
        <v>#DIV/0!</v>
      </c>
      <c r="T96" s="4">
        <f t="shared" ca="1" si="40"/>
        <v>41899</v>
      </c>
      <c r="U96" s="4">
        <f t="shared" ca="1" si="41"/>
        <v>-41539</v>
      </c>
      <c r="V96" s="4" t="e">
        <f t="shared" ca="1" si="42"/>
        <v>#NUM!</v>
      </c>
      <c r="W96" s="13" t="e">
        <f t="shared" ca="1" si="43"/>
        <v>#NUM!</v>
      </c>
      <c r="X96" s="5" t="e">
        <f t="shared" ca="1" si="44"/>
        <v>#NUM!</v>
      </c>
      <c r="Y96" s="15">
        <f t="shared" si="45"/>
        <v>99.999989999999997</v>
      </c>
      <c r="Z96" s="15">
        <f t="shared" si="46"/>
        <v>99.999989999999997</v>
      </c>
      <c r="AA96" s="15">
        <f t="shared" si="47"/>
        <v>99.999989999999997</v>
      </c>
      <c r="AB96" s="15">
        <f t="shared" si="48"/>
        <v>99.999989999999997</v>
      </c>
      <c r="AC96" s="15">
        <f t="shared" si="49"/>
        <v>99.999989999999997</v>
      </c>
      <c r="AD96" s="15">
        <f t="shared" si="50"/>
        <v>99.999989999999997</v>
      </c>
      <c r="AE96" s="15">
        <f t="shared" si="51"/>
        <v>99.999989999999997</v>
      </c>
      <c r="AF96" s="15">
        <f t="shared" si="52"/>
        <v>99.999989999999997</v>
      </c>
      <c r="AG96" s="15">
        <f t="shared" si="53"/>
        <v>99.999989999999997</v>
      </c>
      <c r="AH96" s="15">
        <f t="shared" si="54"/>
        <v>99.999989999999997</v>
      </c>
      <c r="AI96" s="15">
        <f t="shared" si="55"/>
        <v>99.999989999999997</v>
      </c>
      <c r="AJ96" s="15">
        <f t="shared" si="56"/>
        <v>99.999989999999997</v>
      </c>
      <c r="AK96" s="5">
        <f t="shared" si="57"/>
        <v>99.999989999999997</v>
      </c>
    </row>
    <row r="97" spans="1:37">
      <c r="A97" s="52"/>
      <c r="B97" s="52"/>
      <c r="C97" s="104"/>
      <c r="D97" s="104"/>
      <c r="E97" s="104"/>
      <c r="F97" s="82"/>
      <c r="G97" s="82"/>
      <c r="H97" s="81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97" t="e">
        <f t="shared" si="39"/>
        <v>#DIV/0!</v>
      </c>
      <c r="T97" s="4">
        <f t="shared" ca="1" si="40"/>
        <v>41899</v>
      </c>
      <c r="U97" s="4">
        <f t="shared" ca="1" si="41"/>
        <v>-41539</v>
      </c>
      <c r="V97" s="4" t="e">
        <f t="shared" ca="1" si="42"/>
        <v>#NUM!</v>
      </c>
      <c r="W97" s="13" t="e">
        <f t="shared" ca="1" si="43"/>
        <v>#NUM!</v>
      </c>
      <c r="X97" s="5" t="e">
        <f t="shared" ca="1" si="44"/>
        <v>#NUM!</v>
      </c>
      <c r="Y97" s="15">
        <f t="shared" si="45"/>
        <v>99.999989999999997</v>
      </c>
      <c r="Z97" s="15">
        <f t="shared" si="46"/>
        <v>99.999989999999997</v>
      </c>
      <c r="AA97" s="15">
        <f t="shared" si="47"/>
        <v>99.999989999999997</v>
      </c>
      <c r="AB97" s="15">
        <f t="shared" si="48"/>
        <v>99.999989999999997</v>
      </c>
      <c r="AC97" s="15">
        <f t="shared" si="49"/>
        <v>99.999989999999997</v>
      </c>
      <c r="AD97" s="15">
        <f t="shared" si="50"/>
        <v>99.999989999999997</v>
      </c>
      <c r="AE97" s="15">
        <f t="shared" si="51"/>
        <v>99.999989999999997</v>
      </c>
      <c r="AF97" s="15">
        <f t="shared" si="52"/>
        <v>99.999989999999997</v>
      </c>
      <c r="AG97" s="15">
        <f t="shared" si="53"/>
        <v>99.999989999999997</v>
      </c>
      <c r="AH97" s="15">
        <f t="shared" si="54"/>
        <v>99.999989999999997</v>
      </c>
      <c r="AI97" s="15">
        <f t="shared" si="55"/>
        <v>99.999989999999997</v>
      </c>
      <c r="AJ97" s="15">
        <f t="shared" si="56"/>
        <v>99.999989999999997</v>
      </c>
      <c r="AK97" s="5">
        <f t="shared" si="57"/>
        <v>99.999989999999997</v>
      </c>
    </row>
    <row r="98" spans="1:37">
      <c r="A98" s="52"/>
      <c r="B98" s="52"/>
      <c r="C98" s="104"/>
      <c r="D98" s="104"/>
      <c r="E98" s="104"/>
      <c r="F98" s="82"/>
      <c r="G98" s="82"/>
      <c r="H98" s="81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97" t="e">
        <f t="shared" si="39"/>
        <v>#DIV/0!</v>
      </c>
      <c r="T98" s="4">
        <f t="shared" ca="1" si="40"/>
        <v>41899</v>
      </c>
      <c r="U98" s="4">
        <f t="shared" ca="1" si="41"/>
        <v>-41539</v>
      </c>
      <c r="V98" s="4" t="e">
        <f t="shared" ca="1" si="42"/>
        <v>#NUM!</v>
      </c>
      <c r="W98" s="13" t="e">
        <f t="shared" ca="1" si="43"/>
        <v>#NUM!</v>
      </c>
      <c r="X98" s="5" t="e">
        <f t="shared" ca="1" si="44"/>
        <v>#NUM!</v>
      </c>
      <c r="Y98" s="15">
        <f t="shared" si="45"/>
        <v>99.999989999999997</v>
      </c>
      <c r="Z98" s="15">
        <f t="shared" si="46"/>
        <v>99.999989999999997</v>
      </c>
      <c r="AA98" s="15">
        <f t="shared" si="47"/>
        <v>99.999989999999997</v>
      </c>
      <c r="AB98" s="15">
        <f t="shared" si="48"/>
        <v>99.999989999999997</v>
      </c>
      <c r="AC98" s="15">
        <f t="shared" si="49"/>
        <v>99.999989999999997</v>
      </c>
      <c r="AD98" s="15">
        <f t="shared" si="50"/>
        <v>99.999989999999997</v>
      </c>
      <c r="AE98" s="15">
        <f t="shared" si="51"/>
        <v>99.999989999999997</v>
      </c>
      <c r="AF98" s="15">
        <f t="shared" si="52"/>
        <v>99.999989999999997</v>
      </c>
      <c r="AG98" s="15">
        <f t="shared" si="53"/>
        <v>99.999989999999997</v>
      </c>
      <c r="AH98" s="15">
        <f t="shared" si="54"/>
        <v>99.999989999999997</v>
      </c>
      <c r="AI98" s="15">
        <f t="shared" si="55"/>
        <v>99.999989999999997</v>
      </c>
      <c r="AJ98" s="15">
        <f t="shared" si="56"/>
        <v>99.999989999999997</v>
      </c>
      <c r="AK98" s="5">
        <f t="shared" si="57"/>
        <v>99.999989999999997</v>
      </c>
    </row>
    <row r="99" spans="1:37">
      <c r="A99" s="52"/>
      <c r="B99" s="52"/>
      <c r="C99" s="104"/>
      <c r="D99" s="104"/>
      <c r="E99" s="104"/>
      <c r="F99" s="82"/>
      <c r="G99" s="82"/>
      <c r="H99" s="81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97" t="e">
        <f t="shared" si="39"/>
        <v>#DIV/0!</v>
      </c>
      <c r="T99" s="4">
        <f t="shared" ca="1" si="40"/>
        <v>41899</v>
      </c>
      <c r="U99" s="4">
        <f t="shared" ca="1" si="41"/>
        <v>-41539</v>
      </c>
      <c r="V99" s="4" t="e">
        <f t="shared" ca="1" si="42"/>
        <v>#NUM!</v>
      </c>
      <c r="W99" s="13" t="e">
        <f t="shared" ca="1" si="43"/>
        <v>#NUM!</v>
      </c>
      <c r="X99" s="5" t="e">
        <f t="shared" ca="1" si="44"/>
        <v>#NUM!</v>
      </c>
      <c r="Y99" s="15">
        <f t="shared" si="45"/>
        <v>99.999989999999997</v>
      </c>
      <c r="Z99" s="15">
        <f t="shared" si="46"/>
        <v>99.999989999999997</v>
      </c>
      <c r="AA99" s="15">
        <f t="shared" si="47"/>
        <v>99.999989999999997</v>
      </c>
      <c r="AB99" s="15">
        <f t="shared" si="48"/>
        <v>99.999989999999997</v>
      </c>
      <c r="AC99" s="15">
        <f t="shared" si="49"/>
        <v>99.999989999999997</v>
      </c>
      <c r="AD99" s="15">
        <f t="shared" si="50"/>
        <v>99.999989999999997</v>
      </c>
      <c r="AE99" s="15">
        <f t="shared" si="51"/>
        <v>99.999989999999997</v>
      </c>
      <c r="AF99" s="15">
        <f t="shared" si="52"/>
        <v>99.999989999999997</v>
      </c>
      <c r="AG99" s="15">
        <f t="shared" si="53"/>
        <v>99.999989999999997</v>
      </c>
      <c r="AH99" s="15">
        <f t="shared" si="54"/>
        <v>99.999989999999997</v>
      </c>
      <c r="AI99" s="15">
        <f t="shared" si="55"/>
        <v>99.999989999999997</v>
      </c>
      <c r="AJ99" s="15">
        <f t="shared" si="56"/>
        <v>99.999989999999997</v>
      </c>
      <c r="AK99" s="5">
        <f t="shared" si="57"/>
        <v>99.999989999999997</v>
      </c>
    </row>
    <row r="100" spans="1:37">
      <c r="A100" s="52"/>
      <c r="B100" s="52"/>
      <c r="C100" s="104"/>
      <c r="D100" s="104"/>
      <c r="E100" s="104"/>
      <c r="F100" s="82"/>
      <c r="G100" s="82"/>
      <c r="H100" s="81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97" t="e">
        <f t="shared" ref="S100:S103" si="58">AVERAGE(F100:R100)</f>
        <v>#DIV/0!</v>
      </c>
      <c r="T100" s="4">
        <f t="shared" ref="T100:T103" ca="1" si="59">IF(DAYS360(TODAY(),DATE(E100+2,D100,C100))&gt;=720,0,360-U100)</f>
        <v>41899</v>
      </c>
      <c r="U100" s="4">
        <f t="shared" ref="U100:U103" ca="1" si="60">IF(DAYS360(TODAY(),DATE(E100+1,D100,C100))&lt;=360,DAYS360(TODAY(),DATE(E100+1,D100,C100)),360-V100)</f>
        <v>-41539</v>
      </c>
      <c r="V100" s="4" t="e">
        <f t="shared" ca="1" si="42"/>
        <v>#NUM!</v>
      </c>
      <c r="W100" s="13" t="e">
        <f t="shared" ref="W100:W103" ca="1" si="61">(F100/360*T100)+(G100/360*U100)+(H100/360*V100)</f>
        <v>#NUM!</v>
      </c>
      <c r="X100" s="5" t="e">
        <f t="shared" ref="X100:X103" ca="1" si="62">IF(W100&lt;0,IF(W100&lt;0,((W100/S100)-1)*-1,(W100/S100)-1),IF(S100&lt;0,ABS((W100/S100)-1),(W100/S100)-1))</f>
        <v>#NUM!</v>
      </c>
      <c r="Y100" s="15">
        <f t="shared" si="45"/>
        <v>99.999989999999997</v>
      </c>
      <c r="Z100" s="15">
        <f t="shared" si="46"/>
        <v>99.999989999999997</v>
      </c>
      <c r="AA100" s="15">
        <f t="shared" si="47"/>
        <v>99.999989999999997</v>
      </c>
      <c r="AB100" s="15">
        <f t="shared" si="48"/>
        <v>99.999989999999997</v>
      </c>
      <c r="AC100" s="15">
        <f t="shared" si="49"/>
        <v>99.999989999999997</v>
      </c>
      <c r="AD100" s="15">
        <f t="shared" si="50"/>
        <v>99.999989999999997</v>
      </c>
      <c r="AE100" s="15">
        <f t="shared" si="51"/>
        <v>99.999989999999997</v>
      </c>
      <c r="AF100" s="15">
        <f t="shared" si="52"/>
        <v>99.999989999999997</v>
      </c>
      <c r="AG100" s="15">
        <f t="shared" si="53"/>
        <v>99.999989999999997</v>
      </c>
      <c r="AH100" s="15">
        <f t="shared" si="54"/>
        <v>99.999989999999997</v>
      </c>
      <c r="AI100" s="15">
        <f t="shared" si="55"/>
        <v>99.999989999999997</v>
      </c>
      <c r="AJ100" s="15">
        <f t="shared" si="56"/>
        <v>99.999989999999997</v>
      </c>
      <c r="AK100" s="5">
        <f t="shared" ref="AK100:AK103" si="63">MIN(Y100:AJ100)</f>
        <v>99.999989999999997</v>
      </c>
    </row>
    <row r="101" spans="1:37">
      <c r="A101" s="52"/>
      <c r="B101" s="52"/>
      <c r="C101" s="104"/>
      <c r="D101" s="104"/>
      <c r="E101" s="104"/>
      <c r="F101" s="82"/>
      <c r="G101" s="82"/>
      <c r="H101" s="81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97" t="e">
        <f t="shared" si="58"/>
        <v>#DIV/0!</v>
      </c>
      <c r="T101" s="4">
        <f t="shared" ca="1" si="59"/>
        <v>41899</v>
      </c>
      <c r="U101" s="4">
        <f t="shared" ca="1" si="60"/>
        <v>-41539</v>
      </c>
      <c r="V101" s="4" t="e">
        <f t="shared" ca="1" si="42"/>
        <v>#NUM!</v>
      </c>
      <c r="W101" s="13" t="e">
        <f t="shared" ca="1" si="61"/>
        <v>#NUM!</v>
      </c>
      <c r="X101" s="5" t="e">
        <f t="shared" ca="1" si="62"/>
        <v>#NUM!</v>
      </c>
      <c r="Y101" s="15">
        <f t="shared" si="45"/>
        <v>99.999989999999997</v>
      </c>
      <c r="Z101" s="15">
        <f t="shared" si="46"/>
        <v>99.999989999999997</v>
      </c>
      <c r="AA101" s="15">
        <f t="shared" si="47"/>
        <v>99.999989999999997</v>
      </c>
      <c r="AB101" s="15">
        <f t="shared" si="48"/>
        <v>99.999989999999997</v>
      </c>
      <c r="AC101" s="15">
        <f t="shared" si="49"/>
        <v>99.999989999999997</v>
      </c>
      <c r="AD101" s="15">
        <f t="shared" si="50"/>
        <v>99.999989999999997</v>
      </c>
      <c r="AE101" s="15">
        <f t="shared" si="51"/>
        <v>99.999989999999997</v>
      </c>
      <c r="AF101" s="15">
        <f t="shared" si="52"/>
        <v>99.999989999999997</v>
      </c>
      <c r="AG101" s="15">
        <f t="shared" si="53"/>
        <v>99.999989999999997</v>
      </c>
      <c r="AH101" s="15">
        <f t="shared" si="54"/>
        <v>99.999989999999997</v>
      </c>
      <c r="AI101" s="15">
        <f t="shared" si="55"/>
        <v>99.999989999999997</v>
      </c>
      <c r="AJ101" s="15">
        <f t="shared" si="56"/>
        <v>99.999989999999997</v>
      </c>
      <c r="AK101" s="5">
        <f t="shared" si="63"/>
        <v>99.999989999999997</v>
      </c>
    </row>
    <row r="102" spans="1:37">
      <c r="A102" s="52"/>
      <c r="B102" s="52"/>
      <c r="C102" s="104"/>
      <c r="D102" s="104"/>
      <c r="E102" s="104"/>
      <c r="F102" s="82"/>
      <c r="G102" s="82"/>
      <c r="H102" s="81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97" t="e">
        <f t="shared" si="58"/>
        <v>#DIV/0!</v>
      </c>
      <c r="T102" s="4">
        <f t="shared" ca="1" si="59"/>
        <v>41899</v>
      </c>
      <c r="U102" s="4">
        <f t="shared" ca="1" si="60"/>
        <v>-41539</v>
      </c>
      <c r="V102" s="4" t="e">
        <f t="shared" ca="1" si="42"/>
        <v>#NUM!</v>
      </c>
      <c r="W102" s="13" t="e">
        <f t="shared" ca="1" si="61"/>
        <v>#NUM!</v>
      </c>
      <c r="X102" s="5" t="e">
        <f t="shared" ca="1" si="62"/>
        <v>#NUM!</v>
      </c>
      <c r="Y102" s="15">
        <f t="shared" si="45"/>
        <v>99.999989999999997</v>
      </c>
      <c r="Z102" s="15">
        <f t="shared" si="46"/>
        <v>99.999989999999997</v>
      </c>
      <c r="AA102" s="15">
        <f t="shared" si="47"/>
        <v>99.999989999999997</v>
      </c>
      <c r="AB102" s="15">
        <f t="shared" si="48"/>
        <v>99.999989999999997</v>
      </c>
      <c r="AC102" s="15">
        <f t="shared" si="49"/>
        <v>99.999989999999997</v>
      </c>
      <c r="AD102" s="15">
        <f t="shared" si="50"/>
        <v>99.999989999999997</v>
      </c>
      <c r="AE102" s="15">
        <f t="shared" si="51"/>
        <v>99.999989999999997</v>
      </c>
      <c r="AF102" s="15">
        <f t="shared" si="52"/>
        <v>99.999989999999997</v>
      </c>
      <c r="AG102" s="15">
        <f t="shared" si="53"/>
        <v>99.999989999999997</v>
      </c>
      <c r="AH102" s="15">
        <f t="shared" si="54"/>
        <v>99.999989999999997</v>
      </c>
      <c r="AI102" s="15">
        <f t="shared" si="55"/>
        <v>99.999989999999997</v>
      </c>
      <c r="AJ102" s="15">
        <f t="shared" si="56"/>
        <v>99.999989999999997</v>
      </c>
      <c r="AK102" s="5">
        <f t="shared" si="63"/>
        <v>99.999989999999997</v>
      </c>
    </row>
    <row r="103" spans="1:37">
      <c r="A103" s="52"/>
      <c r="B103" s="52"/>
      <c r="C103" s="104"/>
      <c r="D103" s="104"/>
      <c r="E103" s="104"/>
      <c r="F103" s="82"/>
      <c r="G103" s="82"/>
      <c r="H103" s="81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97" t="e">
        <f t="shared" si="58"/>
        <v>#DIV/0!</v>
      </c>
      <c r="T103" s="4">
        <f t="shared" ca="1" si="59"/>
        <v>41899</v>
      </c>
      <c r="U103" s="4">
        <f t="shared" ca="1" si="60"/>
        <v>-41539</v>
      </c>
      <c r="V103" s="4" t="e">
        <f t="shared" ca="1" si="42"/>
        <v>#NUM!</v>
      </c>
      <c r="W103" s="13" t="e">
        <f t="shared" ca="1" si="61"/>
        <v>#NUM!</v>
      </c>
      <c r="X103" s="5" t="e">
        <f t="shared" ca="1" si="62"/>
        <v>#NUM!</v>
      </c>
      <c r="Y103" s="15">
        <f t="shared" si="45"/>
        <v>99.999989999999997</v>
      </c>
      <c r="Z103" s="15">
        <f t="shared" si="46"/>
        <v>99.999989999999997</v>
      </c>
      <c r="AA103" s="15">
        <f t="shared" si="47"/>
        <v>99.999989999999997</v>
      </c>
      <c r="AB103" s="15">
        <f t="shared" si="48"/>
        <v>99.999989999999997</v>
      </c>
      <c r="AC103" s="15">
        <f t="shared" si="49"/>
        <v>99.999989999999997</v>
      </c>
      <c r="AD103" s="15">
        <f t="shared" si="50"/>
        <v>99.999989999999997</v>
      </c>
      <c r="AE103" s="15">
        <f t="shared" si="51"/>
        <v>99.999989999999997</v>
      </c>
      <c r="AF103" s="15">
        <f t="shared" si="52"/>
        <v>99.999989999999997</v>
      </c>
      <c r="AG103" s="15">
        <f t="shared" si="53"/>
        <v>99.999989999999997</v>
      </c>
      <c r="AH103" s="15">
        <f t="shared" si="54"/>
        <v>99.999989999999997</v>
      </c>
      <c r="AI103" s="15">
        <f t="shared" si="55"/>
        <v>99.999989999999997</v>
      </c>
      <c r="AJ103" s="15">
        <f t="shared" si="56"/>
        <v>99.999989999999997</v>
      </c>
      <c r="AK103" s="5">
        <f t="shared" si="63"/>
        <v>99.999989999999997</v>
      </c>
    </row>
  </sheetData>
  <autoFilter ref="A3:AK103">
    <sortState ref="A4:AK103">
      <sortCondition ref="B3:B103"/>
    </sortState>
  </autoFilter>
  <mergeCells count="3">
    <mergeCell ref="C2:E2"/>
    <mergeCell ref="T1:V1"/>
    <mergeCell ref="Y1:A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0.42578125" bestFit="1" customWidth="1"/>
    <col min="4" max="4" width="13.7109375" customWidth="1"/>
    <col min="5" max="5" width="11.140625" bestFit="1" customWidth="1"/>
    <col min="6" max="6" width="15.140625" customWidth="1"/>
    <col min="7" max="7" width="14.7109375" bestFit="1" customWidth="1"/>
    <col min="8" max="8" width="15.140625" customWidth="1"/>
    <col min="9" max="9" width="14.42578125" customWidth="1"/>
    <col min="10" max="18" width="14.85546875" customWidth="1"/>
    <col min="19" max="19" width="15.42578125" bestFit="1" customWidth="1"/>
    <col min="20" max="20" width="18" customWidth="1"/>
    <col min="21" max="21" width="15.140625" customWidth="1"/>
    <col min="22" max="22" width="14.7109375" bestFit="1" customWidth="1"/>
    <col min="23" max="23" width="15.140625" customWidth="1"/>
    <col min="24" max="24" width="24.85546875" customWidth="1"/>
    <col min="25" max="25" width="33.42578125" customWidth="1"/>
    <col min="26" max="26" width="15.140625" customWidth="1"/>
    <col min="27" max="27" width="14.7109375" bestFit="1" customWidth="1"/>
    <col min="28" max="28" width="15.140625" customWidth="1"/>
    <col min="29" max="29" width="14.42578125" customWidth="1"/>
    <col min="30" max="37" width="14.85546875" customWidth="1"/>
    <col min="38" max="38" width="15.85546875" bestFit="1" customWidth="1"/>
    <col min="39" max="39" width="39.42578125" customWidth="1"/>
  </cols>
  <sheetData>
    <row r="1" spans="1:39">
      <c r="A1" s="1"/>
      <c r="B1" s="1"/>
      <c r="C1" s="37"/>
      <c r="D1" s="37"/>
      <c r="E1" s="3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37"/>
      <c r="U1" s="110" t="s">
        <v>109</v>
      </c>
      <c r="V1" s="110"/>
      <c r="W1" s="110"/>
      <c r="X1" s="1"/>
      <c r="Y1" s="1"/>
      <c r="Z1" s="110" t="s">
        <v>117</v>
      </c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</row>
    <row r="2" spans="1:39">
      <c r="A2" s="1"/>
      <c r="B2" s="1"/>
      <c r="C2" s="111" t="s">
        <v>160</v>
      </c>
      <c r="D2" s="111"/>
      <c r="E2" s="111"/>
      <c r="F2" s="37">
        <v>2018</v>
      </c>
      <c r="G2" s="37">
        <v>2017</v>
      </c>
      <c r="H2" s="1">
        <v>2016</v>
      </c>
      <c r="I2" s="1">
        <v>2015</v>
      </c>
      <c r="J2" s="37">
        <v>2014</v>
      </c>
      <c r="K2" s="37">
        <v>2013</v>
      </c>
      <c r="L2" s="37">
        <v>2012</v>
      </c>
      <c r="M2" s="37">
        <v>2011</v>
      </c>
      <c r="N2" s="37">
        <v>2010</v>
      </c>
      <c r="O2" s="37">
        <v>2009</v>
      </c>
      <c r="P2" s="37">
        <v>2008</v>
      </c>
      <c r="Q2" s="37">
        <v>2007</v>
      </c>
      <c r="R2" s="37">
        <v>2006</v>
      </c>
      <c r="S2" s="37">
        <v>2005</v>
      </c>
      <c r="T2" s="37"/>
      <c r="U2" s="1">
        <f>F2</f>
        <v>2018</v>
      </c>
      <c r="V2" s="1">
        <f>G2</f>
        <v>2017</v>
      </c>
      <c r="W2" s="1">
        <f>H2</f>
        <v>2016</v>
      </c>
      <c r="X2" s="1"/>
      <c r="Y2" s="1"/>
      <c r="Z2" s="1">
        <f t="shared" ref="Z2:AL2" si="0">F2</f>
        <v>2018</v>
      </c>
      <c r="AA2" s="1">
        <f t="shared" si="0"/>
        <v>2017</v>
      </c>
      <c r="AB2" s="1">
        <f t="shared" si="0"/>
        <v>2016</v>
      </c>
      <c r="AC2" s="1">
        <f t="shared" si="0"/>
        <v>2015</v>
      </c>
      <c r="AD2" s="1">
        <f t="shared" si="0"/>
        <v>2014</v>
      </c>
      <c r="AE2" s="1">
        <f t="shared" si="0"/>
        <v>2013</v>
      </c>
      <c r="AF2" s="1">
        <f t="shared" si="0"/>
        <v>2012</v>
      </c>
      <c r="AG2" s="1">
        <f t="shared" si="0"/>
        <v>2011</v>
      </c>
      <c r="AH2" s="1">
        <f t="shared" si="0"/>
        <v>2010</v>
      </c>
      <c r="AI2" s="1">
        <f t="shared" si="0"/>
        <v>2009</v>
      </c>
      <c r="AJ2" s="1">
        <f t="shared" si="0"/>
        <v>2008</v>
      </c>
      <c r="AK2" s="1">
        <f t="shared" si="0"/>
        <v>2007</v>
      </c>
      <c r="AL2" s="1">
        <f t="shared" si="0"/>
        <v>2006</v>
      </c>
    </row>
    <row r="3" spans="1:39">
      <c r="A3" s="1" t="s">
        <v>0</v>
      </c>
      <c r="B3" s="1" t="s">
        <v>1</v>
      </c>
      <c r="C3" s="37" t="s">
        <v>161</v>
      </c>
      <c r="D3" s="37" t="s">
        <v>162</v>
      </c>
      <c r="E3" s="37" t="s">
        <v>132</v>
      </c>
      <c r="F3" s="37" t="s">
        <v>163</v>
      </c>
      <c r="G3" s="1" t="s">
        <v>106</v>
      </c>
      <c r="H3" s="1" t="s">
        <v>107</v>
      </c>
      <c r="I3" s="37" t="s">
        <v>96</v>
      </c>
      <c r="J3" s="37" t="s">
        <v>97</v>
      </c>
      <c r="K3" s="37" t="s">
        <v>98</v>
      </c>
      <c r="L3" s="37" t="s">
        <v>99</v>
      </c>
      <c r="M3" s="37" t="s">
        <v>100</v>
      </c>
      <c r="N3" s="37" t="s">
        <v>101</v>
      </c>
      <c r="O3" s="37" t="s">
        <v>102</v>
      </c>
      <c r="P3" s="37" t="s">
        <v>103</v>
      </c>
      <c r="Q3" s="37" t="s">
        <v>104</v>
      </c>
      <c r="R3" s="37" t="s">
        <v>105</v>
      </c>
      <c r="S3" s="37" t="s">
        <v>176</v>
      </c>
      <c r="T3" s="37" t="s">
        <v>115</v>
      </c>
      <c r="U3" s="1" t="s">
        <v>163</v>
      </c>
      <c r="V3" s="1" t="s">
        <v>106</v>
      </c>
      <c r="W3" s="1" t="s">
        <v>107</v>
      </c>
      <c r="X3" s="1" t="s">
        <v>154</v>
      </c>
      <c r="Y3" s="1" t="s">
        <v>116</v>
      </c>
      <c r="Z3" s="37" t="s">
        <v>163</v>
      </c>
      <c r="AA3" s="1" t="s">
        <v>106</v>
      </c>
      <c r="AB3" s="1" t="s">
        <v>107</v>
      </c>
      <c r="AC3" s="1" t="s">
        <v>96</v>
      </c>
      <c r="AD3" s="1" t="s">
        <v>97</v>
      </c>
      <c r="AE3" s="1" t="s">
        <v>98</v>
      </c>
      <c r="AF3" s="1" t="s">
        <v>99</v>
      </c>
      <c r="AG3" s="1" t="s">
        <v>100</v>
      </c>
      <c r="AH3" s="1" t="s">
        <v>101</v>
      </c>
      <c r="AI3" s="1" t="s">
        <v>102</v>
      </c>
      <c r="AJ3" s="1" t="s">
        <v>103</v>
      </c>
      <c r="AK3" s="1" t="s">
        <v>104</v>
      </c>
      <c r="AL3" s="1" t="s">
        <v>105</v>
      </c>
      <c r="AM3" s="1" t="s">
        <v>118</v>
      </c>
    </row>
    <row r="4" spans="1:39">
      <c r="A4" t="s">
        <v>78</v>
      </c>
      <c r="B4" t="s">
        <v>159</v>
      </c>
      <c r="C4" s="60">
        <v>31</v>
      </c>
      <c r="D4" s="60">
        <v>12</v>
      </c>
      <c r="E4" s="60">
        <v>2016</v>
      </c>
      <c r="F4" s="101">
        <v>13.7</v>
      </c>
      <c r="G4" s="101">
        <v>12.9</v>
      </c>
      <c r="H4" s="69">
        <v>12.1</v>
      </c>
      <c r="I4" s="96">
        <v>11</v>
      </c>
      <c r="J4" s="57">
        <v>11.12</v>
      </c>
      <c r="K4" s="57">
        <v>11.25</v>
      </c>
      <c r="L4" s="57">
        <v>10.38</v>
      </c>
      <c r="M4" s="57">
        <v>8.82</v>
      </c>
      <c r="N4" s="57">
        <v>7.64</v>
      </c>
      <c r="O4" s="57">
        <v>5.61</v>
      </c>
      <c r="P4" s="57">
        <v>5.27</v>
      </c>
      <c r="Q4" s="57">
        <v>4.76</v>
      </c>
      <c r="R4" s="57">
        <v>2.64</v>
      </c>
      <c r="S4" s="57">
        <v>3.3</v>
      </c>
      <c r="T4" s="97">
        <f t="shared" ref="T4:T35" si="1">AVERAGE(F4:S4)</f>
        <v>8.6064285714285695</v>
      </c>
      <c r="U4" s="4">
        <f t="shared" ref="U4:U35" ca="1" si="2">IF(DAYS360(TODAY(),DATE(E4+2,D4,C4))&gt;=720,0,360-V4)</f>
        <v>0</v>
      </c>
      <c r="V4" s="4">
        <f t="shared" ref="V4:V35" ca="1" si="3">IF(DAYS360(TODAY(),DATE(E4+1,D4,C4))&lt;=360,DAYS360(TODAY(),DATE(E4+1,D4,C4)),360-W4)</f>
        <v>108</v>
      </c>
      <c r="W4" s="4">
        <f t="shared" ref="W4:W35" ca="1" si="4">IF(DATE(E4,D4,C4)&lt;=TODAY(),0,DAYS360(TODAY(),DATE(E4,D4,C4)))</f>
        <v>252</v>
      </c>
      <c r="X4" s="13">
        <f t="shared" ref="X4:X35" ca="1" si="5">(F4/360*U4)+(G4/360*V4)+(H4/360*W4)</f>
        <v>12.34</v>
      </c>
      <c r="Y4" s="5">
        <f t="shared" ref="Y4:Y35" ca="1" si="6">IF(T4=0,0,IF(X4&lt;0,IF(X4&lt;0,((X4/T4)-1)*-1,(X4/T4)-1),IF(T4&lt;0,ABS((X4/T4)-1),(X4/T4)-1)))</f>
        <v>0.43381193460038214</v>
      </c>
      <c r="Z4" s="15">
        <f t="shared" ref="Z4:Z35" si="7">IF(F4&lt;&gt;"",IF(G4&lt;&gt;"",IF(G4+F4=0,0,IF(G4=0,1,(F4/G4)-1)),""),"")</f>
        <v>6.201550387596888E-2</v>
      </c>
      <c r="AA4" s="15">
        <f t="shared" ref="AA4:AA35" si="8">IF(G4&lt;&gt;"",IF(H4&lt;&gt;"",IF(H4+G4=0,0,IF(H4=0,1,(G4/H4)-1)),""),"")</f>
        <v>6.6115702479338845E-2</v>
      </c>
      <c r="AB4" s="15">
        <f t="shared" ref="AB4:AB35" si="9">IF(H4&lt;&gt;"",IF(I4&lt;&gt;"",IF(I4+H4=0,0,IF(I4=0,1,(H4/I4)-1)),""),"")</f>
        <v>9.9999999999999867E-2</v>
      </c>
      <c r="AC4" s="15">
        <f t="shared" ref="AC4:AC35" si="10">IF(I4&lt;&gt;"",IF(J4&lt;&gt;"",IF(J4+I4=0,0,IF(J4=0,1,(I4/J4)-1)),""),"")</f>
        <v>-1.0791366906474753E-2</v>
      </c>
      <c r="AD4" s="15">
        <f t="shared" ref="AD4:AD35" si="11">IF(J4&lt;&gt;"",IF(K4&lt;&gt;"",IF(K4+J4=0,0,IF(K4=0,1,(J4/K4)-1)),""),"")</f>
        <v>-1.1555555555555652E-2</v>
      </c>
      <c r="AE4" s="15">
        <f t="shared" ref="AE4:AE35" si="12">IF(K4&lt;&gt;"",IF(L4&lt;&gt;"",IF(L4+K4=0,0,IF(L4=0,1,(K4/L4)-1)),""),"")</f>
        <v>8.381502890173409E-2</v>
      </c>
      <c r="AF4" s="15">
        <f t="shared" ref="AF4:AF35" si="13">IF(L4&lt;&gt;"",IF(M4&lt;&gt;"",IF(M4+L4=0,0,IF(M4=0,1,(L4/M4)-1)),""),"")</f>
        <v>0.1768707482993197</v>
      </c>
      <c r="AG4" s="15">
        <f t="shared" ref="AG4:AG35" si="14">IF(M4&lt;&gt;"",IF(N4&lt;&gt;"",IF(N4+M4=0,0,IF(N4=0,1,(M4/N4)-1)),""),"")</f>
        <v>0.1544502617801049</v>
      </c>
      <c r="AH4" s="15">
        <f t="shared" ref="AH4:AH35" si="15">IF(N4&lt;&gt;"",IF(O4&lt;&gt;"",IF(O4+N4=0,0,IF(O4=0,1,(N4/O4)-1)),""),"")</f>
        <v>0.3618538324420677</v>
      </c>
      <c r="AI4" s="15">
        <f t="shared" ref="AI4:AI35" si="16">IF(O4&lt;&gt;"",IF(P4&lt;&gt;"",IF(P4+O4=0,0,IF(P4=0,1,(O4/P4)-1)),""),"")</f>
        <v>6.4516129032258229E-2</v>
      </c>
      <c r="AJ4" s="15">
        <f t="shared" ref="AJ4:AJ35" si="17">IF(P4&lt;&gt;"",IF(Q4&lt;&gt;"",IF(Q4+P4=0,0,IF(Q4=0,1,(P4/Q4)-1)),""),"")</f>
        <v>0.10714285714285721</v>
      </c>
      <c r="AK4" s="15">
        <f t="shared" ref="AK4:AK35" si="18">IF(Q4&lt;&gt;"",IF(R4&lt;&gt;"",IF(R4+Q4=0,0,IF(R4=0,1,(Q4/R4)-1)),""),"")</f>
        <v>0.80303030303030276</v>
      </c>
      <c r="AL4" s="15">
        <f t="shared" ref="AL4:AL35" si="19">IF(R4&lt;&gt;"",IF(S4&lt;&gt;"",IF(S4+R4=0,0,IF(S4=0,1,(R4/S4)-1)),""),"")</f>
        <v>-0.19999999999999996</v>
      </c>
      <c r="AM4" s="5">
        <f t="shared" ref="AM4:AM35" si="20">MIN(Z4:AL4)</f>
        <v>-0.19999999999999996</v>
      </c>
    </row>
    <row r="5" spans="1:39">
      <c r="A5" t="s">
        <v>2</v>
      </c>
      <c r="B5" t="s">
        <v>3</v>
      </c>
      <c r="C5" s="60">
        <v>31</v>
      </c>
      <c r="D5" s="60">
        <v>12</v>
      </c>
      <c r="E5" s="60">
        <v>2016</v>
      </c>
      <c r="F5" s="101">
        <v>3.27</v>
      </c>
      <c r="G5" s="101">
        <v>3.02</v>
      </c>
      <c r="H5" s="69">
        <v>2.84</v>
      </c>
      <c r="I5" s="96">
        <v>2.66</v>
      </c>
      <c r="J5" s="57">
        <v>2.63</v>
      </c>
      <c r="K5" s="57">
        <v>2.77</v>
      </c>
      <c r="L5" s="57">
        <v>2.4700000000000002</v>
      </c>
      <c r="M5" s="57">
        <v>2.42</v>
      </c>
      <c r="N5" s="57">
        <v>2.34</v>
      </c>
      <c r="O5" s="57">
        <v>2.02</v>
      </c>
      <c r="P5" s="57">
        <v>1.89</v>
      </c>
      <c r="Q5" s="57">
        <v>1.42</v>
      </c>
      <c r="R5" s="57">
        <v>1.1100000000000001</v>
      </c>
      <c r="S5" s="57">
        <v>0.88</v>
      </c>
      <c r="T5" s="97">
        <f t="shared" si="1"/>
        <v>2.2671428571428569</v>
      </c>
      <c r="U5" s="4">
        <f t="shared" ca="1" si="2"/>
        <v>0</v>
      </c>
      <c r="V5" s="4">
        <f t="shared" ca="1" si="3"/>
        <v>108</v>
      </c>
      <c r="W5" s="4">
        <f t="shared" ca="1" si="4"/>
        <v>252</v>
      </c>
      <c r="X5" s="13">
        <f t="shared" ca="1" si="5"/>
        <v>2.8939999999999997</v>
      </c>
      <c r="Y5" s="5">
        <f t="shared" ca="1" si="6"/>
        <v>0.27649653434152488</v>
      </c>
      <c r="Z5" s="15">
        <f t="shared" si="7"/>
        <v>8.2781456953642474E-2</v>
      </c>
      <c r="AA5" s="15">
        <f t="shared" si="8"/>
        <v>6.3380281690140983E-2</v>
      </c>
      <c r="AB5" s="15">
        <f t="shared" si="9"/>
        <v>6.7669172932330657E-2</v>
      </c>
      <c r="AC5" s="15">
        <f t="shared" si="10"/>
        <v>1.1406844106463865E-2</v>
      </c>
      <c r="AD5" s="15">
        <f t="shared" si="11"/>
        <v>-5.0541516245487417E-2</v>
      </c>
      <c r="AE5" s="15">
        <f t="shared" si="12"/>
        <v>0.12145748987854232</v>
      </c>
      <c r="AF5" s="15">
        <f t="shared" si="13"/>
        <v>2.0661157024793431E-2</v>
      </c>
      <c r="AG5" s="15">
        <f t="shared" si="14"/>
        <v>3.4188034188034289E-2</v>
      </c>
      <c r="AH5" s="15">
        <f t="shared" si="15"/>
        <v>0.15841584158415833</v>
      </c>
      <c r="AI5" s="15">
        <f t="shared" si="16"/>
        <v>6.8783068783068835E-2</v>
      </c>
      <c r="AJ5" s="15">
        <f t="shared" si="17"/>
        <v>0.33098591549295775</v>
      </c>
      <c r="AK5" s="15">
        <f t="shared" si="18"/>
        <v>0.27927927927927909</v>
      </c>
      <c r="AL5" s="15">
        <f t="shared" si="19"/>
        <v>0.26136363636363646</v>
      </c>
      <c r="AM5" s="5">
        <f t="shared" si="20"/>
        <v>-5.0541516245487417E-2</v>
      </c>
    </row>
    <row r="6" spans="1:39">
      <c r="A6" t="s">
        <v>4</v>
      </c>
      <c r="B6" t="s">
        <v>5</v>
      </c>
      <c r="C6" s="60">
        <v>31</v>
      </c>
      <c r="D6" s="60">
        <v>12</v>
      </c>
      <c r="E6" s="60">
        <v>2016</v>
      </c>
      <c r="F6" s="101">
        <v>9.6</v>
      </c>
      <c r="G6" s="101">
        <v>9.18</v>
      </c>
      <c r="H6" s="69">
        <v>8.56</v>
      </c>
      <c r="I6" s="96">
        <v>8.1</v>
      </c>
      <c r="J6" s="57">
        <v>8</v>
      </c>
      <c r="K6" s="57">
        <v>7.8</v>
      </c>
      <c r="L6" s="57">
        <v>7.35</v>
      </c>
      <c r="M6" s="57">
        <v>6.8</v>
      </c>
      <c r="N6" s="57">
        <v>6.6</v>
      </c>
      <c r="O6" s="57">
        <v>6</v>
      </c>
      <c r="P6" s="57">
        <v>5</v>
      </c>
      <c r="Q6" s="57">
        <v>4.5999999999999996</v>
      </c>
      <c r="R6" s="57">
        <v>3.4</v>
      </c>
      <c r="S6" s="57">
        <v>2.5</v>
      </c>
      <c r="T6" s="97">
        <f t="shared" si="1"/>
        <v>6.6778571428571425</v>
      </c>
      <c r="U6" s="4">
        <f t="shared" ca="1" si="2"/>
        <v>0</v>
      </c>
      <c r="V6" s="4">
        <f t="shared" ca="1" si="3"/>
        <v>108</v>
      </c>
      <c r="W6" s="4">
        <f t="shared" ca="1" si="4"/>
        <v>252</v>
      </c>
      <c r="X6" s="13">
        <f t="shared" ca="1" si="5"/>
        <v>8.7460000000000004</v>
      </c>
      <c r="Y6" s="5">
        <f t="shared" ca="1" si="6"/>
        <v>0.30970157236068041</v>
      </c>
      <c r="Z6" s="15">
        <f t="shared" si="7"/>
        <v>4.5751633986928164E-2</v>
      </c>
      <c r="AA6" s="15">
        <f t="shared" si="8"/>
        <v>7.2429906542055944E-2</v>
      </c>
      <c r="AB6" s="15">
        <f t="shared" si="9"/>
        <v>5.6790123456790242E-2</v>
      </c>
      <c r="AC6" s="15">
        <f t="shared" si="10"/>
        <v>1.2499999999999956E-2</v>
      </c>
      <c r="AD6" s="15">
        <f t="shared" si="11"/>
        <v>2.5641025641025772E-2</v>
      </c>
      <c r="AE6" s="15">
        <f t="shared" si="12"/>
        <v>6.1224489795918435E-2</v>
      </c>
      <c r="AF6" s="15">
        <f t="shared" si="13"/>
        <v>8.0882352941176405E-2</v>
      </c>
      <c r="AG6" s="15">
        <f t="shared" si="14"/>
        <v>3.0303030303030276E-2</v>
      </c>
      <c r="AH6" s="15">
        <f t="shared" si="15"/>
        <v>9.9999999999999867E-2</v>
      </c>
      <c r="AI6" s="15">
        <f t="shared" si="16"/>
        <v>0.19999999999999996</v>
      </c>
      <c r="AJ6" s="15">
        <f t="shared" si="17"/>
        <v>8.6956521739130599E-2</v>
      </c>
      <c r="AK6" s="15">
        <f t="shared" si="18"/>
        <v>0.35294117647058809</v>
      </c>
      <c r="AL6" s="15">
        <f t="shared" si="19"/>
        <v>0.35999999999999988</v>
      </c>
      <c r="AM6" s="5">
        <f t="shared" si="20"/>
        <v>1.2499999999999956E-2</v>
      </c>
    </row>
    <row r="7" spans="1:39">
      <c r="A7" t="s">
        <v>6</v>
      </c>
      <c r="B7" t="s">
        <v>7</v>
      </c>
      <c r="C7" s="60">
        <v>31</v>
      </c>
      <c r="D7" s="60">
        <v>12</v>
      </c>
      <c r="E7" s="60">
        <v>2016</v>
      </c>
      <c r="F7" s="101">
        <v>2.58</v>
      </c>
      <c r="G7" s="101">
        <v>2.4300000000000002</v>
      </c>
      <c r="H7" s="69">
        <v>2.3199999999999998</v>
      </c>
      <c r="I7" s="96">
        <v>2.25</v>
      </c>
      <c r="J7" s="57">
        <v>2.2000000000000002</v>
      </c>
      <c r="K7" s="57">
        <v>2.15</v>
      </c>
      <c r="L7" s="57">
        <v>2.0499999999999998</v>
      </c>
      <c r="M7" s="57">
        <v>1.95</v>
      </c>
      <c r="N7" s="57">
        <v>1.85</v>
      </c>
      <c r="O7" s="57">
        <v>1.6</v>
      </c>
      <c r="P7" s="57">
        <v>1.4</v>
      </c>
      <c r="Q7" s="57">
        <v>1.22</v>
      </c>
      <c r="R7" s="57">
        <v>1.04</v>
      </c>
      <c r="S7" s="57">
        <v>0.9</v>
      </c>
      <c r="T7" s="97">
        <f t="shared" si="1"/>
        <v>1.8528571428571428</v>
      </c>
      <c r="U7" s="4">
        <f t="shared" ca="1" si="2"/>
        <v>0</v>
      </c>
      <c r="V7" s="4">
        <f t="shared" ca="1" si="3"/>
        <v>108</v>
      </c>
      <c r="W7" s="4">
        <f t="shared" ca="1" si="4"/>
        <v>252</v>
      </c>
      <c r="X7" s="13">
        <f t="shared" ca="1" si="5"/>
        <v>2.3529999999999998</v>
      </c>
      <c r="Y7" s="5">
        <f t="shared" ca="1" si="6"/>
        <v>0.26993060909791811</v>
      </c>
      <c r="Z7" s="15">
        <f t="shared" si="7"/>
        <v>6.1728395061728447E-2</v>
      </c>
      <c r="AA7" s="15">
        <f t="shared" si="8"/>
        <v>4.7413793103448398E-2</v>
      </c>
      <c r="AB7" s="15">
        <f t="shared" si="9"/>
        <v>3.1111111111111089E-2</v>
      </c>
      <c r="AC7" s="15">
        <f t="shared" si="10"/>
        <v>2.2727272727272707E-2</v>
      </c>
      <c r="AD7" s="15">
        <f t="shared" si="11"/>
        <v>2.3255813953488413E-2</v>
      </c>
      <c r="AE7" s="15">
        <f t="shared" si="12"/>
        <v>4.8780487804878092E-2</v>
      </c>
      <c r="AF7" s="15">
        <f t="shared" si="13"/>
        <v>5.1282051282051322E-2</v>
      </c>
      <c r="AG7" s="15">
        <f t="shared" si="14"/>
        <v>5.4054054054053946E-2</v>
      </c>
      <c r="AH7" s="15">
        <f t="shared" si="15"/>
        <v>0.15625</v>
      </c>
      <c r="AI7" s="15">
        <f t="shared" si="16"/>
        <v>0.14285714285714302</v>
      </c>
      <c r="AJ7" s="15">
        <f t="shared" si="17"/>
        <v>0.14754098360655732</v>
      </c>
      <c r="AK7" s="15">
        <f t="shared" si="18"/>
        <v>0.17307692307692291</v>
      </c>
      <c r="AL7" s="15">
        <f t="shared" si="19"/>
        <v>0.15555555555555567</v>
      </c>
      <c r="AM7" s="5">
        <f t="shared" si="20"/>
        <v>2.2727272727272707E-2</v>
      </c>
    </row>
    <row r="8" spans="1:39">
      <c r="A8" t="s">
        <v>8</v>
      </c>
      <c r="B8" t="s">
        <v>9</v>
      </c>
      <c r="C8" s="60">
        <v>31</v>
      </c>
      <c r="D8" s="60">
        <v>12</v>
      </c>
      <c r="E8" s="60">
        <v>2016</v>
      </c>
      <c r="F8" s="101">
        <v>0.76</v>
      </c>
      <c r="G8" s="101">
        <v>0.74</v>
      </c>
      <c r="H8" s="69">
        <v>0.73</v>
      </c>
      <c r="I8" s="96">
        <v>0.7</v>
      </c>
      <c r="J8" s="57">
        <v>0.7</v>
      </c>
      <c r="K8" s="57">
        <v>0.7</v>
      </c>
      <c r="L8" s="57">
        <v>0.7</v>
      </c>
      <c r="M8" s="57">
        <v>0.7</v>
      </c>
      <c r="N8" s="57">
        <v>0.7</v>
      </c>
      <c r="O8" s="57">
        <v>0.7</v>
      </c>
      <c r="P8" s="58">
        <v>0.7</v>
      </c>
      <c r="Q8" s="57">
        <v>0.7</v>
      </c>
      <c r="R8" s="57">
        <v>0.6</v>
      </c>
      <c r="S8" s="57">
        <v>0.56999999999999995</v>
      </c>
      <c r="T8" s="97">
        <f t="shared" si="1"/>
        <v>0.69285714285714295</v>
      </c>
      <c r="U8" s="4">
        <f t="shared" ca="1" si="2"/>
        <v>0</v>
      </c>
      <c r="V8" s="4">
        <f t="shared" ca="1" si="3"/>
        <v>108</v>
      </c>
      <c r="W8" s="4">
        <f t="shared" ca="1" si="4"/>
        <v>252</v>
      </c>
      <c r="X8" s="13">
        <f t="shared" ca="1" si="5"/>
        <v>0.73299999999999998</v>
      </c>
      <c r="Y8" s="5">
        <f t="shared" ca="1" si="6"/>
        <v>5.7938144329896746E-2</v>
      </c>
      <c r="Z8" s="15">
        <f t="shared" si="7"/>
        <v>2.7027027027026973E-2</v>
      </c>
      <c r="AA8" s="15">
        <f t="shared" si="8"/>
        <v>1.3698630136986356E-2</v>
      </c>
      <c r="AB8" s="15">
        <f t="shared" si="9"/>
        <v>4.2857142857142927E-2</v>
      </c>
      <c r="AC8" s="15">
        <f t="shared" si="10"/>
        <v>0</v>
      </c>
      <c r="AD8" s="15">
        <f t="shared" si="11"/>
        <v>0</v>
      </c>
      <c r="AE8" s="15">
        <f t="shared" si="12"/>
        <v>0</v>
      </c>
      <c r="AF8" s="15">
        <f t="shared" si="13"/>
        <v>0</v>
      </c>
      <c r="AG8" s="15">
        <f t="shared" si="14"/>
        <v>0</v>
      </c>
      <c r="AH8" s="15">
        <f t="shared" si="15"/>
        <v>0</v>
      </c>
      <c r="AI8" s="15">
        <f t="shared" si="16"/>
        <v>0</v>
      </c>
      <c r="AJ8" s="15">
        <f t="shared" si="17"/>
        <v>0</v>
      </c>
      <c r="AK8" s="15">
        <f t="shared" si="18"/>
        <v>0.16666666666666674</v>
      </c>
      <c r="AL8" s="15">
        <f t="shared" si="19"/>
        <v>5.2631578947368363E-2</v>
      </c>
      <c r="AM8" s="5">
        <f t="shared" si="20"/>
        <v>0</v>
      </c>
    </row>
    <row r="9" spans="1:39">
      <c r="A9" t="s">
        <v>10</v>
      </c>
      <c r="B9" t="s">
        <v>11</v>
      </c>
      <c r="C9" s="60">
        <v>31</v>
      </c>
      <c r="D9" s="60">
        <v>12</v>
      </c>
      <c r="E9" s="60">
        <v>2016</v>
      </c>
      <c r="F9" s="101">
        <v>1.24</v>
      </c>
      <c r="G9" s="101">
        <v>1.05</v>
      </c>
      <c r="H9" s="69">
        <v>0.96</v>
      </c>
      <c r="I9" s="96">
        <v>0.85</v>
      </c>
      <c r="J9" s="57">
        <v>0.85</v>
      </c>
      <c r="K9" s="57">
        <v>0.8</v>
      </c>
      <c r="L9" s="57">
        <v>0.7</v>
      </c>
      <c r="M9" s="57">
        <v>0.7</v>
      </c>
      <c r="N9" s="57">
        <v>0.65</v>
      </c>
      <c r="O9" s="57">
        <v>0.6</v>
      </c>
      <c r="P9" s="57">
        <v>0.6</v>
      </c>
      <c r="Q9" s="57">
        <v>0.9</v>
      </c>
      <c r="R9" s="57">
        <v>0.75</v>
      </c>
      <c r="S9" s="57">
        <v>0.7</v>
      </c>
      <c r="T9" s="97">
        <f t="shared" si="1"/>
        <v>0.81071428571428572</v>
      </c>
      <c r="U9" s="4">
        <f t="shared" ca="1" si="2"/>
        <v>0</v>
      </c>
      <c r="V9" s="4">
        <f t="shared" ca="1" si="3"/>
        <v>108</v>
      </c>
      <c r="W9" s="4">
        <f t="shared" ca="1" si="4"/>
        <v>252</v>
      </c>
      <c r="X9" s="13">
        <f t="shared" ca="1" si="5"/>
        <v>0.98699999999999988</v>
      </c>
      <c r="Y9" s="5">
        <f t="shared" ca="1" si="6"/>
        <v>0.21744493392070474</v>
      </c>
      <c r="Z9" s="15">
        <f t="shared" si="7"/>
        <v>0.18095238095238098</v>
      </c>
      <c r="AA9" s="15">
        <f t="shared" si="8"/>
        <v>9.375E-2</v>
      </c>
      <c r="AB9" s="15">
        <f t="shared" si="9"/>
        <v>0.12941176470588234</v>
      </c>
      <c r="AC9" s="15">
        <f t="shared" si="10"/>
        <v>0</v>
      </c>
      <c r="AD9" s="15">
        <f t="shared" si="11"/>
        <v>6.25E-2</v>
      </c>
      <c r="AE9" s="15">
        <f t="shared" si="12"/>
        <v>0.14285714285714302</v>
      </c>
      <c r="AF9" s="15">
        <f t="shared" si="13"/>
        <v>0</v>
      </c>
      <c r="AG9" s="15">
        <f t="shared" si="14"/>
        <v>7.6923076923076872E-2</v>
      </c>
      <c r="AH9" s="15">
        <f t="shared" si="15"/>
        <v>8.3333333333333481E-2</v>
      </c>
      <c r="AI9" s="15">
        <f t="shared" si="16"/>
        <v>0</v>
      </c>
      <c r="AJ9" s="15">
        <f t="shared" si="17"/>
        <v>-0.33333333333333337</v>
      </c>
      <c r="AK9" s="15">
        <f t="shared" si="18"/>
        <v>0.19999999999999996</v>
      </c>
      <c r="AL9" s="15">
        <f t="shared" si="19"/>
        <v>7.1428571428571397E-2</v>
      </c>
      <c r="AM9" s="5">
        <f t="shared" si="20"/>
        <v>-0.33333333333333337</v>
      </c>
    </row>
    <row r="10" spans="1:39">
      <c r="A10" t="s">
        <v>12</v>
      </c>
      <c r="B10" t="s">
        <v>13</v>
      </c>
      <c r="C10" s="60">
        <v>31</v>
      </c>
      <c r="D10" s="60">
        <v>12</v>
      </c>
      <c r="E10" s="60">
        <v>2016</v>
      </c>
      <c r="F10" s="101">
        <v>0.69</v>
      </c>
      <c r="G10" s="101">
        <v>0.65</v>
      </c>
      <c r="H10" s="69">
        <v>0.59</v>
      </c>
      <c r="I10" s="96">
        <v>0.55000000000000004</v>
      </c>
      <c r="J10" s="57">
        <v>0.5</v>
      </c>
      <c r="K10" s="57">
        <v>0.5</v>
      </c>
      <c r="L10" s="57">
        <v>0.7</v>
      </c>
      <c r="M10" s="57">
        <v>0.7</v>
      </c>
      <c r="N10" s="57">
        <v>0.7</v>
      </c>
      <c r="O10" s="57">
        <v>0.78</v>
      </c>
      <c r="P10" s="57">
        <v>0.78</v>
      </c>
      <c r="Q10" s="57">
        <v>0.78</v>
      </c>
      <c r="R10" s="57">
        <v>0.72</v>
      </c>
      <c r="S10" s="57">
        <v>0.72</v>
      </c>
      <c r="T10" s="97">
        <f t="shared" si="1"/>
        <v>0.66857142857142871</v>
      </c>
      <c r="U10" s="4">
        <f t="shared" ca="1" si="2"/>
        <v>0</v>
      </c>
      <c r="V10" s="4">
        <f t="shared" ca="1" si="3"/>
        <v>108</v>
      </c>
      <c r="W10" s="4">
        <f t="shared" ca="1" si="4"/>
        <v>252</v>
      </c>
      <c r="X10" s="13">
        <f t="shared" ca="1" si="5"/>
        <v>0.60799999999999998</v>
      </c>
      <c r="Y10" s="5">
        <f t="shared" ca="1" si="6"/>
        <v>-9.0598290598290832E-2</v>
      </c>
      <c r="Z10" s="15">
        <f t="shared" si="7"/>
        <v>6.153846153846132E-2</v>
      </c>
      <c r="AA10" s="15">
        <f t="shared" si="8"/>
        <v>0.10169491525423746</v>
      </c>
      <c r="AB10" s="15">
        <f t="shared" si="9"/>
        <v>7.2727272727272529E-2</v>
      </c>
      <c r="AC10" s="15">
        <f t="shared" si="10"/>
        <v>0.10000000000000009</v>
      </c>
      <c r="AD10" s="15">
        <f t="shared" si="11"/>
        <v>0</v>
      </c>
      <c r="AE10" s="15">
        <f t="shared" si="12"/>
        <v>-0.2857142857142857</v>
      </c>
      <c r="AF10" s="15">
        <f t="shared" si="13"/>
        <v>0</v>
      </c>
      <c r="AG10" s="15">
        <f t="shared" si="14"/>
        <v>0</v>
      </c>
      <c r="AH10" s="15">
        <f t="shared" si="15"/>
        <v>-0.10256410256410264</v>
      </c>
      <c r="AI10" s="15">
        <f t="shared" si="16"/>
        <v>0</v>
      </c>
      <c r="AJ10" s="15">
        <f t="shared" si="17"/>
        <v>0</v>
      </c>
      <c r="AK10" s="15">
        <f t="shared" si="18"/>
        <v>8.3333333333333481E-2</v>
      </c>
      <c r="AL10" s="15">
        <f t="shared" si="19"/>
        <v>0</v>
      </c>
      <c r="AM10" s="5">
        <f t="shared" si="20"/>
        <v>-0.2857142857142857</v>
      </c>
    </row>
    <row r="11" spans="1:39">
      <c r="A11" s="52" t="s">
        <v>312</v>
      </c>
      <c r="B11" s="52" t="s">
        <v>313</v>
      </c>
      <c r="C11" s="104">
        <v>31</v>
      </c>
      <c r="D11" s="104">
        <v>12</v>
      </c>
      <c r="E11" s="104">
        <v>2016</v>
      </c>
      <c r="F11" s="101">
        <v>0.74</v>
      </c>
      <c r="G11" s="101">
        <v>0.72</v>
      </c>
      <c r="H11" s="69">
        <v>0.66</v>
      </c>
      <c r="I11" s="96">
        <v>0.55000000000000004</v>
      </c>
      <c r="J11" s="57">
        <v>0.44</v>
      </c>
      <c r="K11" s="57">
        <v>0.42</v>
      </c>
      <c r="L11" s="57">
        <v>0.37</v>
      </c>
      <c r="M11" s="57">
        <v>0.32</v>
      </c>
      <c r="N11" s="57">
        <v>0.28999999999999998</v>
      </c>
      <c r="O11" s="57">
        <v>0.25</v>
      </c>
      <c r="P11" s="57">
        <v>0.23</v>
      </c>
      <c r="Q11" s="57">
        <v>0.22</v>
      </c>
      <c r="R11" s="57">
        <v>0.19</v>
      </c>
      <c r="S11" s="57">
        <v>0.16</v>
      </c>
      <c r="T11" s="97">
        <f t="shared" si="1"/>
        <v>0.39714285714285719</v>
      </c>
      <c r="U11" s="4">
        <f t="shared" ca="1" si="2"/>
        <v>0</v>
      </c>
      <c r="V11" s="4">
        <f t="shared" ca="1" si="3"/>
        <v>108</v>
      </c>
      <c r="W11" s="4">
        <f t="shared" ca="1" si="4"/>
        <v>252</v>
      </c>
      <c r="X11" s="13">
        <f t="shared" ca="1" si="5"/>
        <v>0.67800000000000005</v>
      </c>
      <c r="Y11" s="5">
        <f t="shared" ca="1" si="6"/>
        <v>0.70719424460431646</v>
      </c>
      <c r="Z11" s="15">
        <f t="shared" si="7"/>
        <v>2.7777777777777901E-2</v>
      </c>
      <c r="AA11" s="15">
        <f t="shared" si="8"/>
        <v>9.0909090909090828E-2</v>
      </c>
      <c r="AB11" s="15">
        <f t="shared" si="9"/>
        <v>0.19999999999999996</v>
      </c>
      <c r="AC11" s="15">
        <f t="shared" si="10"/>
        <v>0.25</v>
      </c>
      <c r="AD11" s="15">
        <f t="shared" si="11"/>
        <v>4.7619047619047672E-2</v>
      </c>
      <c r="AE11" s="15">
        <f t="shared" si="12"/>
        <v>0.13513513513513509</v>
      </c>
      <c r="AF11" s="15">
        <f t="shared" si="13"/>
        <v>0.15625</v>
      </c>
      <c r="AG11" s="15">
        <f t="shared" si="14"/>
        <v>0.10344827586206917</v>
      </c>
      <c r="AH11" s="15">
        <f t="shared" si="15"/>
        <v>0.15999999999999992</v>
      </c>
      <c r="AI11" s="15">
        <f t="shared" si="16"/>
        <v>8.6956521739130377E-2</v>
      </c>
      <c r="AJ11" s="15">
        <f t="shared" si="17"/>
        <v>4.5454545454545414E-2</v>
      </c>
      <c r="AK11" s="15">
        <f t="shared" si="18"/>
        <v>0.15789473684210531</v>
      </c>
      <c r="AL11" s="15">
        <f t="shared" si="19"/>
        <v>0.1875</v>
      </c>
      <c r="AM11" s="5">
        <f t="shared" si="20"/>
        <v>2.7777777777777901E-2</v>
      </c>
    </row>
    <row r="12" spans="1:39">
      <c r="A12" t="s">
        <v>14</v>
      </c>
      <c r="B12" t="s">
        <v>15</v>
      </c>
      <c r="C12" s="60">
        <v>31</v>
      </c>
      <c r="D12" s="60">
        <v>12</v>
      </c>
      <c r="E12" s="60">
        <v>2016</v>
      </c>
      <c r="F12" s="101">
        <v>1.5</v>
      </c>
      <c r="G12" s="101">
        <v>1.37</v>
      </c>
      <c r="H12" s="69">
        <v>1.27</v>
      </c>
      <c r="I12" s="96">
        <v>1.1499999999999999</v>
      </c>
      <c r="J12" s="57">
        <v>1.1000000000000001</v>
      </c>
      <c r="K12" s="57">
        <v>1</v>
      </c>
      <c r="L12" s="57">
        <v>0.85</v>
      </c>
      <c r="M12" s="58">
        <v>0.75</v>
      </c>
      <c r="N12" s="57">
        <v>0.6</v>
      </c>
      <c r="O12" s="57">
        <v>0.5</v>
      </c>
      <c r="P12" s="57">
        <v>0.5</v>
      </c>
      <c r="Q12" s="57">
        <v>0.5</v>
      </c>
      <c r="R12" s="57">
        <v>0.46</v>
      </c>
      <c r="S12" s="57">
        <v>0.36</v>
      </c>
      <c r="T12" s="97">
        <f t="shared" si="1"/>
        <v>0.85071428571428576</v>
      </c>
      <c r="U12" s="4">
        <f t="shared" ca="1" si="2"/>
        <v>0</v>
      </c>
      <c r="V12" s="4">
        <f t="shared" ca="1" si="3"/>
        <v>108</v>
      </c>
      <c r="W12" s="4">
        <f t="shared" ca="1" si="4"/>
        <v>252</v>
      </c>
      <c r="X12" s="13">
        <f t="shared" ca="1" si="5"/>
        <v>1.3</v>
      </c>
      <c r="Y12" s="5">
        <f t="shared" ca="1" si="6"/>
        <v>0.52812762384550793</v>
      </c>
      <c r="Z12" s="15">
        <f t="shared" si="7"/>
        <v>9.4890510948905105E-2</v>
      </c>
      <c r="AA12" s="15">
        <f t="shared" si="8"/>
        <v>7.8740157480315043E-2</v>
      </c>
      <c r="AB12" s="15">
        <f t="shared" si="9"/>
        <v>0.10434782608695659</v>
      </c>
      <c r="AC12" s="15">
        <f t="shared" si="10"/>
        <v>4.5454545454545192E-2</v>
      </c>
      <c r="AD12" s="15">
        <f t="shared" si="11"/>
        <v>0.10000000000000009</v>
      </c>
      <c r="AE12" s="15">
        <f t="shared" si="12"/>
        <v>0.17647058823529416</v>
      </c>
      <c r="AF12" s="15">
        <f t="shared" si="13"/>
        <v>0.1333333333333333</v>
      </c>
      <c r="AG12" s="15">
        <f t="shared" si="14"/>
        <v>0.25</v>
      </c>
      <c r="AH12" s="15">
        <f t="shared" si="15"/>
        <v>0.19999999999999996</v>
      </c>
      <c r="AI12" s="15">
        <f t="shared" si="16"/>
        <v>0</v>
      </c>
      <c r="AJ12" s="15">
        <f t="shared" si="17"/>
        <v>0</v>
      </c>
      <c r="AK12" s="15">
        <f t="shared" si="18"/>
        <v>8.6956521739130377E-2</v>
      </c>
      <c r="AL12" s="15">
        <f t="shared" si="19"/>
        <v>0.2777777777777779</v>
      </c>
      <c r="AM12" s="5">
        <f t="shared" si="20"/>
        <v>0</v>
      </c>
    </row>
    <row r="13" spans="1:39">
      <c r="A13" t="s">
        <v>16</v>
      </c>
      <c r="B13" t="s">
        <v>17</v>
      </c>
      <c r="C13" s="60">
        <v>30</v>
      </c>
      <c r="D13" s="60">
        <v>9</v>
      </c>
      <c r="E13" s="60">
        <v>2016</v>
      </c>
      <c r="F13" s="101">
        <v>3.95</v>
      </c>
      <c r="G13" s="101">
        <v>3.82</v>
      </c>
      <c r="H13" s="69">
        <v>3.61</v>
      </c>
      <c r="I13" s="96">
        <v>3.5</v>
      </c>
      <c r="J13" s="57">
        <v>3.3</v>
      </c>
      <c r="K13" s="57">
        <v>3</v>
      </c>
      <c r="L13" s="57">
        <v>3</v>
      </c>
      <c r="M13" s="57">
        <v>3</v>
      </c>
      <c r="N13" s="57">
        <v>2.7</v>
      </c>
      <c r="O13" s="57">
        <v>1.6</v>
      </c>
      <c r="P13" s="57">
        <v>1.6</v>
      </c>
      <c r="Q13" s="57">
        <v>1.6</v>
      </c>
      <c r="R13" s="57">
        <v>1.45</v>
      </c>
      <c r="S13" s="57">
        <v>1.35</v>
      </c>
      <c r="T13" s="97">
        <f t="shared" si="1"/>
        <v>2.6771428571428575</v>
      </c>
      <c r="U13" s="4">
        <f t="shared" ca="1" si="2"/>
        <v>0</v>
      </c>
      <c r="V13" s="4">
        <f t="shared" ca="1" si="3"/>
        <v>199</v>
      </c>
      <c r="W13" s="4">
        <f t="shared" ca="1" si="4"/>
        <v>161</v>
      </c>
      <c r="X13" s="13">
        <f t="shared" ca="1" si="5"/>
        <v>3.7260833333333334</v>
      </c>
      <c r="Y13" s="5">
        <f t="shared" ca="1" si="6"/>
        <v>0.39181341159729621</v>
      </c>
      <c r="Z13" s="15">
        <f t="shared" si="7"/>
        <v>3.4031413612565453E-2</v>
      </c>
      <c r="AA13" s="15">
        <f t="shared" si="8"/>
        <v>5.8171745152354459E-2</v>
      </c>
      <c r="AB13" s="15">
        <f t="shared" si="9"/>
        <v>3.1428571428571361E-2</v>
      </c>
      <c r="AC13" s="15">
        <f t="shared" si="10"/>
        <v>6.0606060606060552E-2</v>
      </c>
      <c r="AD13" s="15">
        <f t="shared" si="11"/>
        <v>9.9999999999999867E-2</v>
      </c>
      <c r="AE13" s="15">
        <f t="shared" si="12"/>
        <v>0</v>
      </c>
      <c r="AF13" s="15">
        <f t="shared" si="13"/>
        <v>0</v>
      </c>
      <c r="AG13" s="15">
        <f t="shared" si="14"/>
        <v>0.11111111111111094</v>
      </c>
      <c r="AH13" s="15">
        <f t="shared" si="15"/>
        <v>0.6875</v>
      </c>
      <c r="AI13" s="15">
        <f t="shared" si="16"/>
        <v>0</v>
      </c>
      <c r="AJ13" s="15">
        <f t="shared" si="17"/>
        <v>0</v>
      </c>
      <c r="AK13" s="15">
        <f t="shared" si="18"/>
        <v>0.10344827586206895</v>
      </c>
      <c r="AL13" s="15">
        <f t="shared" si="19"/>
        <v>7.4074074074073959E-2</v>
      </c>
      <c r="AM13" s="5">
        <f t="shared" si="20"/>
        <v>0</v>
      </c>
    </row>
    <row r="14" spans="1:39">
      <c r="A14" t="s">
        <v>18</v>
      </c>
      <c r="B14" t="s">
        <v>19</v>
      </c>
      <c r="C14" s="60">
        <v>31</v>
      </c>
      <c r="D14" s="60">
        <v>12</v>
      </c>
      <c r="E14" s="60">
        <v>2016</v>
      </c>
      <c r="F14" s="101">
        <v>8.1</v>
      </c>
      <c r="G14" s="101">
        <v>7.75</v>
      </c>
      <c r="H14" s="69">
        <v>7.58</v>
      </c>
      <c r="I14" s="96">
        <v>7.3</v>
      </c>
      <c r="J14" s="57">
        <v>6.85</v>
      </c>
      <c r="K14" s="57">
        <v>5.3</v>
      </c>
      <c r="L14" s="57">
        <v>4.5</v>
      </c>
      <c r="M14" s="57">
        <v>4.5</v>
      </c>
      <c r="N14" s="57">
        <v>4.5</v>
      </c>
      <c r="O14" s="57">
        <v>4.0999999999999996</v>
      </c>
      <c r="P14" s="57">
        <v>3.5</v>
      </c>
      <c r="Q14" s="57">
        <v>5.5</v>
      </c>
      <c r="R14" s="57">
        <v>3.8</v>
      </c>
      <c r="S14" s="57">
        <v>2</v>
      </c>
      <c r="T14" s="97">
        <f t="shared" si="1"/>
        <v>5.3771428571428563</v>
      </c>
      <c r="U14" s="4">
        <f t="shared" ca="1" si="2"/>
        <v>0</v>
      </c>
      <c r="V14" s="4">
        <f t="shared" ca="1" si="3"/>
        <v>108</v>
      </c>
      <c r="W14" s="4">
        <f t="shared" ca="1" si="4"/>
        <v>252</v>
      </c>
      <c r="X14" s="13">
        <f t="shared" ca="1" si="5"/>
        <v>7.6310000000000002</v>
      </c>
      <c r="Y14" s="5">
        <f t="shared" ca="1" si="6"/>
        <v>0.41915515409139248</v>
      </c>
      <c r="Z14" s="15">
        <f t="shared" si="7"/>
        <v>4.5161290322580649E-2</v>
      </c>
      <c r="AA14" s="15">
        <f t="shared" si="8"/>
        <v>2.2427440633245421E-2</v>
      </c>
      <c r="AB14" s="15">
        <f t="shared" si="9"/>
        <v>3.8356164383561708E-2</v>
      </c>
      <c r="AC14" s="15">
        <f t="shared" si="10"/>
        <v>6.5693430656934337E-2</v>
      </c>
      <c r="AD14" s="15">
        <f t="shared" si="11"/>
        <v>0.29245283018867929</v>
      </c>
      <c r="AE14" s="15">
        <f t="shared" si="12"/>
        <v>0.17777777777777781</v>
      </c>
      <c r="AF14" s="15">
        <f t="shared" si="13"/>
        <v>0</v>
      </c>
      <c r="AG14" s="15">
        <f t="shared" si="14"/>
        <v>0</v>
      </c>
      <c r="AH14" s="15">
        <f t="shared" si="15"/>
        <v>9.7560975609756184E-2</v>
      </c>
      <c r="AI14" s="15">
        <f t="shared" si="16"/>
        <v>0.17142857142857126</v>
      </c>
      <c r="AJ14" s="15">
        <f t="shared" si="17"/>
        <v>-0.36363636363636365</v>
      </c>
      <c r="AK14" s="15">
        <f t="shared" si="18"/>
        <v>0.44736842105263164</v>
      </c>
      <c r="AL14" s="15">
        <f t="shared" si="19"/>
        <v>0.89999999999999991</v>
      </c>
      <c r="AM14" s="5">
        <f t="shared" si="20"/>
        <v>-0.36363636363636365</v>
      </c>
    </row>
    <row r="15" spans="1:39">
      <c r="A15" t="s">
        <v>20</v>
      </c>
      <c r="B15" t="s">
        <v>21</v>
      </c>
      <c r="C15" s="60">
        <v>31</v>
      </c>
      <c r="D15" s="60">
        <v>12</v>
      </c>
      <c r="E15" s="60">
        <v>2016</v>
      </c>
      <c r="F15" s="101">
        <v>9</v>
      </c>
      <c r="G15" s="101">
        <v>8.7200000000000006</v>
      </c>
      <c r="H15" s="69">
        <v>8.4600000000000009</v>
      </c>
      <c r="I15" s="96">
        <v>8.25</v>
      </c>
      <c r="J15" s="57">
        <v>7.75</v>
      </c>
      <c r="K15" s="57">
        <v>7.25</v>
      </c>
      <c r="L15" s="57">
        <v>7</v>
      </c>
      <c r="M15" s="57">
        <v>6.25</v>
      </c>
      <c r="N15" s="57">
        <v>6.25</v>
      </c>
      <c r="O15" s="57">
        <v>5.75</v>
      </c>
      <c r="P15" s="57">
        <v>5.5</v>
      </c>
      <c r="Q15" s="57">
        <v>5.5</v>
      </c>
      <c r="R15" s="57">
        <v>4.5</v>
      </c>
      <c r="S15" s="57">
        <v>3.1</v>
      </c>
      <c r="T15" s="97">
        <f t="shared" si="1"/>
        <v>6.6628571428571428</v>
      </c>
      <c r="U15" s="4">
        <f t="shared" ca="1" si="2"/>
        <v>0</v>
      </c>
      <c r="V15" s="4">
        <f t="shared" ca="1" si="3"/>
        <v>108</v>
      </c>
      <c r="W15" s="4">
        <f t="shared" ca="1" si="4"/>
        <v>252</v>
      </c>
      <c r="X15" s="13">
        <f t="shared" ca="1" si="5"/>
        <v>8.5380000000000003</v>
      </c>
      <c r="Y15" s="5">
        <f t="shared" ca="1" si="6"/>
        <v>0.28143224699828484</v>
      </c>
      <c r="Z15" s="15">
        <f t="shared" si="7"/>
        <v>3.2110091743119185E-2</v>
      </c>
      <c r="AA15" s="15">
        <f t="shared" si="8"/>
        <v>3.0732860520094496E-2</v>
      </c>
      <c r="AB15" s="15">
        <f t="shared" si="9"/>
        <v>2.5454545454545618E-2</v>
      </c>
      <c r="AC15" s="15">
        <f t="shared" si="10"/>
        <v>6.4516129032258007E-2</v>
      </c>
      <c r="AD15" s="15">
        <f t="shared" si="11"/>
        <v>6.8965517241379226E-2</v>
      </c>
      <c r="AE15" s="15">
        <f t="shared" si="12"/>
        <v>3.5714285714285809E-2</v>
      </c>
      <c r="AF15" s="15">
        <f t="shared" si="13"/>
        <v>0.12000000000000011</v>
      </c>
      <c r="AG15" s="15">
        <f t="shared" si="14"/>
        <v>0</v>
      </c>
      <c r="AH15" s="15">
        <f t="shared" si="15"/>
        <v>8.6956521739130377E-2</v>
      </c>
      <c r="AI15" s="15">
        <f t="shared" si="16"/>
        <v>4.5454545454545414E-2</v>
      </c>
      <c r="AJ15" s="15">
        <f t="shared" si="17"/>
        <v>0</v>
      </c>
      <c r="AK15" s="15">
        <f t="shared" si="18"/>
        <v>0.22222222222222232</v>
      </c>
      <c r="AL15" s="15">
        <f t="shared" si="19"/>
        <v>0.45161290322580649</v>
      </c>
      <c r="AM15" s="5">
        <f t="shared" si="20"/>
        <v>0</v>
      </c>
    </row>
    <row r="16" spans="1:39">
      <c r="A16" t="s">
        <v>22</v>
      </c>
      <c r="B16" t="s">
        <v>23</v>
      </c>
      <c r="C16" s="60">
        <v>31</v>
      </c>
      <c r="D16" s="60">
        <v>12</v>
      </c>
      <c r="E16" s="60">
        <v>2016</v>
      </c>
      <c r="F16" s="101">
        <v>3.16</v>
      </c>
      <c r="G16" s="101">
        <v>3.05</v>
      </c>
      <c r="H16" s="69">
        <v>2.95</v>
      </c>
      <c r="I16" s="96">
        <v>2.9</v>
      </c>
      <c r="J16" s="57">
        <v>2.8</v>
      </c>
      <c r="K16" s="57">
        <v>2.7</v>
      </c>
      <c r="L16" s="57">
        <v>2.6</v>
      </c>
      <c r="M16" s="57">
        <v>2.5</v>
      </c>
      <c r="N16" s="57">
        <v>2.2000000000000002</v>
      </c>
      <c r="O16" s="57">
        <v>1.7</v>
      </c>
      <c r="P16" s="57">
        <v>1.95</v>
      </c>
      <c r="Q16" s="57">
        <v>1.95</v>
      </c>
      <c r="R16" s="57">
        <v>1.5</v>
      </c>
      <c r="S16" s="57">
        <v>1</v>
      </c>
      <c r="T16" s="97">
        <f t="shared" si="1"/>
        <v>2.3542857142857136</v>
      </c>
      <c r="U16" s="4">
        <f t="shared" ca="1" si="2"/>
        <v>0</v>
      </c>
      <c r="V16" s="4">
        <f t="shared" ca="1" si="3"/>
        <v>108</v>
      </c>
      <c r="W16" s="4">
        <f t="shared" ca="1" si="4"/>
        <v>252</v>
      </c>
      <c r="X16" s="13">
        <f t="shared" ca="1" si="5"/>
        <v>2.9800000000000004</v>
      </c>
      <c r="Y16" s="5">
        <f t="shared" ca="1" si="6"/>
        <v>0.26577669902912682</v>
      </c>
      <c r="Z16" s="15">
        <f t="shared" si="7"/>
        <v>3.6065573770492021E-2</v>
      </c>
      <c r="AA16" s="15">
        <f t="shared" si="8"/>
        <v>3.3898305084745672E-2</v>
      </c>
      <c r="AB16" s="15">
        <f t="shared" si="9"/>
        <v>1.7241379310344973E-2</v>
      </c>
      <c r="AC16" s="15">
        <f t="shared" si="10"/>
        <v>3.5714285714285809E-2</v>
      </c>
      <c r="AD16" s="15">
        <f t="shared" si="11"/>
        <v>3.7037037037036979E-2</v>
      </c>
      <c r="AE16" s="15">
        <f t="shared" si="12"/>
        <v>3.8461538461538547E-2</v>
      </c>
      <c r="AF16" s="15">
        <f t="shared" si="13"/>
        <v>4.0000000000000036E-2</v>
      </c>
      <c r="AG16" s="15">
        <f t="shared" si="14"/>
        <v>0.13636363636363624</v>
      </c>
      <c r="AH16" s="15">
        <f t="shared" si="15"/>
        <v>0.29411764705882359</v>
      </c>
      <c r="AI16" s="15">
        <f t="shared" si="16"/>
        <v>-0.12820512820512819</v>
      </c>
      <c r="AJ16" s="15">
        <f t="shared" si="17"/>
        <v>0</v>
      </c>
      <c r="AK16" s="15">
        <f t="shared" si="18"/>
        <v>0.30000000000000004</v>
      </c>
      <c r="AL16" s="15">
        <f t="shared" si="19"/>
        <v>0.5</v>
      </c>
      <c r="AM16" s="5">
        <f t="shared" si="20"/>
        <v>-0.12820512820512819</v>
      </c>
    </row>
    <row r="17" spans="1:39">
      <c r="A17" t="s">
        <v>24</v>
      </c>
      <c r="B17" t="s">
        <v>25</v>
      </c>
      <c r="C17" s="60">
        <v>31</v>
      </c>
      <c r="D17" s="60">
        <v>12</v>
      </c>
      <c r="E17" s="60">
        <v>2016</v>
      </c>
      <c r="F17" s="101">
        <v>3.11</v>
      </c>
      <c r="G17" s="101">
        <v>2.89</v>
      </c>
      <c r="H17" s="69">
        <v>2.66</v>
      </c>
      <c r="I17" s="96">
        <v>2.5</v>
      </c>
      <c r="J17" s="57">
        <v>2.25</v>
      </c>
      <c r="K17" s="57">
        <v>2.1</v>
      </c>
      <c r="L17" s="57">
        <v>1.9</v>
      </c>
      <c r="M17" s="57">
        <v>1.65</v>
      </c>
      <c r="N17" s="57">
        <v>1.5</v>
      </c>
      <c r="O17" s="57">
        <v>1.4</v>
      </c>
      <c r="P17" s="57">
        <v>1.4</v>
      </c>
      <c r="Q17" s="57">
        <v>1.35</v>
      </c>
      <c r="R17" s="57">
        <v>1</v>
      </c>
      <c r="S17" s="57">
        <v>0.95</v>
      </c>
      <c r="T17" s="97">
        <f t="shared" si="1"/>
        <v>1.9042857142857141</v>
      </c>
      <c r="U17" s="4">
        <f t="shared" ca="1" si="2"/>
        <v>0</v>
      </c>
      <c r="V17" s="4">
        <f t="shared" ca="1" si="3"/>
        <v>108</v>
      </c>
      <c r="W17" s="4">
        <f t="shared" ca="1" si="4"/>
        <v>252</v>
      </c>
      <c r="X17" s="13">
        <f t="shared" ca="1" si="5"/>
        <v>2.7290000000000001</v>
      </c>
      <c r="Y17" s="5">
        <f t="shared" ca="1" si="6"/>
        <v>0.43308327081770459</v>
      </c>
      <c r="Z17" s="15">
        <f t="shared" si="7"/>
        <v>7.6124567474048277E-2</v>
      </c>
      <c r="AA17" s="15">
        <f t="shared" si="8"/>
        <v>8.6466165413533913E-2</v>
      </c>
      <c r="AB17" s="15">
        <f t="shared" si="9"/>
        <v>6.4000000000000057E-2</v>
      </c>
      <c r="AC17" s="15">
        <f t="shared" si="10"/>
        <v>0.11111111111111116</v>
      </c>
      <c r="AD17" s="15">
        <f t="shared" si="11"/>
        <v>7.1428571428571397E-2</v>
      </c>
      <c r="AE17" s="15">
        <f t="shared" si="12"/>
        <v>0.10526315789473695</v>
      </c>
      <c r="AF17" s="15">
        <f t="shared" si="13"/>
        <v>0.1515151515151516</v>
      </c>
      <c r="AG17" s="15">
        <f t="shared" si="14"/>
        <v>9.9999999999999867E-2</v>
      </c>
      <c r="AH17" s="15">
        <f t="shared" si="15"/>
        <v>7.1428571428571397E-2</v>
      </c>
      <c r="AI17" s="15">
        <f t="shared" si="16"/>
        <v>0</v>
      </c>
      <c r="AJ17" s="15">
        <f t="shared" si="17"/>
        <v>3.7037037037036979E-2</v>
      </c>
      <c r="AK17" s="15">
        <f t="shared" si="18"/>
        <v>0.35000000000000009</v>
      </c>
      <c r="AL17" s="15">
        <f t="shared" si="19"/>
        <v>5.2631578947368363E-2</v>
      </c>
      <c r="AM17" s="5">
        <f t="shared" si="20"/>
        <v>0</v>
      </c>
    </row>
    <row r="18" spans="1:39">
      <c r="A18" s="52" t="s">
        <v>268</v>
      </c>
      <c r="B18" s="52" t="s">
        <v>274</v>
      </c>
      <c r="C18" s="104">
        <v>31</v>
      </c>
      <c r="D18" s="104">
        <v>12</v>
      </c>
      <c r="E18" s="104">
        <v>2016</v>
      </c>
      <c r="F18" s="101">
        <v>9.14</v>
      </c>
      <c r="G18" s="101">
        <v>8.09</v>
      </c>
      <c r="H18" s="69">
        <v>7.22</v>
      </c>
      <c r="I18" s="96">
        <v>6.4</v>
      </c>
      <c r="J18" s="57">
        <v>5</v>
      </c>
      <c r="K18" s="57">
        <v>4.5</v>
      </c>
      <c r="L18" s="57">
        <v>3.6</v>
      </c>
      <c r="M18" s="57">
        <v>2.8</v>
      </c>
      <c r="N18" s="57">
        <v>2</v>
      </c>
      <c r="O18" s="57">
        <v>1.5</v>
      </c>
      <c r="P18" s="57">
        <v>1.2</v>
      </c>
      <c r="Q18" s="57">
        <v>0.9</v>
      </c>
      <c r="R18" s="57">
        <v>0.7</v>
      </c>
      <c r="S18" s="57">
        <v>0.6</v>
      </c>
      <c r="T18" s="97">
        <f t="shared" si="1"/>
        <v>3.8321428571428577</v>
      </c>
      <c r="U18" s="4">
        <f t="shared" ca="1" si="2"/>
        <v>0</v>
      </c>
      <c r="V18" s="4">
        <f t="shared" ca="1" si="3"/>
        <v>108</v>
      </c>
      <c r="W18" s="4">
        <f t="shared" ca="1" si="4"/>
        <v>252</v>
      </c>
      <c r="X18" s="13">
        <f t="shared" ca="1" si="5"/>
        <v>7.4809999999999999</v>
      </c>
      <c r="Y18" s="5">
        <f t="shared" ca="1" si="6"/>
        <v>0.95217148182665401</v>
      </c>
      <c r="Z18" s="15">
        <f t="shared" si="7"/>
        <v>0.12978986402966641</v>
      </c>
      <c r="AA18" s="15">
        <f t="shared" si="8"/>
        <v>0.12049861495844882</v>
      </c>
      <c r="AB18" s="15">
        <f t="shared" si="9"/>
        <v>0.12812499999999982</v>
      </c>
      <c r="AC18" s="15">
        <f t="shared" si="10"/>
        <v>0.28000000000000003</v>
      </c>
      <c r="AD18" s="15">
        <f t="shared" si="11"/>
        <v>0.11111111111111116</v>
      </c>
      <c r="AE18" s="15">
        <f t="shared" si="12"/>
        <v>0.25</v>
      </c>
      <c r="AF18" s="15">
        <f t="shared" si="13"/>
        <v>0.28571428571428581</v>
      </c>
      <c r="AG18" s="15">
        <f t="shared" si="14"/>
        <v>0.39999999999999991</v>
      </c>
      <c r="AH18" s="15">
        <f t="shared" si="15"/>
        <v>0.33333333333333326</v>
      </c>
      <c r="AI18" s="15">
        <f t="shared" si="16"/>
        <v>0.25</v>
      </c>
      <c r="AJ18" s="15">
        <f t="shared" si="17"/>
        <v>0.33333333333333326</v>
      </c>
      <c r="AK18" s="15">
        <f t="shared" si="18"/>
        <v>0.28571428571428581</v>
      </c>
      <c r="AL18" s="15">
        <f t="shared" si="19"/>
        <v>0.16666666666666674</v>
      </c>
      <c r="AM18" s="5">
        <f t="shared" si="20"/>
        <v>0.11111111111111116</v>
      </c>
    </row>
    <row r="19" spans="1:39">
      <c r="A19" t="s">
        <v>26</v>
      </c>
      <c r="B19" t="s">
        <v>27</v>
      </c>
      <c r="C19" s="60">
        <v>31</v>
      </c>
      <c r="D19" s="60">
        <v>12</v>
      </c>
      <c r="E19" s="60">
        <v>2016</v>
      </c>
      <c r="F19" s="101">
        <v>0.75</v>
      </c>
      <c r="G19" s="101">
        <v>0.7</v>
      </c>
      <c r="H19" s="69">
        <v>0.71</v>
      </c>
      <c r="I19" s="96">
        <v>0.4</v>
      </c>
      <c r="J19" s="57">
        <v>0.4</v>
      </c>
      <c r="K19" s="57">
        <v>0.75</v>
      </c>
      <c r="L19" s="57">
        <v>0.82</v>
      </c>
      <c r="M19" s="57">
        <v>1.52</v>
      </c>
      <c r="N19" s="57">
        <v>1.3</v>
      </c>
      <c r="O19" s="57">
        <v>1</v>
      </c>
      <c r="P19" s="57">
        <v>0.9</v>
      </c>
      <c r="Q19" s="57">
        <v>0.65</v>
      </c>
      <c r="R19" s="57">
        <v>0.55000000000000004</v>
      </c>
      <c r="S19" s="57">
        <v>0.5</v>
      </c>
      <c r="T19" s="97">
        <f t="shared" si="1"/>
        <v>0.78214285714285736</v>
      </c>
      <c r="U19" s="4">
        <f t="shared" ca="1" si="2"/>
        <v>0</v>
      </c>
      <c r="V19" s="4">
        <f t="shared" ca="1" si="3"/>
        <v>108</v>
      </c>
      <c r="W19" s="4">
        <f t="shared" ca="1" si="4"/>
        <v>252</v>
      </c>
      <c r="X19" s="13">
        <f t="shared" ca="1" si="5"/>
        <v>0.70699999999999996</v>
      </c>
      <c r="Y19" s="5">
        <f t="shared" ca="1" si="6"/>
        <v>-9.607305936073085E-2</v>
      </c>
      <c r="Z19" s="15">
        <f t="shared" si="7"/>
        <v>7.1428571428571397E-2</v>
      </c>
      <c r="AA19" s="15">
        <f t="shared" si="8"/>
        <v>-1.4084507042253502E-2</v>
      </c>
      <c r="AB19" s="15">
        <f t="shared" si="9"/>
        <v>0.77499999999999991</v>
      </c>
      <c r="AC19" s="15">
        <f t="shared" si="10"/>
        <v>0</v>
      </c>
      <c r="AD19" s="15">
        <f t="shared" si="11"/>
        <v>-0.46666666666666667</v>
      </c>
      <c r="AE19" s="15">
        <f t="shared" si="12"/>
        <v>-8.536585365853655E-2</v>
      </c>
      <c r="AF19" s="15">
        <f t="shared" si="13"/>
        <v>-0.46052631578947367</v>
      </c>
      <c r="AG19" s="15">
        <f t="shared" si="14"/>
        <v>0.1692307692307693</v>
      </c>
      <c r="AH19" s="15">
        <f t="shared" si="15"/>
        <v>0.30000000000000004</v>
      </c>
      <c r="AI19" s="15">
        <f t="shared" si="16"/>
        <v>0.11111111111111116</v>
      </c>
      <c r="AJ19" s="15">
        <f t="shared" si="17"/>
        <v>0.38461538461538458</v>
      </c>
      <c r="AK19" s="15">
        <f t="shared" si="18"/>
        <v>0.18181818181818166</v>
      </c>
      <c r="AL19" s="15">
        <f t="shared" si="19"/>
        <v>0.10000000000000009</v>
      </c>
      <c r="AM19" s="5">
        <f t="shared" si="20"/>
        <v>-0.46666666666666667</v>
      </c>
    </row>
    <row r="20" spans="1:39">
      <c r="A20" t="s">
        <v>81</v>
      </c>
      <c r="B20" t="s">
        <v>189</v>
      </c>
      <c r="C20" s="60">
        <v>31</v>
      </c>
      <c r="D20" s="60">
        <v>12</v>
      </c>
      <c r="E20" s="60">
        <v>2016</v>
      </c>
      <c r="F20" s="101">
        <v>3.87</v>
      </c>
      <c r="G20" s="101">
        <v>3.54</v>
      </c>
      <c r="H20" s="69">
        <v>3.29</v>
      </c>
      <c r="I20" s="96">
        <v>3.1</v>
      </c>
      <c r="J20" s="57">
        <v>2.7</v>
      </c>
      <c r="K20" s="57">
        <v>2.5</v>
      </c>
      <c r="L20" s="57">
        <v>2.2999999999999998</v>
      </c>
      <c r="M20" s="57">
        <v>2</v>
      </c>
      <c r="N20" s="57">
        <v>1.8</v>
      </c>
      <c r="O20" s="57">
        <v>1.5</v>
      </c>
      <c r="P20" s="57">
        <v>1.44</v>
      </c>
      <c r="Q20" s="57">
        <v>1.38</v>
      </c>
      <c r="R20" s="57">
        <v>1.18</v>
      </c>
      <c r="S20" s="57">
        <v>1</v>
      </c>
      <c r="T20" s="97">
        <f t="shared" si="1"/>
        <v>2.2571428571428571</v>
      </c>
      <c r="U20" s="4">
        <f t="shared" ca="1" si="2"/>
        <v>0</v>
      </c>
      <c r="V20" s="4">
        <f t="shared" ca="1" si="3"/>
        <v>108</v>
      </c>
      <c r="W20" s="4">
        <f t="shared" ca="1" si="4"/>
        <v>252</v>
      </c>
      <c r="X20" s="13">
        <f t="shared" ca="1" si="5"/>
        <v>3.3649999999999998</v>
      </c>
      <c r="Y20" s="5">
        <f t="shared" ca="1" si="6"/>
        <v>0.49082278481012653</v>
      </c>
      <c r="Z20" s="15">
        <f t="shared" si="7"/>
        <v>9.3220338983050821E-2</v>
      </c>
      <c r="AA20" s="15">
        <f t="shared" si="8"/>
        <v>7.5987841945288848E-2</v>
      </c>
      <c r="AB20" s="15">
        <f t="shared" si="9"/>
        <v>6.1290322580645151E-2</v>
      </c>
      <c r="AC20" s="15">
        <f t="shared" si="10"/>
        <v>0.14814814814814814</v>
      </c>
      <c r="AD20" s="15">
        <f t="shared" si="11"/>
        <v>8.0000000000000071E-2</v>
      </c>
      <c r="AE20" s="15">
        <f t="shared" si="12"/>
        <v>8.6956521739130599E-2</v>
      </c>
      <c r="AF20" s="15">
        <f t="shared" si="13"/>
        <v>0.14999999999999991</v>
      </c>
      <c r="AG20" s="15">
        <f t="shared" si="14"/>
        <v>0.11111111111111116</v>
      </c>
      <c r="AH20" s="15">
        <f t="shared" si="15"/>
        <v>0.19999999999999996</v>
      </c>
      <c r="AI20" s="15">
        <f t="shared" si="16"/>
        <v>4.1666666666666741E-2</v>
      </c>
      <c r="AJ20" s="15">
        <f t="shared" si="17"/>
        <v>4.3478260869565188E-2</v>
      </c>
      <c r="AK20" s="15">
        <f t="shared" si="18"/>
        <v>0.16949152542372881</v>
      </c>
      <c r="AL20" s="15">
        <f t="shared" si="19"/>
        <v>0.17999999999999994</v>
      </c>
      <c r="AM20" s="5">
        <f t="shared" si="20"/>
        <v>4.1666666666666741E-2</v>
      </c>
    </row>
    <row r="21" spans="1:39">
      <c r="A21" t="s">
        <v>82</v>
      </c>
      <c r="B21" t="s">
        <v>190</v>
      </c>
      <c r="C21" s="60">
        <v>31</v>
      </c>
      <c r="D21" s="60">
        <v>12</v>
      </c>
      <c r="E21" s="60">
        <v>2016</v>
      </c>
      <c r="F21" s="101">
        <v>3.28</v>
      </c>
      <c r="G21" s="101">
        <v>3.05</v>
      </c>
      <c r="H21" s="69">
        <v>2.97</v>
      </c>
      <c r="I21" s="96">
        <v>2.93</v>
      </c>
      <c r="J21" s="57">
        <v>2.85</v>
      </c>
      <c r="K21" s="57">
        <v>2.8</v>
      </c>
      <c r="L21" s="57">
        <v>2.77</v>
      </c>
      <c r="M21" s="57">
        <v>2.65</v>
      </c>
      <c r="N21" s="57">
        <v>2.4</v>
      </c>
      <c r="O21" s="57">
        <v>2.2000000000000002</v>
      </c>
      <c r="P21" s="57">
        <v>2.0699999999999998</v>
      </c>
      <c r="Q21" s="57">
        <v>1.75</v>
      </c>
      <c r="R21" s="57">
        <v>1.52</v>
      </c>
      <c r="S21" s="57">
        <v>1.2</v>
      </c>
      <c r="T21" s="97">
        <f t="shared" si="1"/>
        <v>2.46</v>
      </c>
      <c r="U21" s="4">
        <f t="shared" ca="1" si="2"/>
        <v>0</v>
      </c>
      <c r="V21" s="4">
        <f t="shared" ca="1" si="3"/>
        <v>108</v>
      </c>
      <c r="W21" s="4">
        <f t="shared" ca="1" si="4"/>
        <v>252</v>
      </c>
      <c r="X21" s="13">
        <f t="shared" ca="1" si="5"/>
        <v>2.9940000000000002</v>
      </c>
      <c r="Y21" s="5">
        <f t="shared" ca="1" si="6"/>
        <v>0.21707317073170751</v>
      </c>
      <c r="Z21" s="15">
        <f t="shared" si="7"/>
        <v>7.5409836065573721E-2</v>
      </c>
      <c r="AA21" s="15">
        <f t="shared" si="8"/>
        <v>2.6936026936026813E-2</v>
      </c>
      <c r="AB21" s="15">
        <f t="shared" si="9"/>
        <v>1.3651877133105783E-2</v>
      </c>
      <c r="AC21" s="15">
        <f t="shared" si="10"/>
        <v>2.8070175438596578E-2</v>
      </c>
      <c r="AD21" s="15">
        <f t="shared" si="11"/>
        <v>1.7857142857143016E-2</v>
      </c>
      <c r="AE21" s="15">
        <f t="shared" si="12"/>
        <v>1.0830324909747224E-2</v>
      </c>
      <c r="AF21" s="15">
        <f t="shared" si="13"/>
        <v>4.5283018867924518E-2</v>
      </c>
      <c r="AG21" s="15">
        <f t="shared" si="14"/>
        <v>0.10416666666666674</v>
      </c>
      <c r="AH21" s="15">
        <f t="shared" si="15"/>
        <v>9.0909090909090828E-2</v>
      </c>
      <c r="AI21" s="15">
        <f t="shared" si="16"/>
        <v>6.2801932367150037E-2</v>
      </c>
      <c r="AJ21" s="15">
        <f t="shared" si="17"/>
        <v>0.18285714285714283</v>
      </c>
      <c r="AK21" s="15">
        <f t="shared" si="18"/>
        <v>0.15131578947368429</v>
      </c>
      <c r="AL21" s="15">
        <f t="shared" si="19"/>
        <v>0.26666666666666683</v>
      </c>
      <c r="AM21" s="5">
        <f t="shared" si="20"/>
        <v>1.0830324909747224E-2</v>
      </c>
    </row>
    <row r="22" spans="1:39">
      <c r="A22" t="s">
        <v>28</v>
      </c>
      <c r="B22" t="s">
        <v>29</v>
      </c>
      <c r="C22" s="60">
        <v>31</v>
      </c>
      <c r="D22" s="60">
        <v>12</v>
      </c>
      <c r="E22" s="60">
        <v>2016</v>
      </c>
      <c r="F22" s="101">
        <v>1.94</v>
      </c>
      <c r="G22" s="101">
        <v>1.81</v>
      </c>
      <c r="H22" s="69">
        <v>1.68</v>
      </c>
      <c r="I22" s="96">
        <v>1.6</v>
      </c>
      <c r="J22" s="57">
        <v>1.5</v>
      </c>
      <c r="K22" s="57">
        <v>1.45</v>
      </c>
      <c r="L22" s="57">
        <v>1.45</v>
      </c>
      <c r="M22" s="57">
        <v>1.39</v>
      </c>
      <c r="N22" s="57">
        <v>1.3</v>
      </c>
      <c r="O22" s="57">
        <v>1.2</v>
      </c>
      <c r="P22" s="57">
        <v>1.2</v>
      </c>
      <c r="Q22" s="57">
        <v>1.1000000000000001</v>
      </c>
      <c r="R22" s="57">
        <v>1</v>
      </c>
      <c r="S22" s="57">
        <v>0.85</v>
      </c>
      <c r="T22" s="97">
        <f t="shared" si="1"/>
        <v>1.3907142857142858</v>
      </c>
      <c r="U22" s="4">
        <f t="shared" ca="1" si="2"/>
        <v>0</v>
      </c>
      <c r="V22" s="4">
        <f t="shared" ca="1" si="3"/>
        <v>108</v>
      </c>
      <c r="W22" s="4">
        <f t="shared" ca="1" si="4"/>
        <v>252</v>
      </c>
      <c r="X22" s="13">
        <f t="shared" ca="1" si="5"/>
        <v>1.7189999999999999</v>
      </c>
      <c r="Y22" s="5">
        <f t="shared" ca="1" si="6"/>
        <v>0.23605546995377491</v>
      </c>
      <c r="Z22" s="15">
        <f t="shared" si="7"/>
        <v>7.182320441988943E-2</v>
      </c>
      <c r="AA22" s="15">
        <f t="shared" si="8"/>
        <v>7.738095238095255E-2</v>
      </c>
      <c r="AB22" s="15">
        <f t="shared" si="9"/>
        <v>4.9999999999999822E-2</v>
      </c>
      <c r="AC22" s="15">
        <f t="shared" si="10"/>
        <v>6.6666666666666652E-2</v>
      </c>
      <c r="AD22" s="15">
        <f t="shared" si="11"/>
        <v>3.4482758620689724E-2</v>
      </c>
      <c r="AE22" s="15">
        <f t="shared" si="12"/>
        <v>0</v>
      </c>
      <c r="AF22" s="15">
        <f t="shared" si="13"/>
        <v>4.3165467625899234E-2</v>
      </c>
      <c r="AG22" s="15">
        <f t="shared" si="14"/>
        <v>6.9230769230769207E-2</v>
      </c>
      <c r="AH22" s="15">
        <f t="shared" si="15"/>
        <v>8.3333333333333481E-2</v>
      </c>
      <c r="AI22" s="15">
        <f t="shared" si="16"/>
        <v>0</v>
      </c>
      <c r="AJ22" s="15">
        <f t="shared" si="17"/>
        <v>9.0909090909090828E-2</v>
      </c>
      <c r="AK22" s="15">
        <f t="shared" si="18"/>
        <v>0.10000000000000009</v>
      </c>
      <c r="AL22" s="15">
        <f t="shared" si="19"/>
        <v>0.17647058823529416</v>
      </c>
      <c r="AM22" s="5">
        <f t="shared" si="20"/>
        <v>0</v>
      </c>
    </row>
    <row r="23" spans="1:39">
      <c r="A23" t="s">
        <v>30</v>
      </c>
      <c r="B23" t="s">
        <v>31</v>
      </c>
      <c r="C23" s="60">
        <v>31</v>
      </c>
      <c r="D23" s="60">
        <v>12</v>
      </c>
      <c r="E23" s="60">
        <v>2016</v>
      </c>
      <c r="F23" s="101">
        <v>1.83</v>
      </c>
      <c r="G23" s="101">
        <v>1.73</v>
      </c>
      <c r="H23" s="69">
        <v>1.6400000000000001</v>
      </c>
      <c r="I23" s="96">
        <v>1.54</v>
      </c>
      <c r="J23" s="57">
        <v>1.48</v>
      </c>
      <c r="K23" s="57">
        <v>1.42</v>
      </c>
      <c r="L23" s="57">
        <v>1.35</v>
      </c>
      <c r="M23" s="57">
        <v>1.27</v>
      </c>
      <c r="N23" s="57">
        <v>1.1399999999999999</v>
      </c>
      <c r="O23" s="57">
        <v>1</v>
      </c>
      <c r="P23" s="57">
        <v>0.84</v>
      </c>
      <c r="Q23" s="57">
        <v>0.66</v>
      </c>
      <c r="R23" s="57">
        <v>0.56000000000000005</v>
      </c>
      <c r="S23" s="57">
        <v>0.47</v>
      </c>
      <c r="T23" s="97">
        <f t="shared" si="1"/>
        <v>1.2092857142857143</v>
      </c>
      <c r="U23" s="4">
        <f t="shared" ca="1" si="2"/>
        <v>0</v>
      </c>
      <c r="V23" s="4">
        <f t="shared" ca="1" si="3"/>
        <v>108</v>
      </c>
      <c r="W23" s="4">
        <f t="shared" ca="1" si="4"/>
        <v>252</v>
      </c>
      <c r="X23" s="13">
        <f t="shared" ca="1" si="5"/>
        <v>1.667</v>
      </c>
      <c r="Y23" s="5">
        <f t="shared" ca="1" si="6"/>
        <v>0.37849970466627281</v>
      </c>
      <c r="Z23" s="15">
        <f t="shared" si="7"/>
        <v>5.7803468208092568E-2</v>
      </c>
      <c r="AA23" s="15">
        <f t="shared" si="8"/>
        <v>5.4878048780487632E-2</v>
      </c>
      <c r="AB23" s="15">
        <f t="shared" si="9"/>
        <v>6.4935064935065068E-2</v>
      </c>
      <c r="AC23" s="15">
        <f t="shared" si="10"/>
        <v>4.0540540540540571E-2</v>
      </c>
      <c r="AD23" s="15">
        <f t="shared" si="11"/>
        <v>4.2253521126760507E-2</v>
      </c>
      <c r="AE23" s="15">
        <f t="shared" si="12"/>
        <v>5.1851851851851816E-2</v>
      </c>
      <c r="AF23" s="15">
        <f t="shared" si="13"/>
        <v>6.2992125984252079E-2</v>
      </c>
      <c r="AG23" s="15">
        <f t="shared" si="14"/>
        <v>0.11403508771929838</v>
      </c>
      <c r="AH23" s="15">
        <f t="shared" si="15"/>
        <v>0.1399999999999999</v>
      </c>
      <c r="AI23" s="15">
        <f t="shared" si="16"/>
        <v>0.19047619047619047</v>
      </c>
      <c r="AJ23" s="15">
        <f t="shared" si="17"/>
        <v>0.27272727272727271</v>
      </c>
      <c r="AK23" s="15">
        <f t="shared" si="18"/>
        <v>0.1785714285714286</v>
      </c>
      <c r="AL23" s="15">
        <f t="shared" si="19"/>
        <v>0.19148936170212782</v>
      </c>
      <c r="AM23" s="5">
        <f t="shared" si="20"/>
        <v>4.0540540540540571E-2</v>
      </c>
    </row>
    <row r="24" spans="1:39">
      <c r="A24" t="s">
        <v>32</v>
      </c>
      <c r="B24" t="s">
        <v>33</v>
      </c>
      <c r="C24" s="60">
        <v>30</v>
      </c>
      <c r="D24" s="60">
        <v>9</v>
      </c>
      <c r="E24" s="60">
        <v>2016</v>
      </c>
      <c r="F24" s="101">
        <v>1.87</v>
      </c>
      <c r="G24" s="101">
        <v>1.71</v>
      </c>
      <c r="H24" s="69">
        <v>1.55</v>
      </c>
      <c r="I24" s="96">
        <v>1.41</v>
      </c>
      <c r="J24" s="57">
        <v>1.28</v>
      </c>
      <c r="K24" s="57">
        <v>1.1599999999999999</v>
      </c>
      <c r="L24" s="57">
        <v>1.06</v>
      </c>
      <c r="M24" s="57">
        <v>0.95</v>
      </c>
      <c r="N24" s="57">
        <v>0.84</v>
      </c>
      <c r="O24" s="57">
        <v>0.73</v>
      </c>
      <c r="P24" s="57">
        <v>0.63</v>
      </c>
      <c r="Q24" s="57">
        <v>0.6</v>
      </c>
      <c r="R24" s="57"/>
      <c r="S24" s="57"/>
      <c r="T24" s="97">
        <f t="shared" si="1"/>
        <v>1.1491666666666667</v>
      </c>
      <c r="U24" s="4">
        <f t="shared" ca="1" si="2"/>
        <v>0</v>
      </c>
      <c r="V24" s="4">
        <f t="shared" ca="1" si="3"/>
        <v>199</v>
      </c>
      <c r="W24" s="4">
        <f t="shared" ca="1" si="4"/>
        <v>161</v>
      </c>
      <c r="X24" s="13">
        <f t="shared" ca="1" si="5"/>
        <v>1.6384444444444444</v>
      </c>
      <c r="Y24" s="5">
        <f t="shared" ca="1" si="6"/>
        <v>0.42576746434614443</v>
      </c>
      <c r="Z24" s="15">
        <f t="shared" si="7"/>
        <v>9.3567251461988299E-2</v>
      </c>
      <c r="AA24" s="15">
        <f t="shared" si="8"/>
        <v>0.10322580645161294</v>
      </c>
      <c r="AB24" s="15">
        <f t="shared" si="9"/>
        <v>9.9290780141844115E-2</v>
      </c>
      <c r="AC24" s="15">
        <f t="shared" si="10"/>
        <v>0.1015625</v>
      </c>
      <c r="AD24" s="15">
        <f t="shared" si="11"/>
        <v>0.10344827586206917</v>
      </c>
      <c r="AE24" s="15">
        <f t="shared" si="12"/>
        <v>9.4339622641509413E-2</v>
      </c>
      <c r="AF24" s="15">
        <f t="shared" si="13"/>
        <v>0.11578947368421066</v>
      </c>
      <c r="AG24" s="15">
        <f t="shared" si="14"/>
        <v>0.13095238095238093</v>
      </c>
      <c r="AH24" s="15">
        <f t="shared" si="15"/>
        <v>0.15068493150684925</v>
      </c>
      <c r="AI24" s="15">
        <f t="shared" si="16"/>
        <v>0.15873015873015861</v>
      </c>
      <c r="AJ24" s="15">
        <f t="shared" si="17"/>
        <v>5.0000000000000044E-2</v>
      </c>
      <c r="AK24" s="15" t="str">
        <f t="shared" si="18"/>
        <v/>
      </c>
      <c r="AL24" s="15" t="str">
        <f t="shared" si="19"/>
        <v/>
      </c>
      <c r="AM24" s="5">
        <f t="shared" si="20"/>
        <v>5.0000000000000044E-2</v>
      </c>
    </row>
    <row r="25" spans="1:39">
      <c r="A25" t="s">
        <v>34</v>
      </c>
      <c r="B25" t="s">
        <v>35</v>
      </c>
      <c r="C25" s="60">
        <v>31</v>
      </c>
      <c r="D25" s="60">
        <v>3</v>
      </c>
      <c r="E25" s="60">
        <v>2016</v>
      </c>
      <c r="F25" s="101">
        <v>0.11800000000000001</v>
      </c>
      <c r="G25" s="101">
        <v>0.115</v>
      </c>
      <c r="H25" s="69">
        <v>0.115</v>
      </c>
      <c r="I25" s="96">
        <v>0.11</v>
      </c>
      <c r="J25" s="57">
        <v>0.11</v>
      </c>
      <c r="K25" s="57">
        <v>0.1</v>
      </c>
      <c r="L25" s="57">
        <v>9.5000000000000001E-2</v>
      </c>
      <c r="M25" s="57">
        <v>8.8999999999999996E-2</v>
      </c>
      <c r="N25" s="57">
        <v>8.3000000000000004E-2</v>
      </c>
      <c r="O25" s="57">
        <v>5.6000000000000001E-2</v>
      </c>
      <c r="P25" s="57">
        <v>7.4999999999999997E-2</v>
      </c>
      <c r="Q25" s="57">
        <v>6.8000000000000005E-2</v>
      </c>
      <c r="R25" s="57">
        <v>6.0999999999999999E-2</v>
      </c>
      <c r="S25" s="57">
        <v>0.04</v>
      </c>
      <c r="T25" s="97">
        <f t="shared" si="1"/>
        <v>8.8214285714285717E-2</v>
      </c>
      <c r="U25" s="4">
        <f t="shared" ca="1" si="2"/>
        <v>18</v>
      </c>
      <c r="V25" s="4">
        <f t="shared" ca="1" si="3"/>
        <v>342</v>
      </c>
      <c r="W25" s="4">
        <f t="shared" ca="1" si="4"/>
        <v>0</v>
      </c>
      <c r="X25" s="13">
        <f t="shared" ca="1" si="5"/>
        <v>0.11515</v>
      </c>
      <c r="Y25" s="5">
        <f t="shared" ca="1" si="6"/>
        <v>0.30534412955465595</v>
      </c>
      <c r="Z25" s="15">
        <f t="shared" si="7"/>
        <v>2.6086956521739202E-2</v>
      </c>
      <c r="AA25" s="15">
        <f t="shared" si="8"/>
        <v>0</v>
      </c>
      <c r="AB25" s="15">
        <f t="shared" si="9"/>
        <v>4.5454545454545414E-2</v>
      </c>
      <c r="AC25" s="15">
        <f t="shared" si="10"/>
        <v>0</v>
      </c>
      <c r="AD25" s="15">
        <f t="shared" si="11"/>
        <v>9.9999999999999867E-2</v>
      </c>
      <c r="AE25" s="15">
        <f t="shared" si="12"/>
        <v>5.2631578947368363E-2</v>
      </c>
      <c r="AF25" s="15">
        <f t="shared" si="13"/>
        <v>6.7415730337078816E-2</v>
      </c>
      <c r="AG25" s="15">
        <f t="shared" si="14"/>
        <v>7.2289156626505813E-2</v>
      </c>
      <c r="AH25" s="15">
        <f t="shared" si="15"/>
        <v>0.48214285714285721</v>
      </c>
      <c r="AI25" s="15">
        <f t="shared" si="16"/>
        <v>-0.2533333333333333</v>
      </c>
      <c r="AJ25" s="15">
        <f t="shared" si="17"/>
        <v>0.10294117647058809</v>
      </c>
      <c r="AK25" s="15">
        <f t="shared" si="18"/>
        <v>0.11475409836065587</v>
      </c>
      <c r="AL25" s="15">
        <f t="shared" si="19"/>
        <v>0.52499999999999991</v>
      </c>
      <c r="AM25" s="5">
        <f t="shared" si="20"/>
        <v>-0.2533333333333333</v>
      </c>
    </row>
    <row r="26" spans="1:39">
      <c r="A26" s="52" t="s">
        <v>277</v>
      </c>
      <c r="B26" s="52" t="s">
        <v>278</v>
      </c>
      <c r="C26" s="104">
        <v>31</v>
      </c>
      <c r="D26" s="104">
        <v>8</v>
      </c>
      <c r="E26" s="104">
        <v>2016</v>
      </c>
      <c r="F26" s="101">
        <v>2.56</v>
      </c>
      <c r="G26" s="101">
        <v>2.23</v>
      </c>
      <c r="H26" s="69">
        <v>2.2999999999999998</v>
      </c>
      <c r="I26" s="96">
        <v>2.04</v>
      </c>
      <c r="J26" s="57">
        <v>1.86</v>
      </c>
      <c r="K26" s="57">
        <v>1.62</v>
      </c>
      <c r="L26" s="57">
        <v>1.35</v>
      </c>
      <c r="M26" s="57">
        <v>0.9</v>
      </c>
      <c r="N26" s="58">
        <v>0.75</v>
      </c>
      <c r="O26" s="57">
        <v>0.5</v>
      </c>
      <c r="P26" s="57">
        <v>0.42</v>
      </c>
      <c r="Q26" s="57">
        <v>0.35</v>
      </c>
      <c r="R26" s="57">
        <v>0.3</v>
      </c>
      <c r="S26" s="57">
        <v>0</v>
      </c>
      <c r="T26" s="97">
        <f t="shared" si="1"/>
        <v>1.2271428571428573</v>
      </c>
      <c r="U26" s="4">
        <f t="shared" ca="1" si="2"/>
        <v>0</v>
      </c>
      <c r="V26" s="4">
        <f t="shared" ca="1" si="3"/>
        <v>228</v>
      </c>
      <c r="W26" s="4">
        <f t="shared" ca="1" si="4"/>
        <v>132</v>
      </c>
      <c r="X26" s="13">
        <f t="shared" ca="1" si="5"/>
        <v>2.2556666666666665</v>
      </c>
      <c r="Y26" s="5">
        <f t="shared" ca="1" si="6"/>
        <v>0.83814512999611912</v>
      </c>
      <c r="Z26" s="15">
        <f t="shared" si="7"/>
        <v>0.14798206278026904</v>
      </c>
      <c r="AA26" s="15">
        <f t="shared" si="8"/>
        <v>-3.0434782608695587E-2</v>
      </c>
      <c r="AB26" s="15">
        <f t="shared" si="9"/>
        <v>0.12745098039215685</v>
      </c>
      <c r="AC26" s="15">
        <f t="shared" si="10"/>
        <v>9.6774193548387011E-2</v>
      </c>
      <c r="AD26" s="15">
        <f t="shared" si="11"/>
        <v>0.14814814814814814</v>
      </c>
      <c r="AE26" s="15">
        <f t="shared" si="12"/>
        <v>0.19999999999999996</v>
      </c>
      <c r="AF26" s="15">
        <f t="shared" si="13"/>
        <v>0.5</v>
      </c>
      <c r="AG26" s="15">
        <f t="shared" si="14"/>
        <v>0.19999999999999996</v>
      </c>
      <c r="AH26" s="15">
        <f t="shared" si="15"/>
        <v>0.5</v>
      </c>
      <c r="AI26" s="15">
        <f t="shared" si="16"/>
        <v>0.19047619047619047</v>
      </c>
      <c r="AJ26" s="15">
        <f t="shared" si="17"/>
        <v>0.19999999999999996</v>
      </c>
      <c r="AK26" s="15">
        <f t="shared" si="18"/>
        <v>0.16666666666666674</v>
      </c>
      <c r="AL26" s="15">
        <f t="shared" si="19"/>
        <v>1</v>
      </c>
      <c r="AM26" s="5">
        <f t="shared" si="20"/>
        <v>-3.0434782608695587E-2</v>
      </c>
    </row>
    <row r="27" spans="1:39">
      <c r="A27" t="s">
        <v>36</v>
      </c>
      <c r="B27" t="s">
        <v>37</v>
      </c>
      <c r="C27" s="60">
        <v>31</v>
      </c>
      <c r="D27" s="60">
        <v>12</v>
      </c>
      <c r="E27" s="60">
        <v>2016</v>
      </c>
      <c r="F27" s="101">
        <v>1.45</v>
      </c>
      <c r="G27" s="101">
        <v>1.36</v>
      </c>
      <c r="H27" s="69">
        <v>1.27</v>
      </c>
      <c r="I27" s="96">
        <v>1.19</v>
      </c>
      <c r="J27" s="57">
        <v>1.1200000000000001</v>
      </c>
      <c r="K27" s="57">
        <v>1.05</v>
      </c>
      <c r="L27" s="57">
        <v>0.97</v>
      </c>
      <c r="M27" s="57">
        <v>0.9</v>
      </c>
      <c r="N27" s="57">
        <v>0.83</v>
      </c>
      <c r="O27" s="58">
        <v>0.8</v>
      </c>
      <c r="P27" s="57">
        <v>0.77</v>
      </c>
      <c r="Q27" s="57">
        <v>0.75</v>
      </c>
      <c r="R27" s="58">
        <v>0.70499999999999996</v>
      </c>
      <c r="S27" s="57">
        <v>0.66</v>
      </c>
      <c r="T27" s="97">
        <f t="shared" si="1"/>
        <v>0.98750000000000004</v>
      </c>
      <c r="U27" s="4">
        <f t="shared" ca="1" si="2"/>
        <v>0</v>
      </c>
      <c r="V27" s="4">
        <f t="shared" ca="1" si="3"/>
        <v>108</v>
      </c>
      <c r="W27" s="4">
        <f t="shared" ca="1" si="4"/>
        <v>252</v>
      </c>
      <c r="X27" s="13">
        <f t="shared" ca="1" si="5"/>
        <v>1.2970000000000002</v>
      </c>
      <c r="Y27" s="5">
        <f t="shared" ca="1" si="6"/>
        <v>0.3134177215189875</v>
      </c>
      <c r="Z27" s="15">
        <f t="shared" si="7"/>
        <v>6.6176470588235281E-2</v>
      </c>
      <c r="AA27" s="15">
        <f t="shared" si="8"/>
        <v>7.0866141732283561E-2</v>
      </c>
      <c r="AB27" s="15">
        <f t="shared" si="9"/>
        <v>6.7226890756302504E-2</v>
      </c>
      <c r="AC27" s="15">
        <f t="shared" si="10"/>
        <v>6.2499999999999778E-2</v>
      </c>
      <c r="AD27" s="15">
        <f t="shared" si="11"/>
        <v>6.6666666666666652E-2</v>
      </c>
      <c r="AE27" s="15">
        <f t="shared" si="12"/>
        <v>8.2474226804123862E-2</v>
      </c>
      <c r="AF27" s="15">
        <f t="shared" si="13"/>
        <v>7.7777777777777724E-2</v>
      </c>
      <c r="AG27" s="15">
        <f t="shared" si="14"/>
        <v>8.4337349397590522E-2</v>
      </c>
      <c r="AH27" s="15">
        <f t="shared" si="15"/>
        <v>3.7499999999999867E-2</v>
      </c>
      <c r="AI27" s="15">
        <f t="shared" si="16"/>
        <v>3.8961038961039085E-2</v>
      </c>
      <c r="AJ27" s="15">
        <f t="shared" si="17"/>
        <v>2.6666666666666616E-2</v>
      </c>
      <c r="AK27" s="15">
        <f t="shared" si="18"/>
        <v>6.3829787234042534E-2</v>
      </c>
      <c r="AL27" s="15">
        <f t="shared" si="19"/>
        <v>6.8181818181818121E-2</v>
      </c>
      <c r="AM27" s="5">
        <f t="shared" si="20"/>
        <v>2.6666666666666616E-2</v>
      </c>
    </row>
    <row r="28" spans="1:39">
      <c r="A28" t="s">
        <v>38</v>
      </c>
      <c r="B28" t="s">
        <v>39</v>
      </c>
      <c r="C28" s="60">
        <v>31</v>
      </c>
      <c r="D28" s="60">
        <v>12</v>
      </c>
      <c r="E28" s="60">
        <v>2016</v>
      </c>
      <c r="F28" s="101">
        <v>1.99</v>
      </c>
      <c r="G28" s="101">
        <v>1.96</v>
      </c>
      <c r="H28" s="69">
        <v>1.93</v>
      </c>
      <c r="I28" s="96">
        <v>1.92</v>
      </c>
      <c r="J28" s="57">
        <v>1.85</v>
      </c>
      <c r="K28" s="57">
        <v>1.81</v>
      </c>
      <c r="L28" s="57">
        <v>1.77</v>
      </c>
      <c r="M28" s="57">
        <v>1.72</v>
      </c>
      <c r="N28" s="57">
        <v>1.68</v>
      </c>
      <c r="O28" s="57">
        <v>1.65</v>
      </c>
      <c r="P28" s="57">
        <v>1.61</v>
      </c>
      <c r="Q28" s="57">
        <v>1.47</v>
      </c>
      <c r="R28" s="57">
        <v>1.35</v>
      </c>
      <c r="S28" s="57">
        <v>1.3</v>
      </c>
      <c r="T28" s="97">
        <f t="shared" si="1"/>
        <v>1.7150000000000001</v>
      </c>
      <c r="U28" s="4">
        <f t="shared" ca="1" si="2"/>
        <v>0</v>
      </c>
      <c r="V28" s="4">
        <f t="shared" ca="1" si="3"/>
        <v>108</v>
      </c>
      <c r="W28" s="4">
        <f t="shared" ca="1" si="4"/>
        <v>252</v>
      </c>
      <c r="X28" s="13">
        <f t="shared" ca="1" si="5"/>
        <v>1.9390000000000001</v>
      </c>
      <c r="Y28" s="5">
        <f t="shared" ca="1" si="6"/>
        <v>0.1306122448979592</v>
      </c>
      <c r="Z28" s="15">
        <f t="shared" si="7"/>
        <v>1.5306122448979664E-2</v>
      </c>
      <c r="AA28" s="15">
        <f t="shared" si="8"/>
        <v>1.5544041450777257E-2</v>
      </c>
      <c r="AB28" s="15">
        <f t="shared" si="9"/>
        <v>5.2083333333332593E-3</v>
      </c>
      <c r="AC28" s="15">
        <f t="shared" si="10"/>
        <v>3.7837837837837673E-2</v>
      </c>
      <c r="AD28" s="15">
        <f t="shared" si="11"/>
        <v>2.2099447513812098E-2</v>
      </c>
      <c r="AE28" s="15">
        <f t="shared" si="12"/>
        <v>2.2598870056497189E-2</v>
      </c>
      <c r="AF28" s="15">
        <f t="shared" si="13"/>
        <v>2.9069767441860517E-2</v>
      </c>
      <c r="AG28" s="15">
        <f t="shared" si="14"/>
        <v>2.3809523809523725E-2</v>
      </c>
      <c r="AH28" s="15">
        <f t="shared" si="15"/>
        <v>1.8181818181818299E-2</v>
      </c>
      <c r="AI28" s="15">
        <f t="shared" si="16"/>
        <v>2.4844720496894235E-2</v>
      </c>
      <c r="AJ28" s="15">
        <f t="shared" si="17"/>
        <v>9.5238095238095344E-2</v>
      </c>
      <c r="AK28" s="15">
        <f t="shared" si="18"/>
        <v>8.8888888888888795E-2</v>
      </c>
      <c r="AL28" s="15">
        <f t="shared" si="19"/>
        <v>3.8461538461538547E-2</v>
      </c>
      <c r="AM28" s="5">
        <f t="shared" si="20"/>
        <v>5.2083333333332593E-3</v>
      </c>
    </row>
    <row r="29" spans="1:39">
      <c r="A29" s="52" t="s">
        <v>318</v>
      </c>
      <c r="B29" s="52" t="s">
        <v>319</v>
      </c>
      <c r="C29" s="104">
        <v>31</v>
      </c>
      <c r="D29" s="104">
        <v>12</v>
      </c>
      <c r="E29" s="104">
        <v>2016</v>
      </c>
      <c r="F29" s="101">
        <v>0</v>
      </c>
      <c r="G29" s="101">
        <v>0</v>
      </c>
      <c r="H29" s="69">
        <v>0</v>
      </c>
      <c r="I29" s="96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97">
        <f t="shared" si="1"/>
        <v>0</v>
      </c>
      <c r="U29" s="4">
        <f t="shared" ca="1" si="2"/>
        <v>0</v>
      </c>
      <c r="V29" s="4">
        <f t="shared" ca="1" si="3"/>
        <v>108</v>
      </c>
      <c r="W29" s="4">
        <f t="shared" ca="1" si="4"/>
        <v>252</v>
      </c>
      <c r="X29" s="13">
        <f t="shared" ca="1" si="5"/>
        <v>0</v>
      </c>
      <c r="Y29" s="5">
        <f t="shared" si="6"/>
        <v>0</v>
      </c>
      <c r="Z29" s="15">
        <f t="shared" si="7"/>
        <v>0</v>
      </c>
      <c r="AA29" s="15">
        <f t="shared" si="8"/>
        <v>0</v>
      </c>
      <c r="AB29" s="15">
        <f t="shared" si="9"/>
        <v>0</v>
      </c>
      <c r="AC29" s="15">
        <f t="shared" si="10"/>
        <v>0</v>
      </c>
      <c r="AD29" s="15">
        <f t="shared" si="11"/>
        <v>0</v>
      </c>
      <c r="AE29" s="15">
        <f t="shared" si="12"/>
        <v>0</v>
      </c>
      <c r="AF29" s="15">
        <f t="shared" si="13"/>
        <v>0</v>
      </c>
      <c r="AG29" s="15">
        <f t="shared" si="14"/>
        <v>0</v>
      </c>
      <c r="AH29" s="15">
        <f t="shared" si="15"/>
        <v>0</v>
      </c>
      <c r="AI29" s="15">
        <f t="shared" si="16"/>
        <v>0</v>
      </c>
      <c r="AJ29" s="15">
        <f t="shared" si="17"/>
        <v>0</v>
      </c>
      <c r="AK29" s="15">
        <f t="shared" si="18"/>
        <v>0</v>
      </c>
      <c r="AL29" s="15">
        <f t="shared" si="19"/>
        <v>0</v>
      </c>
      <c r="AM29" s="5">
        <f t="shared" si="20"/>
        <v>0</v>
      </c>
    </row>
    <row r="30" spans="1:39">
      <c r="A30" t="s">
        <v>91</v>
      </c>
      <c r="B30" t="s">
        <v>194</v>
      </c>
      <c r="C30" s="60">
        <v>31</v>
      </c>
      <c r="D30" s="60">
        <v>12</v>
      </c>
      <c r="E30" s="60">
        <v>2016</v>
      </c>
      <c r="F30" s="101">
        <v>10.9</v>
      </c>
      <c r="G30" s="101">
        <v>9.93</v>
      </c>
      <c r="H30" s="69">
        <v>9.18</v>
      </c>
      <c r="I30" s="96">
        <v>8.7200000000000006</v>
      </c>
      <c r="J30" s="57">
        <v>7.72</v>
      </c>
      <c r="K30" s="57">
        <v>6.72</v>
      </c>
      <c r="L30" s="57">
        <v>6</v>
      </c>
      <c r="M30" s="57">
        <v>5.5</v>
      </c>
      <c r="N30" s="57">
        <v>4</v>
      </c>
      <c r="O30" s="57">
        <v>3.12</v>
      </c>
      <c r="P30" s="57">
        <v>3.12</v>
      </c>
      <c r="Q30" s="57">
        <v>2.68</v>
      </c>
      <c r="R30" s="57">
        <v>1.68</v>
      </c>
      <c r="S30" s="57">
        <v>1.2</v>
      </c>
      <c r="T30" s="97">
        <f t="shared" si="1"/>
        <v>5.7478571428571437</v>
      </c>
      <c r="U30" s="4">
        <f t="shared" ca="1" si="2"/>
        <v>0</v>
      </c>
      <c r="V30" s="4">
        <f t="shared" ca="1" si="3"/>
        <v>108</v>
      </c>
      <c r="W30" s="4">
        <f t="shared" ca="1" si="4"/>
        <v>252</v>
      </c>
      <c r="X30" s="13">
        <f t="shared" ca="1" si="5"/>
        <v>9.4049999999999994</v>
      </c>
      <c r="Y30" s="5">
        <f t="shared" ca="1" si="6"/>
        <v>0.63626196097924659</v>
      </c>
      <c r="Z30" s="15">
        <f t="shared" si="7"/>
        <v>9.7683786505538883E-2</v>
      </c>
      <c r="AA30" s="15">
        <f t="shared" si="8"/>
        <v>8.169934640522869E-2</v>
      </c>
      <c r="AB30" s="15">
        <f t="shared" si="9"/>
        <v>5.2752293577981613E-2</v>
      </c>
      <c r="AC30" s="15">
        <f t="shared" si="10"/>
        <v>0.1295336787564767</v>
      </c>
      <c r="AD30" s="15">
        <f t="shared" si="11"/>
        <v>0.14880952380952372</v>
      </c>
      <c r="AE30" s="15">
        <f t="shared" si="12"/>
        <v>0.11999999999999988</v>
      </c>
      <c r="AF30" s="15">
        <f t="shared" si="13"/>
        <v>9.0909090909090828E-2</v>
      </c>
      <c r="AG30" s="15">
        <f t="shared" si="14"/>
        <v>0.375</v>
      </c>
      <c r="AH30" s="15">
        <f t="shared" si="15"/>
        <v>0.28205128205128194</v>
      </c>
      <c r="AI30" s="15">
        <f t="shared" si="16"/>
        <v>0</v>
      </c>
      <c r="AJ30" s="15">
        <f t="shared" si="17"/>
        <v>0.16417910447761197</v>
      </c>
      <c r="AK30" s="15">
        <f t="shared" si="18"/>
        <v>0.59523809523809534</v>
      </c>
      <c r="AL30" s="15">
        <f t="shared" si="19"/>
        <v>0.39999999999999991</v>
      </c>
      <c r="AM30" s="5">
        <f t="shared" si="20"/>
        <v>0</v>
      </c>
    </row>
    <row r="31" spans="1:39">
      <c r="A31" s="52" t="s">
        <v>267</v>
      </c>
      <c r="B31" s="52" t="s">
        <v>273</v>
      </c>
      <c r="C31" s="104">
        <v>31</v>
      </c>
      <c r="D31" s="104">
        <v>12</v>
      </c>
      <c r="E31" s="104">
        <v>2016</v>
      </c>
      <c r="F31" s="101">
        <v>2.33</v>
      </c>
      <c r="G31" s="101">
        <v>1.92</v>
      </c>
      <c r="H31" s="69">
        <v>1.63</v>
      </c>
      <c r="I31" s="96">
        <v>1.4</v>
      </c>
      <c r="J31" s="57">
        <v>1.1000000000000001</v>
      </c>
      <c r="K31" s="57">
        <v>0.9</v>
      </c>
      <c r="L31" s="57">
        <v>0.65</v>
      </c>
      <c r="M31" s="57">
        <v>0.5</v>
      </c>
      <c r="N31" s="57">
        <v>0.35</v>
      </c>
      <c r="O31" s="57">
        <v>0.30499999999999999</v>
      </c>
      <c r="P31" s="57">
        <v>0.25800000000000001</v>
      </c>
      <c r="Q31" s="57">
        <v>0.22875000000000001</v>
      </c>
      <c r="R31" s="57">
        <v>0.155</v>
      </c>
      <c r="S31" s="57">
        <v>0.14499999999999999</v>
      </c>
      <c r="T31" s="97">
        <f t="shared" si="1"/>
        <v>0.8479821428571428</v>
      </c>
      <c r="U31" s="4">
        <f t="shared" ca="1" si="2"/>
        <v>0</v>
      </c>
      <c r="V31" s="4">
        <f t="shared" ca="1" si="3"/>
        <v>108</v>
      </c>
      <c r="W31" s="4">
        <f t="shared" ca="1" si="4"/>
        <v>252</v>
      </c>
      <c r="X31" s="13">
        <f t="shared" ca="1" si="5"/>
        <v>1.7169999999999996</v>
      </c>
      <c r="Y31" s="5">
        <f t="shared" ca="1" si="6"/>
        <v>1.0248067892265249</v>
      </c>
      <c r="Z31" s="15">
        <f t="shared" si="7"/>
        <v>0.21354166666666674</v>
      </c>
      <c r="AA31" s="15">
        <f t="shared" si="8"/>
        <v>0.17791411042944794</v>
      </c>
      <c r="AB31" s="15">
        <f t="shared" si="9"/>
        <v>0.16428571428571437</v>
      </c>
      <c r="AC31" s="15">
        <f t="shared" si="10"/>
        <v>0.27272727272727249</v>
      </c>
      <c r="AD31" s="15">
        <f t="shared" si="11"/>
        <v>0.22222222222222232</v>
      </c>
      <c r="AE31" s="15">
        <f t="shared" si="12"/>
        <v>0.38461538461538458</v>
      </c>
      <c r="AF31" s="15">
        <f t="shared" si="13"/>
        <v>0.30000000000000004</v>
      </c>
      <c r="AG31" s="15">
        <f t="shared" si="14"/>
        <v>0.4285714285714286</v>
      </c>
      <c r="AH31" s="15">
        <f t="shared" si="15"/>
        <v>0.14754098360655732</v>
      </c>
      <c r="AI31" s="15">
        <f t="shared" si="16"/>
        <v>0.18217054263565879</v>
      </c>
      <c r="AJ31" s="15">
        <f t="shared" si="17"/>
        <v>0.12786885245901636</v>
      </c>
      <c r="AK31" s="15">
        <f t="shared" si="18"/>
        <v>0.47580645161290325</v>
      </c>
      <c r="AL31" s="15">
        <f t="shared" si="19"/>
        <v>6.8965517241379448E-2</v>
      </c>
      <c r="AM31" s="5">
        <f t="shared" si="20"/>
        <v>6.8965517241379448E-2</v>
      </c>
    </row>
    <row r="32" spans="1:39">
      <c r="A32" s="52" t="s">
        <v>279</v>
      </c>
      <c r="B32" s="52" t="s">
        <v>280</v>
      </c>
      <c r="C32" s="104">
        <v>31</v>
      </c>
      <c r="D32" s="104">
        <v>7</v>
      </c>
      <c r="E32" s="104">
        <v>2016</v>
      </c>
      <c r="F32" s="101">
        <v>1.1200000000000001</v>
      </c>
      <c r="G32" s="101">
        <v>1</v>
      </c>
      <c r="H32" s="69">
        <v>0.89</v>
      </c>
      <c r="I32" s="96">
        <v>0.8</v>
      </c>
      <c r="J32" s="57">
        <v>0.72</v>
      </c>
      <c r="K32" s="57">
        <v>0.62</v>
      </c>
      <c r="L32" s="57">
        <v>0.28000000000000003</v>
      </c>
      <c r="M32" s="57">
        <v>0.12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97">
        <f t="shared" si="1"/>
        <v>0.39642857142857146</v>
      </c>
      <c r="U32" s="4">
        <f t="shared" ca="1" si="2"/>
        <v>0</v>
      </c>
      <c r="V32" s="4">
        <f t="shared" ca="1" si="3"/>
        <v>258</v>
      </c>
      <c r="W32" s="4">
        <f t="shared" ca="1" si="4"/>
        <v>102</v>
      </c>
      <c r="X32" s="13">
        <f t="shared" ca="1" si="5"/>
        <v>0.96883333333333344</v>
      </c>
      <c r="Y32" s="5">
        <f t="shared" ca="1" si="6"/>
        <v>1.4439039039039039</v>
      </c>
      <c r="Z32" s="15">
        <f t="shared" si="7"/>
        <v>0.12000000000000011</v>
      </c>
      <c r="AA32" s="15">
        <f t="shared" si="8"/>
        <v>0.12359550561797761</v>
      </c>
      <c r="AB32" s="15">
        <f t="shared" si="9"/>
        <v>0.11250000000000004</v>
      </c>
      <c r="AC32" s="15">
        <f t="shared" si="10"/>
        <v>0.11111111111111116</v>
      </c>
      <c r="AD32" s="15">
        <f t="shared" si="11"/>
        <v>0.16129032258064502</v>
      </c>
      <c r="AE32" s="15">
        <f t="shared" si="12"/>
        <v>1.214285714285714</v>
      </c>
      <c r="AF32" s="15">
        <f t="shared" si="13"/>
        <v>1.3333333333333335</v>
      </c>
      <c r="AG32" s="15">
        <f t="shared" si="14"/>
        <v>1</v>
      </c>
      <c r="AH32" s="15">
        <f t="shared" si="15"/>
        <v>0</v>
      </c>
      <c r="AI32" s="15">
        <f t="shared" si="16"/>
        <v>0</v>
      </c>
      <c r="AJ32" s="15">
        <f t="shared" si="17"/>
        <v>0</v>
      </c>
      <c r="AK32" s="15">
        <f t="shared" si="18"/>
        <v>0</v>
      </c>
      <c r="AL32" s="15">
        <f t="shared" si="19"/>
        <v>0</v>
      </c>
      <c r="AM32" s="5">
        <f t="shared" si="20"/>
        <v>0</v>
      </c>
    </row>
    <row r="33" spans="1:39">
      <c r="A33" t="s">
        <v>40</v>
      </c>
      <c r="B33" t="s">
        <v>41</v>
      </c>
      <c r="C33" s="60">
        <v>31</v>
      </c>
      <c r="D33" s="60">
        <v>12</v>
      </c>
      <c r="E33" s="60">
        <v>2016</v>
      </c>
      <c r="F33" s="101">
        <v>1.59</v>
      </c>
      <c r="G33" s="101">
        <v>1.48</v>
      </c>
      <c r="H33" s="69">
        <v>1.38</v>
      </c>
      <c r="I33" s="96">
        <v>1.32</v>
      </c>
      <c r="J33" s="57">
        <v>1.22</v>
      </c>
      <c r="K33" s="57">
        <v>1.1200000000000001</v>
      </c>
      <c r="L33" s="57">
        <v>1.02</v>
      </c>
      <c r="M33" s="57">
        <v>0.94</v>
      </c>
      <c r="N33" s="57">
        <v>0.88</v>
      </c>
      <c r="O33" s="57">
        <v>0.82</v>
      </c>
      <c r="P33" s="57">
        <v>0.76</v>
      </c>
      <c r="Q33" s="57">
        <v>0.68</v>
      </c>
      <c r="R33" s="57">
        <v>0.62</v>
      </c>
      <c r="S33" s="57">
        <v>0.56000000000000005</v>
      </c>
      <c r="T33" s="97">
        <f t="shared" si="1"/>
        <v>1.0278571428571428</v>
      </c>
      <c r="U33" s="4">
        <f t="shared" ca="1" si="2"/>
        <v>0</v>
      </c>
      <c r="V33" s="4">
        <f t="shared" ca="1" si="3"/>
        <v>108</v>
      </c>
      <c r="W33" s="4">
        <f t="shared" ca="1" si="4"/>
        <v>252</v>
      </c>
      <c r="X33" s="13">
        <f t="shared" ca="1" si="5"/>
        <v>1.41</v>
      </c>
      <c r="Y33" s="5">
        <f t="shared" ca="1" si="6"/>
        <v>0.37178596247394013</v>
      </c>
      <c r="Z33" s="15">
        <f t="shared" si="7"/>
        <v>7.4324324324324342E-2</v>
      </c>
      <c r="AA33" s="15">
        <f t="shared" si="8"/>
        <v>7.2463768115942129E-2</v>
      </c>
      <c r="AB33" s="15">
        <f t="shared" si="9"/>
        <v>4.5454545454545414E-2</v>
      </c>
      <c r="AC33" s="15">
        <f t="shared" si="10"/>
        <v>8.1967213114754189E-2</v>
      </c>
      <c r="AD33" s="15">
        <f t="shared" si="11"/>
        <v>8.9285714285714191E-2</v>
      </c>
      <c r="AE33" s="15">
        <f t="shared" si="12"/>
        <v>9.8039215686274606E-2</v>
      </c>
      <c r="AF33" s="15">
        <f t="shared" si="13"/>
        <v>8.5106382978723527E-2</v>
      </c>
      <c r="AG33" s="15">
        <f t="shared" si="14"/>
        <v>6.8181818181818121E-2</v>
      </c>
      <c r="AH33" s="15">
        <f t="shared" si="15"/>
        <v>7.3170731707317138E-2</v>
      </c>
      <c r="AI33" s="15">
        <f t="shared" si="16"/>
        <v>7.8947368421052655E-2</v>
      </c>
      <c r="AJ33" s="15">
        <f t="shared" si="17"/>
        <v>0.11764705882352944</v>
      </c>
      <c r="AK33" s="15">
        <f t="shared" si="18"/>
        <v>9.6774193548387233E-2</v>
      </c>
      <c r="AL33" s="15">
        <f t="shared" si="19"/>
        <v>0.10714285714285698</v>
      </c>
      <c r="AM33" s="5">
        <f t="shared" si="20"/>
        <v>4.5454545454545414E-2</v>
      </c>
    </row>
    <row r="34" spans="1:39">
      <c r="A34" t="s">
        <v>42</v>
      </c>
      <c r="B34" t="s">
        <v>43</v>
      </c>
      <c r="C34" s="60">
        <v>31</v>
      </c>
      <c r="D34" s="60">
        <v>12</v>
      </c>
      <c r="E34" s="60">
        <v>2016</v>
      </c>
      <c r="F34" s="101">
        <v>1.84</v>
      </c>
      <c r="G34" s="101">
        <v>1.69</v>
      </c>
      <c r="H34" s="69">
        <v>1.57</v>
      </c>
      <c r="I34" s="96">
        <v>1.5</v>
      </c>
      <c r="J34" s="57">
        <v>1.42</v>
      </c>
      <c r="K34" s="57">
        <v>1.33</v>
      </c>
      <c r="L34" s="57">
        <v>1.22</v>
      </c>
      <c r="M34" s="57">
        <v>1.1399999999999999</v>
      </c>
      <c r="N34" s="57">
        <v>1.01</v>
      </c>
      <c r="O34" s="57">
        <v>0.86</v>
      </c>
      <c r="P34" s="57">
        <v>0.78</v>
      </c>
      <c r="Q34" s="57">
        <v>0.7</v>
      </c>
      <c r="R34" s="57">
        <v>0.63</v>
      </c>
      <c r="S34" s="57">
        <v>0.56000000000000005</v>
      </c>
      <c r="T34" s="97">
        <f t="shared" si="1"/>
        <v>1.1607142857142858</v>
      </c>
      <c r="U34" s="4">
        <f t="shared" ca="1" si="2"/>
        <v>0</v>
      </c>
      <c r="V34" s="4">
        <f t="shared" ca="1" si="3"/>
        <v>108</v>
      </c>
      <c r="W34" s="4">
        <f t="shared" ca="1" si="4"/>
        <v>252</v>
      </c>
      <c r="X34" s="13">
        <f t="shared" ca="1" si="5"/>
        <v>1.6060000000000003</v>
      </c>
      <c r="Y34" s="5">
        <f t="shared" ca="1" si="6"/>
        <v>0.38363076923076944</v>
      </c>
      <c r="Z34" s="15">
        <f t="shared" si="7"/>
        <v>8.8757396449704151E-2</v>
      </c>
      <c r="AA34" s="15">
        <f t="shared" si="8"/>
        <v>7.6433121019108263E-2</v>
      </c>
      <c r="AB34" s="15">
        <f t="shared" si="9"/>
        <v>4.6666666666666634E-2</v>
      </c>
      <c r="AC34" s="15">
        <f t="shared" si="10"/>
        <v>5.6338028169014231E-2</v>
      </c>
      <c r="AD34" s="15">
        <f t="shared" si="11"/>
        <v>6.7669172932330657E-2</v>
      </c>
      <c r="AE34" s="15">
        <f t="shared" si="12"/>
        <v>9.0163934426229497E-2</v>
      </c>
      <c r="AF34" s="15">
        <f t="shared" si="13"/>
        <v>7.0175438596491224E-2</v>
      </c>
      <c r="AG34" s="15">
        <f t="shared" si="14"/>
        <v>0.12871287128712861</v>
      </c>
      <c r="AH34" s="15">
        <f t="shared" si="15"/>
        <v>0.17441860465116288</v>
      </c>
      <c r="AI34" s="15">
        <f t="shared" si="16"/>
        <v>0.10256410256410242</v>
      </c>
      <c r="AJ34" s="15">
        <f t="shared" si="17"/>
        <v>0.11428571428571432</v>
      </c>
      <c r="AK34" s="15">
        <f t="shared" si="18"/>
        <v>0.11111111111111094</v>
      </c>
      <c r="AL34" s="15">
        <f t="shared" si="19"/>
        <v>0.125</v>
      </c>
      <c r="AM34" s="5">
        <f t="shared" si="20"/>
        <v>4.6666666666666634E-2</v>
      </c>
    </row>
    <row r="35" spans="1:39">
      <c r="A35" t="s">
        <v>44</v>
      </c>
      <c r="B35" t="s">
        <v>45</v>
      </c>
      <c r="C35" s="60">
        <v>31</v>
      </c>
      <c r="D35" s="60">
        <v>12</v>
      </c>
      <c r="E35" s="60">
        <v>2016</v>
      </c>
      <c r="F35" s="101">
        <v>1.07</v>
      </c>
      <c r="G35" s="101">
        <v>1.01</v>
      </c>
      <c r="H35" s="69">
        <v>0.93</v>
      </c>
      <c r="I35" s="96">
        <v>0.92</v>
      </c>
      <c r="J35" s="57">
        <v>0.89</v>
      </c>
      <c r="K35" s="57">
        <v>0.79</v>
      </c>
      <c r="L35" s="57">
        <v>0.7</v>
      </c>
      <c r="M35" s="57">
        <v>0.61</v>
      </c>
      <c r="N35" s="57">
        <v>0.46</v>
      </c>
      <c r="O35" s="57">
        <v>0.61</v>
      </c>
      <c r="P35" s="57">
        <v>1.24</v>
      </c>
      <c r="Q35" s="57">
        <v>1.1499999999999999</v>
      </c>
      <c r="R35" s="57">
        <v>1.03</v>
      </c>
      <c r="S35" s="57">
        <v>0.91</v>
      </c>
      <c r="T35" s="97">
        <f t="shared" si="1"/>
        <v>0.88</v>
      </c>
      <c r="U35" s="4">
        <f t="shared" ca="1" si="2"/>
        <v>0</v>
      </c>
      <c r="V35" s="4">
        <f t="shared" ca="1" si="3"/>
        <v>108</v>
      </c>
      <c r="W35" s="4">
        <f t="shared" ca="1" si="4"/>
        <v>252</v>
      </c>
      <c r="X35" s="13">
        <f t="shared" ca="1" si="5"/>
        <v>0.95399999999999996</v>
      </c>
      <c r="Y35" s="5">
        <f t="shared" ca="1" si="6"/>
        <v>8.4090909090908994E-2</v>
      </c>
      <c r="Z35" s="15">
        <f t="shared" si="7"/>
        <v>5.9405940594059459E-2</v>
      </c>
      <c r="AA35" s="15">
        <f t="shared" si="8"/>
        <v>8.602150537634401E-2</v>
      </c>
      <c r="AB35" s="15">
        <f t="shared" si="9"/>
        <v>1.0869565217391353E-2</v>
      </c>
      <c r="AC35" s="15">
        <f t="shared" si="10"/>
        <v>3.3707865168539408E-2</v>
      </c>
      <c r="AD35" s="15">
        <f t="shared" si="11"/>
        <v>0.12658227848101267</v>
      </c>
      <c r="AE35" s="15">
        <f t="shared" si="12"/>
        <v>0.12857142857142878</v>
      </c>
      <c r="AF35" s="15">
        <f t="shared" si="13"/>
        <v>0.14754098360655732</v>
      </c>
      <c r="AG35" s="15">
        <f t="shared" si="14"/>
        <v>0.32608695652173902</v>
      </c>
      <c r="AH35" s="15">
        <f t="shared" si="15"/>
        <v>-0.24590163934426224</v>
      </c>
      <c r="AI35" s="15">
        <f t="shared" si="16"/>
        <v>-0.50806451612903225</v>
      </c>
      <c r="AJ35" s="15">
        <f t="shared" si="17"/>
        <v>7.8260869565217384E-2</v>
      </c>
      <c r="AK35" s="15">
        <f t="shared" si="18"/>
        <v>0.11650485436893199</v>
      </c>
      <c r="AL35" s="15">
        <f t="shared" si="19"/>
        <v>0.13186813186813184</v>
      </c>
      <c r="AM35" s="5">
        <f t="shared" si="20"/>
        <v>-0.50806451612903225</v>
      </c>
    </row>
    <row r="36" spans="1:39">
      <c r="A36" t="s">
        <v>46</v>
      </c>
      <c r="B36" t="s">
        <v>47</v>
      </c>
      <c r="C36" s="60">
        <v>31</v>
      </c>
      <c r="D36" s="60">
        <v>12</v>
      </c>
      <c r="E36" s="60">
        <v>2016</v>
      </c>
      <c r="F36" s="101">
        <v>5.93</v>
      </c>
      <c r="G36" s="101">
        <v>5.39</v>
      </c>
      <c r="H36" s="69">
        <v>5.12</v>
      </c>
      <c r="I36" s="96">
        <v>5</v>
      </c>
      <c r="J36" s="57">
        <v>4.25</v>
      </c>
      <c r="K36" s="57">
        <v>3.7</v>
      </c>
      <c r="L36" s="57">
        <v>3.3</v>
      </c>
      <c r="M36" s="57">
        <v>2.9</v>
      </c>
      <c r="N36" s="57">
        <v>2.5</v>
      </c>
      <c r="O36" s="57">
        <v>2.15</v>
      </c>
      <c r="P36" s="57">
        <v>1.9</v>
      </c>
      <c r="Q36" s="57">
        <v>1.5</v>
      </c>
      <c r="R36" s="57">
        <v>1.1000000000000001</v>
      </c>
      <c r="S36" s="57">
        <v>0.78</v>
      </c>
      <c r="T36" s="97">
        <f t="shared" ref="T36:T67" si="21">AVERAGE(F36:S36)</f>
        <v>3.2514285714285713</v>
      </c>
      <c r="U36" s="4">
        <f t="shared" ref="U36:U67" ca="1" si="22">IF(DAYS360(TODAY(),DATE(E36+2,D36,C36))&gt;=720,0,360-V36)</f>
        <v>0</v>
      </c>
      <c r="V36" s="4">
        <f t="shared" ref="V36:V67" ca="1" si="23">IF(DAYS360(TODAY(),DATE(E36+1,D36,C36))&lt;=360,DAYS360(TODAY(),DATE(E36+1,D36,C36)),360-W36)</f>
        <v>108</v>
      </c>
      <c r="W36" s="4">
        <f t="shared" ref="W36:W67" ca="1" si="24">IF(DATE(E36,D36,C36)&lt;=TODAY(),0,DAYS360(TODAY(),DATE(E36,D36,C36)))</f>
        <v>252</v>
      </c>
      <c r="X36" s="13">
        <f t="shared" ref="X36:X67" ca="1" si="25">(F36/360*U36)+(G36/360*V36)+(H36/360*W36)</f>
        <v>5.2010000000000005</v>
      </c>
      <c r="Y36" s="5">
        <f t="shared" ref="Y36:Y67" ca="1" si="26">IF(T36=0,0,IF(X36&lt;0,IF(X36&lt;0,((X36/T36)-1)*-1,(X36/T36)-1),IF(T36&lt;0,ABS((X36/T36)-1),(X36/T36)-1)))</f>
        <v>0.59960456942003537</v>
      </c>
      <c r="Z36" s="15">
        <f t="shared" ref="Z36:Z67" si="27">IF(F36&lt;&gt;"",IF(G36&lt;&gt;"",IF(G36+F36=0,0,IF(G36=0,1,(F36/G36)-1)),""),"")</f>
        <v>0.1001855287569573</v>
      </c>
      <c r="AA36" s="15">
        <f t="shared" ref="AA36:AA67" si="28">IF(G36&lt;&gt;"",IF(H36&lt;&gt;"",IF(H36+G36=0,0,IF(H36=0,1,(G36/H36)-1)),""),"")</f>
        <v>5.2734375E-2</v>
      </c>
      <c r="AB36" s="15">
        <f t="shared" ref="AB36:AB67" si="29">IF(H36&lt;&gt;"",IF(I36&lt;&gt;"",IF(I36+H36=0,0,IF(I36=0,1,(H36/I36)-1)),""),"")</f>
        <v>2.4000000000000021E-2</v>
      </c>
      <c r="AC36" s="15">
        <f t="shared" ref="AC36:AC67" si="30">IF(I36&lt;&gt;"",IF(J36&lt;&gt;"",IF(J36+I36=0,0,IF(J36=0,1,(I36/J36)-1)),""),"")</f>
        <v>0.17647058823529416</v>
      </c>
      <c r="AD36" s="15">
        <f t="shared" ref="AD36:AD67" si="31">IF(J36&lt;&gt;"",IF(K36&lt;&gt;"",IF(K36+J36=0,0,IF(K36=0,1,(J36/K36)-1)),""),"")</f>
        <v>0.14864864864864868</v>
      </c>
      <c r="AE36" s="15">
        <f t="shared" ref="AE36:AE67" si="32">IF(K36&lt;&gt;"",IF(L36&lt;&gt;"",IF(L36+K36=0,0,IF(L36=0,1,(K36/L36)-1)),""),"")</f>
        <v>0.12121212121212133</v>
      </c>
      <c r="AF36" s="15">
        <f t="shared" ref="AF36:AF67" si="33">IF(L36&lt;&gt;"",IF(M36&lt;&gt;"",IF(M36+L36=0,0,IF(M36=0,1,(L36/M36)-1)),""),"")</f>
        <v>0.13793103448275867</v>
      </c>
      <c r="AG36" s="15">
        <f t="shared" ref="AG36:AG67" si="34">IF(M36&lt;&gt;"",IF(N36&lt;&gt;"",IF(N36+M36=0,0,IF(N36=0,1,(M36/N36)-1)),""),"")</f>
        <v>0.15999999999999992</v>
      </c>
      <c r="AH36" s="15">
        <f t="shared" ref="AH36:AH67" si="35">IF(N36&lt;&gt;"",IF(O36&lt;&gt;"",IF(O36+N36=0,0,IF(O36=0,1,(N36/O36)-1)),""),"")</f>
        <v>0.16279069767441867</v>
      </c>
      <c r="AI36" s="15">
        <f t="shared" ref="AI36:AI67" si="36">IF(O36&lt;&gt;"",IF(P36&lt;&gt;"",IF(P36+O36=0,0,IF(P36=0,1,(O36/P36)-1)),""),"")</f>
        <v>0.13157894736842102</v>
      </c>
      <c r="AJ36" s="15">
        <f t="shared" ref="AJ36:AJ67" si="37">IF(P36&lt;&gt;"",IF(Q36&lt;&gt;"",IF(Q36+P36=0,0,IF(Q36=0,1,(P36/Q36)-1)),""),"")</f>
        <v>0.26666666666666661</v>
      </c>
      <c r="AK36" s="15">
        <f t="shared" ref="AK36:AK67" si="38">IF(Q36&lt;&gt;"",IF(R36&lt;&gt;"",IF(R36+Q36=0,0,IF(R36=0,1,(Q36/R36)-1)),""),"")</f>
        <v>0.36363636363636354</v>
      </c>
      <c r="AL36" s="15">
        <f t="shared" ref="AL36:AL67" si="39">IF(R36&lt;&gt;"",IF(S36&lt;&gt;"",IF(S36+R36=0,0,IF(S36=0,1,(R36/S36)-1)),""),"")</f>
        <v>0.41025641025641035</v>
      </c>
      <c r="AM36" s="5">
        <f t="shared" ref="AM36:AM67" si="40">MIN(Z36:AL36)</f>
        <v>2.4000000000000021E-2</v>
      </c>
    </row>
    <row r="37" spans="1:39">
      <c r="A37" t="s">
        <v>48</v>
      </c>
      <c r="B37" t="s">
        <v>49</v>
      </c>
      <c r="C37" s="60">
        <v>31</v>
      </c>
      <c r="D37" s="60">
        <v>12</v>
      </c>
      <c r="E37" s="60">
        <v>2016</v>
      </c>
      <c r="F37" s="101">
        <v>3.45</v>
      </c>
      <c r="G37" s="101">
        <v>3.24</v>
      </c>
      <c r="H37" s="69">
        <v>3.07</v>
      </c>
      <c r="I37" s="96">
        <v>2.95</v>
      </c>
      <c r="J37" s="57">
        <v>2.76</v>
      </c>
      <c r="K37" s="57">
        <v>2.59</v>
      </c>
      <c r="L37" s="57">
        <v>2.4</v>
      </c>
      <c r="M37" s="57">
        <v>2.25</v>
      </c>
      <c r="N37" s="57">
        <v>2.11</v>
      </c>
      <c r="O37" s="57">
        <v>1.93</v>
      </c>
      <c r="P37" s="57">
        <v>1.7949999999999999</v>
      </c>
      <c r="Q37" s="57">
        <v>1.62</v>
      </c>
      <c r="R37" s="57">
        <v>1.4550000000000001</v>
      </c>
      <c r="S37" s="57">
        <v>1.2749999999999999</v>
      </c>
      <c r="T37" s="97">
        <f t="shared" si="21"/>
        <v>2.3496428571428574</v>
      </c>
      <c r="U37" s="4">
        <f t="shared" ca="1" si="22"/>
        <v>0</v>
      </c>
      <c r="V37" s="4">
        <f t="shared" ca="1" si="23"/>
        <v>108</v>
      </c>
      <c r="W37" s="4">
        <f t="shared" ca="1" si="24"/>
        <v>252</v>
      </c>
      <c r="X37" s="13">
        <f t="shared" ca="1" si="25"/>
        <v>3.1209999999999996</v>
      </c>
      <c r="Y37" s="5">
        <f t="shared" ca="1" si="26"/>
        <v>0.32828697370421001</v>
      </c>
      <c r="Z37" s="15">
        <f t="shared" si="27"/>
        <v>6.4814814814814881E-2</v>
      </c>
      <c r="AA37" s="15">
        <f t="shared" si="28"/>
        <v>5.5374592833876246E-2</v>
      </c>
      <c r="AB37" s="15">
        <f t="shared" si="29"/>
        <v>4.0677966101694718E-2</v>
      </c>
      <c r="AC37" s="15">
        <f t="shared" si="30"/>
        <v>6.8840579710145011E-2</v>
      </c>
      <c r="AD37" s="15">
        <f t="shared" si="31"/>
        <v>6.5637065637065506E-2</v>
      </c>
      <c r="AE37" s="15">
        <f t="shared" si="32"/>
        <v>7.9166666666666607E-2</v>
      </c>
      <c r="AF37" s="15">
        <f t="shared" si="33"/>
        <v>6.6666666666666652E-2</v>
      </c>
      <c r="AG37" s="15">
        <f t="shared" si="34"/>
        <v>6.6350710900473953E-2</v>
      </c>
      <c r="AH37" s="15">
        <f t="shared" si="35"/>
        <v>9.32642487046631E-2</v>
      </c>
      <c r="AI37" s="15">
        <f t="shared" si="36"/>
        <v>7.5208913649025044E-2</v>
      </c>
      <c r="AJ37" s="15">
        <f t="shared" si="37"/>
        <v>0.1080246913580245</v>
      </c>
      <c r="AK37" s="15">
        <f t="shared" si="38"/>
        <v>0.11340206185567014</v>
      </c>
      <c r="AL37" s="15">
        <f t="shared" si="39"/>
        <v>0.14117647058823546</v>
      </c>
      <c r="AM37" s="5">
        <f t="shared" si="40"/>
        <v>4.0677966101694718E-2</v>
      </c>
    </row>
    <row r="38" spans="1:39">
      <c r="A38" t="s">
        <v>314</v>
      </c>
      <c r="B38" t="s">
        <v>315</v>
      </c>
      <c r="C38" s="104">
        <v>31</v>
      </c>
      <c r="D38" s="104">
        <v>12</v>
      </c>
      <c r="E38" s="60">
        <v>2016</v>
      </c>
      <c r="F38" s="101">
        <v>2.54</v>
      </c>
      <c r="G38" s="101">
        <v>2.4300000000000002</v>
      </c>
      <c r="H38" s="69">
        <v>2.3199999999999998</v>
      </c>
      <c r="I38" s="96">
        <v>1.7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97">
        <f t="shared" si="21"/>
        <v>2.2475000000000001</v>
      </c>
      <c r="U38" s="4">
        <f t="shared" ca="1" si="22"/>
        <v>0</v>
      </c>
      <c r="V38" s="4">
        <f t="shared" ca="1" si="23"/>
        <v>108</v>
      </c>
      <c r="W38" s="4">
        <f t="shared" ca="1" si="24"/>
        <v>252</v>
      </c>
      <c r="X38" s="13">
        <f t="shared" ca="1" si="25"/>
        <v>2.3529999999999998</v>
      </c>
      <c r="Y38" s="5">
        <f t="shared" ca="1" si="26"/>
        <v>4.6941045606228915E-2</v>
      </c>
      <c r="Z38" s="15">
        <f t="shared" si="27"/>
        <v>4.5267489711934061E-2</v>
      </c>
      <c r="AA38" s="15">
        <f t="shared" si="28"/>
        <v>4.7413793103448398E-2</v>
      </c>
      <c r="AB38" s="15">
        <f t="shared" si="29"/>
        <v>0.36470588235294121</v>
      </c>
      <c r="AC38" s="15" t="str">
        <f t="shared" si="30"/>
        <v/>
      </c>
      <c r="AD38" s="15" t="str">
        <f t="shared" si="31"/>
        <v/>
      </c>
      <c r="AE38" s="15" t="str">
        <f t="shared" si="32"/>
        <v/>
      </c>
      <c r="AF38" s="15" t="str">
        <f t="shared" si="33"/>
        <v/>
      </c>
      <c r="AG38" s="15" t="str">
        <f t="shared" si="34"/>
        <v/>
      </c>
      <c r="AH38" s="15" t="str">
        <f t="shared" si="35"/>
        <v/>
      </c>
      <c r="AI38" s="15" t="str">
        <f t="shared" si="36"/>
        <v/>
      </c>
      <c r="AJ38" s="15" t="str">
        <f t="shared" si="37"/>
        <v/>
      </c>
      <c r="AK38" s="15" t="str">
        <f t="shared" si="38"/>
        <v/>
      </c>
      <c r="AL38" s="15" t="str">
        <f t="shared" si="39"/>
        <v/>
      </c>
      <c r="AM38" s="5">
        <f t="shared" si="40"/>
        <v>4.5267489711934061E-2</v>
      </c>
    </row>
    <row r="39" spans="1:39">
      <c r="A39" t="s">
        <v>50</v>
      </c>
      <c r="B39" t="s">
        <v>51</v>
      </c>
      <c r="C39" s="60">
        <v>31</v>
      </c>
      <c r="D39" s="60">
        <v>12</v>
      </c>
      <c r="E39" s="60">
        <v>2016</v>
      </c>
      <c r="F39" s="101">
        <v>4</v>
      </c>
      <c r="G39" s="101">
        <v>3.83</v>
      </c>
      <c r="H39" s="69">
        <v>3.62</v>
      </c>
      <c r="I39" s="96">
        <v>3.44</v>
      </c>
      <c r="J39" s="57">
        <v>3.28</v>
      </c>
      <c r="K39" s="57">
        <v>3.12</v>
      </c>
      <c r="L39" s="57">
        <v>2.87</v>
      </c>
      <c r="M39" s="57">
        <v>2.5299999999999998</v>
      </c>
      <c r="N39" s="57">
        <v>2.2599999999999998</v>
      </c>
      <c r="O39" s="57">
        <v>2.0499999999999998</v>
      </c>
      <c r="P39" s="57">
        <v>1.63</v>
      </c>
      <c r="Q39" s="57">
        <v>1.5</v>
      </c>
      <c r="R39" s="57">
        <v>1</v>
      </c>
      <c r="S39" s="57">
        <v>0.67</v>
      </c>
      <c r="T39" s="97">
        <f t="shared" si="21"/>
        <v>2.5571428571428574</v>
      </c>
      <c r="U39" s="4">
        <f t="shared" ca="1" si="22"/>
        <v>0</v>
      </c>
      <c r="V39" s="4">
        <f t="shared" ca="1" si="23"/>
        <v>108</v>
      </c>
      <c r="W39" s="4">
        <f t="shared" ca="1" si="24"/>
        <v>252</v>
      </c>
      <c r="X39" s="13">
        <f t="shared" ca="1" si="25"/>
        <v>3.6829999999999998</v>
      </c>
      <c r="Y39" s="5">
        <f t="shared" ca="1" si="26"/>
        <v>0.44027932960893845</v>
      </c>
      <c r="Z39" s="15">
        <f t="shared" si="27"/>
        <v>4.4386422976501194E-2</v>
      </c>
      <c r="AA39" s="15">
        <f t="shared" si="28"/>
        <v>5.8011049723756924E-2</v>
      </c>
      <c r="AB39" s="15">
        <f t="shared" si="29"/>
        <v>5.232558139534893E-2</v>
      </c>
      <c r="AC39" s="15">
        <f t="shared" si="30"/>
        <v>4.8780487804878092E-2</v>
      </c>
      <c r="AD39" s="15">
        <f t="shared" si="31"/>
        <v>5.12820512820511E-2</v>
      </c>
      <c r="AE39" s="15">
        <f t="shared" si="32"/>
        <v>8.710801393728218E-2</v>
      </c>
      <c r="AF39" s="15">
        <f t="shared" si="33"/>
        <v>0.13438735177865624</v>
      </c>
      <c r="AG39" s="15">
        <f t="shared" si="34"/>
        <v>0.11946902654867264</v>
      </c>
      <c r="AH39" s="15">
        <f t="shared" si="35"/>
        <v>0.10243902439024399</v>
      </c>
      <c r="AI39" s="15">
        <f t="shared" si="36"/>
        <v>0.25766871165644178</v>
      </c>
      <c r="AJ39" s="15">
        <f t="shared" si="37"/>
        <v>8.666666666666667E-2</v>
      </c>
      <c r="AK39" s="15">
        <f t="shared" si="38"/>
        <v>0.5</v>
      </c>
      <c r="AL39" s="15">
        <f t="shared" si="39"/>
        <v>0.49253731343283569</v>
      </c>
      <c r="AM39" s="5">
        <f t="shared" si="40"/>
        <v>4.4386422976501194E-2</v>
      </c>
    </row>
    <row r="40" spans="1:39">
      <c r="A40" t="s">
        <v>52</v>
      </c>
      <c r="B40" t="s">
        <v>53</v>
      </c>
      <c r="C40" s="60">
        <v>31</v>
      </c>
      <c r="D40" s="60">
        <v>12</v>
      </c>
      <c r="E40" s="60">
        <v>2016</v>
      </c>
      <c r="F40" s="101">
        <v>1.96</v>
      </c>
      <c r="G40" s="101">
        <v>1.9</v>
      </c>
      <c r="H40" s="69">
        <v>1.85</v>
      </c>
      <c r="I40" s="96">
        <v>1.81</v>
      </c>
      <c r="J40" s="57">
        <v>1.77</v>
      </c>
      <c r="K40" s="57">
        <v>1.73</v>
      </c>
      <c r="L40" s="57">
        <v>1.68</v>
      </c>
      <c r="M40" s="57">
        <v>1.52</v>
      </c>
      <c r="N40" s="57">
        <v>1.52</v>
      </c>
      <c r="O40" s="57">
        <v>1.52</v>
      </c>
      <c r="P40" s="57">
        <v>1.52</v>
      </c>
      <c r="Q40" s="57">
        <v>1.52</v>
      </c>
      <c r="R40" s="57">
        <v>1.52</v>
      </c>
      <c r="S40" s="57">
        <v>1.52</v>
      </c>
      <c r="T40" s="97">
        <f t="shared" si="21"/>
        <v>1.6671428571428568</v>
      </c>
      <c r="U40" s="4">
        <f t="shared" ca="1" si="22"/>
        <v>0</v>
      </c>
      <c r="V40" s="4">
        <f t="shared" ca="1" si="23"/>
        <v>108</v>
      </c>
      <c r="W40" s="4">
        <f t="shared" ca="1" si="24"/>
        <v>252</v>
      </c>
      <c r="X40" s="13">
        <f t="shared" ca="1" si="25"/>
        <v>1.865</v>
      </c>
      <c r="Y40" s="5">
        <f t="shared" ca="1" si="26"/>
        <v>0.11868037703513301</v>
      </c>
      <c r="Z40" s="15">
        <f t="shared" si="27"/>
        <v>3.1578947368421151E-2</v>
      </c>
      <c r="AA40" s="15">
        <f t="shared" si="28"/>
        <v>2.7027027027026973E-2</v>
      </c>
      <c r="AB40" s="15">
        <f t="shared" si="29"/>
        <v>2.2099447513812098E-2</v>
      </c>
      <c r="AC40" s="15">
        <f t="shared" si="30"/>
        <v>2.2598870056497189E-2</v>
      </c>
      <c r="AD40" s="15">
        <f t="shared" si="31"/>
        <v>2.3121387283236983E-2</v>
      </c>
      <c r="AE40" s="15">
        <f t="shared" si="32"/>
        <v>2.9761904761904878E-2</v>
      </c>
      <c r="AF40" s="15">
        <f t="shared" si="33"/>
        <v>0.10526315789473673</v>
      </c>
      <c r="AG40" s="15">
        <f t="shared" si="34"/>
        <v>0</v>
      </c>
      <c r="AH40" s="15">
        <f t="shared" si="35"/>
        <v>0</v>
      </c>
      <c r="AI40" s="15">
        <f t="shared" si="36"/>
        <v>0</v>
      </c>
      <c r="AJ40" s="15">
        <f t="shared" si="37"/>
        <v>0</v>
      </c>
      <c r="AK40" s="15">
        <f t="shared" si="38"/>
        <v>0</v>
      </c>
      <c r="AL40" s="15">
        <f t="shared" si="39"/>
        <v>0</v>
      </c>
      <c r="AM40" s="5">
        <f t="shared" si="40"/>
        <v>0</v>
      </c>
    </row>
    <row r="41" spans="1:39">
      <c r="A41" t="s">
        <v>54</v>
      </c>
      <c r="B41" t="s">
        <v>55</v>
      </c>
      <c r="C41" s="60">
        <v>30</v>
      </c>
      <c r="D41" s="60">
        <v>6</v>
      </c>
      <c r="E41" s="60">
        <v>2016</v>
      </c>
      <c r="F41" s="101">
        <v>1.64</v>
      </c>
      <c r="G41" s="101">
        <v>1.54</v>
      </c>
      <c r="H41" s="69">
        <v>1.41</v>
      </c>
      <c r="I41" s="96">
        <v>1.24</v>
      </c>
      <c r="J41" s="57">
        <v>1.1200000000000001</v>
      </c>
      <c r="K41" s="57">
        <v>0.92</v>
      </c>
      <c r="L41" s="57">
        <v>0.8</v>
      </c>
      <c r="M41" s="57">
        <v>0.64</v>
      </c>
      <c r="N41" s="57">
        <v>0.52</v>
      </c>
      <c r="O41" s="57">
        <v>0.52</v>
      </c>
      <c r="P41" s="57">
        <v>0.44</v>
      </c>
      <c r="Q41" s="57">
        <v>0.4</v>
      </c>
      <c r="R41" s="57">
        <v>0.35</v>
      </c>
      <c r="S41" s="57">
        <v>0.34</v>
      </c>
      <c r="T41" s="97">
        <f t="shared" si="21"/>
        <v>0.84857142857142853</v>
      </c>
      <c r="U41" s="4">
        <f t="shared" ca="1" si="22"/>
        <v>0</v>
      </c>
      <c r="V41" s="4">
        <f t="shared" ca="1" si="23"/>
        <v>289</v>
      </c>
      <c r="W41" s="4">
        <f t="shared" ca="1" si="24"/>
        <v>71</v>
      </c>
      <c r="X41" s="13">
        <f t="shared" ca="1" si="25"/>
        <v>1.514361111111111</v>
      </c>
      <c r="Y41" s="5">
        <f t="shared" ca="1" si="26"/>
        <v>0.78460063598952479</v>
      </c>
      <c r="Z41" s="15">
        <f t="shared" si="27"/>
        <v>6.4935064935064846E-2</v>
      </c>
      <c r="AA41" s="15">
        <f t="shared" si="28"/>
        <v>9.219858156028371E-2</v>
      </c>
      <c r="AB41" s="15">
        <f t="shared" si="29"/>
        <v>0.13709677419354827</v>
      </c>
      <c r="AC41" s="15">
        <f t="shared" si="30"/>
        <v>0.10714285714285698</v>
      </c>
      <c r="AD41" s="15">
        <f t="shared" si="31"/>
        <v>0.21739130434782616</v>
      </c>
      <c r="AE41" s="15">
        <f t="shared" si="32"/>
        <v>0.14999999999999991</v>
      </c>
      <c r="AF41" s="15">
        <f t="shared" si="33"/>
        <v>0.25</v>
      </c>
      <c r="AG41" s="15">
        <f t="shared" si="34"/>
        <v>0.23076923076923084</v>
      </c>
      <c r="AH41" s="15">
        <f t="shared" si="35"/>
        <v>0</v>
      </c>
      <c r="AI41" s="15">
        <f t="shared" si="36"/>
        <v>0.18181818181818188</v>
      </c>
      <c r="AJ41" s="15">
        <f t="shared" si="37"/>
        <v>9.9999999999999867E-2</v>
      </c>
      <c r="AK41" s="15">
        <f t="shared" si="38"/>
        <v>0.14285714285714302</v>
      </c>
      <c r="AL41" s="15">
        <f t="shared" si="39"/>
        <v>2.9411764705882248E-2</v>
      </c>
      <c r="AM41" s="5">
        <f t="shared" si="40"/>
        <v>0</v>
      </c>
    </row>
    <row r="42" spans="1:39">
      <c r="A42" t="s">
        <v>56</v>
      </c>
      <c r="B42" t="s">
        <v>57</v>
      </c>
      <c r="C42" s="60">
        <v>31</v>
      </c>
      <c r="D42" s="60">
        <v>12</v>
      </c>
      <c r="E42" s="60">
        <v>2016</v>
      </c>
      <c r="F42" s="101">
        <v>0.81</v>
      </c>
      <c r="G42" s="101">
        <v>0.76</v>
      </c>
      <c r="H42" s="69">
        <v>0.68</v>
      </c>
      <c r="I42" s="96">
        <v>0.64</v>
      </c>
      <c r="J42" s="57">
        <v>0.57999999999999996</v>
      </c>
      <c r="K42" s="57">
        <v>0.54</v>
      </c>
      <c r="L42" s="58">
        <v>0.35734072022160668</v>
      </c>
      <c r="M42" s="58">
        <v>0.28342569269521412</v>
      </c>
      <c r="N42" s="58">
        <v>0.12312849162011172</v>
      </c>
      <c r="O42" s="58">
        <v>0.17492063492063489</v>
      </c>
      <c r="P42" s="58">
        <v>4.080971659919029E-2</v>
      </c>
      <c r="Q42" s="57"/>
      <c r="R42" s="57"/>
      <c r="S42" s="57"/>
      <c r="T42" s="97">
        <f t="shared" si="21"/>
        <v>0.45360229600515978</v>
      </c>
      <c r="U42" s="4">
        <f t="shared" ca="1" si="22"/>
        <v>0</v>
      </c>
      <c r="V42" s="4">
        <f t="shared" ca="1" si="23"/>
        <v>108</v>
      </c>
      <c r="W42" s="4">
        <f t="shared" ca="1" si="24"/>
        <v>252</v>
      </c>
      <c r="X42" s="13">
        <f t="shared" ca="1" si="25"/>
        <v>0.70400000000000007</v>
      </c>
      <c r="Y42" s="5">
        <f t="shared" ca="1" si="26"/>
        <v>0.55202036277169109</v>
      </c>
      <c r="Z42" s="15">
        <f t="shared" si="27"/>
        <v>6.578947368421062E-2</v>
      </c>
      <c r="AA42" s="15">
        <f t="shared" si="28"/>
        <v>0.11764705882352944</v>
      </c>
      <c r="AB42" s="15">
        <f t="shared" si="29"/>
        <v>6.25E-2</v>
      </c>
      <c r="AC42" s="15">
        <f t="shared" si="30"/>
        <v>0.10344827586206917</v>
      </c>
      <c r="AD42" s="15">
        <f t="shared" si="31"/>
        <v>7.4074074074073959E-2</v>
      </c>
      <c r="AE42" s="15">
        <f t="shared" si="32"/>
        <v>0.51116279069767434</v>
      </c>
      <c r="AF42" s="15">
        <f t="shared" si="33"/>
        <v>0.26079155641644025</v>
      </c>
      <c r="AG42" s="15">
        <f t="shared" si="34"/>
        <v>1.3018692827787355</v>
      </c>
      <c r="AH42" s="15">
        <f t="shared" si="35"/>
        <v>-0.2960893854748603</v>
      </c>
      <c r="AI42" s="15">
        <f t="shared" si="36"/>
        <v>3.2862496850592073</v>
      </c>
      <c r="AJ42" s="15" t="str">
        <f t="shared" si="37"/>
        <v/>
      </c>
      <c r="AK42" s="15" t="str">
        <f t="shared" si="38"/>
        <v/>
      </c>
      <c r="AL42" s="15" t="str">
        <f t="shared" si="39"/>
        <v/>
      </c>
      <c r="AM42" s="5">
        <f t="shared" si="40"/>
        <v>-0.2960893854748603</v>
      </c>
    </row>
    <row r="43" spans="1:39">
      <c r="A43" t="s">
        <v>58</v>
      </c>
      <c r="B43" t="s">
        <v>59</v>
      </c>
      <c r="C43" s="60">
        <v>31</v>
      </c>
      <c r="D43" s="60">
        <v>8</v>
      </c>
      <c r="E43" s="60">
        <v>2016</v>
      </c>
      <c r="F43" s="101">
        <v>2.4</v>
      </c>
      <c r="G43" s="101">
        <v>2.29</v>
      </c>
      <c r="H43" s="69">
        <v>2.13</v>
      </c>
      <c r="I43" s="96">
        <v>2.0099999999999998</v>
      </c>
      <c r="J43" s="57">
        <v>1.78</v>
      </c>
      <c r="K43" s="57">
        <v>1.56</v>
      </c>
      <c r="L43" s="57">
        <v>1.28</v>
      </c>
      <c r="M43" s="57">
        <v>1.1399999999999999</v>
      </c>
      <c r="N43" s="57">
        <v>1.08</v>
      </c>
      <c r="O43" s="57">
        <v>1.04</v>
      </c>
      <c r="P43" s="57">
        <v>0.83</v>
      </c>
      <c r="Q43" s="57">
        <v>0.55000000000000004</v>
      </c>
      <c r="R43" s="57">
        <v>0.4</v>
      </c>
      <c r="S43" s="57">
        <v>0.34</v>
      </c>
      <c r="T43" s="97">
        <f t="shared" si="21"/>
        <v>1.3449999999999995</v>
      </c>
      <c r="U43" s="4">
        <f t="shared" ca="1" si="22"/>
        <v>0</v>
      </c>
      <c r="V43" s="4">
        <f t="shared" ca="1" si="23"/>
        <v>228</v>
      </c>
      <c r="W43" s="4">
        <f t="shared" ca="1" si="24"/>
        <v>132</v>
      </c>
      <c r="X43" s="13">
        <f t="shared" ca="1" si="25"/>
        <v>2.2313333333333332</v>
      </c>
      <c r="Y43" s="5">
        <f t="shared" ca="1" si="26"/>
        <v>0.65898389095415166</v>
      </c>
      <c r="Z43" s="15">
        <f t="shared" si="27"/>
        <v>4.8034934497816595E-2</v>
      </c>
      <c r="AA43" s="15">
        <f t="shared" si="28"/>
        <v>7.5117370892018753E-2</v>
      </c>
      <c r="AB43" s="15">
        <f t="shared" si="29"/>
        <v>5.9701492537313383E-2</v>
      </c>
      <c r="AC43" s="15">
        <f t="shared" si="30"/>
        <v>0.12921348314606718</v>
      </c>
      <c r="AD43" s="15">
        <f t="shared" si="31"/>
        <v>0.14102564102564097</v>
      </c>
      <c r="AE43" s="15">
        <f t="shared" si="32"/>
        <v>0.21875</v>
      </c>
      <c r="AF43" s="15">
        <f t="shared" si="33"/>
        <v>0.12280701754385981</v>
      </c>
      <c r="AG43" s="15">
        <f t="shared" si="34"/>
        <v>5.5555555555555358E-2</v>
      </c>
      <c r="AH43" s="15">
        <f t="shared" si="35"/>
        <v>3.8461538461538547E-2</v>
      </c>
      <c r="AI43" s="15">
        <f t="shared" si="36"/>
        <v>0.25301204819277112</v>
      </c>
      <c r="AJ43" s="15">
        <f t="shared" si="37"/>
        <v>0.50909090909090882</v>
      </c>
      <c r="AK43" s="15">
        <f t="shared" si="38"/>
        <v>0.375</v>
      </c>
      <c r="AL43" s="15">
        <f t="shared" si="39"/>
        <v>0.17647058823529416</v>
      </c>
      <c r="AM43" s="5">
        <f t="shared" si="40"/>
        <v>3.8461538461538547E-2</v>
      </c>
    </row>
    <row r="44" spans="1:39">
      <c r="A44" t="s">
        <v>60</v>
      </c>
      <c r="B44" t="s">
        <v>61</v>
      </c>
      <c r="C44" s="60">
        <v>31</v>
      </c>
      <c r="D44" s="60">
        <v>5</v>
      </c>
      <c r="E44" s="60">
        <v>2016</v>
      </c>
      <c r="F44" s="101">
        <v>0.6</v>
      </c>
      <c r="G44" s="101">
        <v>0.56999999999999995</v>
      </c>
      <c r="H44" s="69">
        <v>0.56000000000000005</v>
      </c>
      <c r="I44" s="96">
        <v>0.51</v>
      </c>
      <c r="J44" s="57">
        <v>0.48</v>
      </c>
      <c r="K44" s="57">
        <v>0.3</v>
      </c>
      <c r="L44" s="57">
        <v>0.24</v>
      </c>
      <c r="M44" s="57">
        <v>0.21</v>
      </c>
      <c r="N44" s="57">
        <v>0.2</v>
      </c>
      <c r="O44" s="57">
        <v>0.05</v>
      </c>
      <c r="P44" s="57">
        <v>0</v>
      </c>
      <c r="Q44" s="57">
        <v>0</v>
      </c>
      <c r="R44" s="57">
        <v>0</v>
      </c>
      <c r="S44" s="57">
        <v>0</v>
      </c>
      <c r="T44" s="97">
        <f t="shared" si="21"/>
        <v>0.26571428571428568</v>
      </c>
      <c r="U44" s="4">
        <f t="shared" ca="1" si="22"/>
        <v>0</v>
      </c>
      <c r="V44" s="4">
        <f t="shared" ca="1" si="23"/>
        <v>318</v>
      </c>
      <c r="W44" s="4">
        <f t="shared" ca="1" si="24"/>
        <v>42</v>
      </c>
      <c r="X44" s="13">
        <f t="shared" ca="1" si="25"/>
        <v>0.5688333333333333</v>
      </c>
      <c r="Y44" s="5">
        <f t="shared" ca="1" si="26"/>
        <v>1.1407706093189964</v>
      </c>
      <c r="Z44" s="15">
        <f t="shared" si="27"/>
        <v>5.2631578947368363E-2</v>
      </c>
      <c r="AA44" s="15">
        <f t="shared" si="28"/>
        <v>1.7857142857142572E-2</v>
      </c>
      <c r="AB44" s="15">
        <f t="shared" si="29"/>
        <v>9.8039215686274606E-2</v>
      </c>
      <c r="AC44" s="15">
        <f t="shared" si="30"/>
        <v>6.25E-2</v>
      </c>
      <c r="AD44" s="15">
        <f t="shared" si="31"/>
        <v>0.60000000000000009</v>
      </c>
      <c r="AE44" s="15">
        <f t="shared" si="32"/>
        <v>0.25</v>
      </c>
      <c r="AF44" s="15">
        <f t="shared" si="33"/>
        <v>0.14285714285714279</v>
      </c>
      <c r="AG44" s="15">
        <f t="shared" si="34"/>
        <v>4.9999999999999822E-2</v>
      </c>
      <c r="AH44" s="15">
        <f t="shared" si="35"/>
        <v>3</v>
      </c>
      <c r="AI44" s="15">
        <f t="shared" si="36"/>
        <v>1</v>
      </c>
      <c r="AJ44" s="15">
        <f t="shared" si="37"/>
        <v>0</v>
      </c>
      <c r="AK44" s="15">
        <f t="shared" si="38"/>
        <v>0</v>
      </c>
      <c r="AL44" s="15">
        <f t="shared" si="39"/>
        <v>0</v>
      </c>
      <c r="AM44" s="5">
        <f t="shared" si="40"/>
        <v>0</v>
      </c>
    </row>
    <row r="45" spans="1:39">
      <c r="A45" t="s">
        <v>62</v>
      </c>
      <c r="B45" t="s">
        <v>63</v>
      </c>
      <c r="C45" s="60">
        <v>31</v>
      </c>
      <c r="D45" s="60">
        <v>12</v>
      </c>
      <c r="E45" s="60">
        <v>2016</v>
      </c>
      <c r="F45" s="101">
        <v>3.41</v>
      </c>
      <c r="G45" s="101">
        <v>3.16</v>
      </c>
      <c r="H45" s="69">
        <v>2.94</v>
      </c>
      <c r="I45" s="96">
        <v>2.76</v>
      </c>
      <c r="J45" s="57">
        <v>2.5299999999999998</v>
      </c>
      <c r="K45" s="57">
        <v>2.2400000000000002</v>
      </c>
      <c r="L45" s="57">
        <v>2.13</v>
      </c>
      <c r="M45" s="57">
        <v>2.0299999999999998</v>
      </c>
      <c r="N45" s="57">
        <v>1.89</v>
      </c>
      <c r="O45" s="57">
        <v>1.78</v>
      </c>
      <c r="P45" s="57">
        <v>1.65</v>
      </c>
      <c r="Q45" s="57">
        <v>1.43</v>
      </c>
      <c r="R45" s="57">
        <v>1.1599999999999999</v>
      </c>
      <c r="S45" s="57">
        <v>1.01</v>
      </c>
      <c r="T45" s="97">
        <f t="shared" si="21"/>
        <v>2.1514285714285717</v>
      </c>
      <c r="U45" s="4">
        <f t="shared" ca="1" si="22"/>
        <v>0</v>
      </c>
      <c r="V45" s="4">
        <f t="shared" ca="1" si="23"/>
        <v>108</v>
      </c>
      <c r="W45" s="4">
        <f t="shared" ca="1" si="24"/>
        <v>252</v>
      </c>
      <c r="X45" s="13">
        <f t="shared" ca="1" si="25"/>
        <v>3.0059999999999998</v>
      </c>
      <c r="Y45" s="5">
        <f t="shared" ca="1" si="26"/>
        <v>0.39721115537848584</v>
      </c>
      <c r="Z45" s="15">
        <f t="shared" si="27"/>
        <v>7.9113924050632889E-2</v>
      </c>
      <c r="AA45" s="15">
        <f t="shared" si="28"/>
        <v>7.4829931972789199E-2</v>
      </c>
      <c r="AB45" s="15">
        <f t="shared" si="29"/>
        <v>6.5217391304347894E-2</v>
      </c>
      <c r="AC45" s="15">
        <f t="shared" si="30"/>
        <v>9.0909090909090828E-2</v>
      </c>
      <c r="AD45" s="15">
        <f t="shared" si="31"/>
        <v>0.12946428571428559</v>
      </c>
      <c r="AE45" s="15">
        <f t="shared" si="32"/>
        <v>5.164319248826299E-2</v>
      </c>
      <c r="AF45" s="15">
        <f t="shared" si="33"/>
        <v>4.9261083743842304E-2</v>
      </c>
      <c r="AG45" s="15">
        <f t="shared" si="34"/>
        <v>7.4074074074073959E-2</v>
      </c>
      <c r="AH45" s="15">
        <f t="shared" si="35"/>
        <v>6.1797752808988804E-2</v>
      </c>
      <c r="AI45" s="15">
        <f t="shared" si="36"/>
        <v>7.8787878787878851E-2</v>
      </c>
      <c r="AJ45" s="15">
        <f t="shared" si="37"/>
        <v>0.15384615384615374</v>
      </c>
      <c r="AK45" s="15">
        <f t="shared" si="38"/>
        <v>0.23275862068965525</v>
      </c>
      <c r="AL45" s="15">
        <f t="shared" si="39"/>
        <v>0.14851485148514842</v>
      </c>
      <c r="AM45" s="5">
        <f t="shared" si="40"/>
        <v>4.9261083743842304E-2</v>
      </c>
    </row>
    <row r="46" spans="1:39">
      <c r="A46" t="s">
        <v>64</v>
      </c>
      <c r="B46" t="s">
        <v>65</v>
      </c>
      <c r="C46" s="60">
        <v>31</v>
      </c>
      <c r="D46" s="60">
        <v>12</v>
      </c>
      <c r="E46" s="60">
        <v>2016</v>
      </c>
      <c r="F46" s="101">
        <v>1.33</v>
      </c>
      <c r="G46" s="101">
        <v>1.26</v>
      </c>
      <c r="H46" s="69">
        <v>1.19</v>
      </c>
      <c r="I46" s="96">
        <v>1.1200000000000001</v>
      </c>
      <c r="J46" s="57">
        <v>1.04</v>
      </c>
      <c r="K46" s="57">
        <v>0.96</v>
      </c>
      <c r="L46" s="57">
        <v>0.88</v>
      </c>
      <c r="M46" s="57">
        <v>0.8</v>
      </c>
      <c r="N46" s="57">
        <v>0.72</v>
      </c>
      <c r="O46" s="57">
        <v>0.8</v>
      </c>
      <c r="P46" s="57">
        <v>1.28</v>
      </c>
      <c r="Q46" s="57">
        <v>1.1599999999999999</v>
      </c>
      <c r="R46" s="57">
        <v>0.96</v>
      </c>
      <c r="S46" s="57">
        <v>0.76</v>
      </c>
      <c r="T46" s="97">
        <f t="shared" si="21"/>
        <v>1.0185714285714285</v>
      </c>
      <c r="U46" s="4">
        <f t="shared" ca="1" si="22"/>
        <v>0</v>
      </c>
      <c r="V46" s="4">
        <f t="shared" ca="1" si="23"/>
        <v>108</v>
      </c>
      <c r="W46" s="4">
        <f t="shared" ca="1" si="24"/>
        <v>252</v>
      </c>
      <c r="X46" s="13">
        <f t="shared" ca="1" si="25"/>
        <v>1.2109999999999999</v>
      </c>
      <c r="Y46" s="5">
        <f t="shared" ca="1" si="26"/>
        <v>0.18892005610098184</v>
      </c>
      <c r="Z46" s="15">
        <f t="shared" si="27"/>
        <v>5.555555555555558E-2</v>
      </c>
      <c r="AA46" s="15">
        <f t="shared" si="28"/>
        <v>5.8823529411764719E-2</v>
      </c>
      <c r="AB46" s="15">
        <f t="shared" si="29"/>
        <v>6.2499999999999778E-2</v>
      </c>
      <c r="AC46" s="15">
        <f t="shared" si="30"/>
        <v>7.6923076923077094E-2</v>
      </c>
      <c r="AD46" s="15">
        <f t="shared" si="31"/>
        <v>8.3333333333333481E-2</v>
      </c>
      <c r="AE46" s="15">
        <f t="shared" si="32"/>
        <v>9.0909090909090828E-2</v>
      </c>
      <c r="AF46" s="15">
        <f t="shared" si="33"/>
        <v>9.9999999999999867E-2</v>
      </c>
      <c r="AG46" s="15">
        <f t="shared" si="34"/>
        <v>0.11111111111111116</v>
      </c>
      <c r="AH46" s="15">
        <f t="shared" si="35"/>
        <v>-0.10000000000000009</v>
      </c>
      <c r="AI46" s="15">
        <f t="shared" si="36"/>
        <v>-0.375</v>
      </c>
      <c r="AJ46" s="15">
        <f t="shared" si="37"/>
        <v>0.10344827586206917</v>
      </c>
      <c r="AK46" s="15">
        <f t="shared" si="38"/>
        <v>0.20833333333333326</v>
      </c>
      <c r="AL46" s="15">
        <f t="shared" si="39"/>
        <v>0.26315789473684204</v>
      </c>
      <c r="AM46" s="5">
        <f t="shared" si="40"/>
        <v>-0.375</v>
      </c>
    </row>
    <row r="47" spans="1:39">
      <c r="A47" t="s">
        <v>66</v>
      </c>
      <c r="B47" t="s">
        <v>67</v>
      </c>
      <c r="C47" s="60">
        <v>31</v>
      </c>
      <c r="D47" s="60">
        <v>12</v>
      </c>
      <c r="E47" s="60">
        <v>2016</v>
      </c>
      <c r="F47" s="101">
        <v>4.59</v>
      </c>
      <c r="G47" s="101">
        <v>4.32</v>
      </c>
      <c r="H47" s="69">
        <v>4.13</v>
      </c>
      <c r="I47" s="96">
        <v>4.04</v>
      </c>
      <c r="J47" s="57">
        <v>3.88</v>
      </c>
      <c r="K47" s="57">
        <v>3.58</v>
      </c>
      <c r="L47" s="57">
        <v>3.24</v>
      </c>
      <c r="M47" s="57">
        <v>2.82</v>
      </c>
      <c r="N47" s="57">
        <v>2.44</v>
      </c>
      <c r="O47" s="57">
        <v>2.2400000000000002</v>
      </c>
      <c r="P47" s="57">
        <v>1.54</v>
      </c>
      <c r="Q47" s="57"/>
      <c r="R47" s="57"/>
      <c r="S47" s="57"/>
      <c r="T47" s="97">
        <f t="shared" si="21"/>
        <v>3.3472727272727272</v>
      </c>
      <c r="U47" s="4">
        <f t="shared" ca="1" si="22"/>
        <v>0</v>
      </c>
      <c r="V47" s="4">
        <f t="shared" ca="1" si="23"/>
        <v>108</v>
      </c>
      <c r="W47" s="4">
        <f t="shared" ca="1" si="24"/>
        <v>252</v>
      </c>
      <c r="X47" s="13">
        <f t="shared" ca="1" si="25"/>
        <v>4.1870000000000003</v>
      </c>
      <c r="Y47" s="5">
        <f t="shared" ca="1" si="26"/>
        <v>0.25086909288430204</v>
      </c>
      <c r="Z47" s="15">
        <f t="shared" si="27"/>
        <v>6.25E-2</v>
      </c>
      <c r="AA47" s="15">
        <f t="shared" si="28"/>
        <v>4.6004842615012143E-2</v>
      </c>
      <c r="AB47" s="15">
        <f t="shared" si="29"/>
        <v>2.2277227722772297E-2</v>
      </c>
      <c r="AC47" s="15">
        <f t="shared" si="30"/>
        <v>4.1237113402061931E-2</v>
      </c>
      <c r="AD47" s="15">
        <f t="shared" si="31"/>
        <v>8.3798882681564102E-2</v>
      </c>
      <c r="AE47" s="15">
        <f t="shared" si="32"/>
        <v>0.10493827160493829</v>
      </c>
      <c r="AF47" s="15">
        <f t="shared" si="33"/>
        <v>0.14893617021276606</v>
      </c>
      <c r="AG47" s="15">
        <f t="shared" si="34"/>
        <v>0.15573770491803285</v>
      </c>
      <c r="AH47" s="15">
        <f t="shared" si="35"/>
        <v>8.9285714285714191E-2</v>
      </c>
      <c r="AI47" s="15">
        <f t="shared" si="36"/>
        <v>0.45454545454545459</v>
      </c>
      <c r="AJ47" s="15" t="str">
        <f t="shared" si="37"/>
        <v/>
      </c>
      <c r="AK47" s="15" t="str">
        <f t="shared" si="38"/>
        <v/>
      </c>
      <c r="AL47" s="15" t="str">
        <f t="shared" si="39"/>
        <v/>
      </c>
      <c r="AM47" s="5">
        <f t="shared" si="40"/>
        <v>2.2277227722772297E-2</v>
      </c>
    </row>
    <row r="48" spans="1:39">
      <c r="A48" t="s">
        <v>68</v>
      </c>
      <c r="B48" t="s">
        <v>69</v>
      </c>
      <c r="C48" s="60">
        <v>30</v>
      </c>
      <c r="D48" s="60">
        <v>6</v>
      </c>
      <c r="E48" s="60">
        <v>2016</v>
      </c>
      <c r="F48" s="101">
        <v>3.1</v>
      </c>
      <c r="G48" s="101">
        <v>2.85</v>
      </c>
      <c r="H48" s="69">
        <v>2.68</v>
      </c>
      <c r="I48" s="96">
        <v>2.59</v>
      </c>
      <c r="J48" s="57">
        <v>2.4500000000000002</v>
      </c>
      <c r="K48" s="57">
        <v>2.29</v>
      </c>
      <c r="L48" s="57">
        <v>2.14</v>
      </c>
      <c r="M48" s="57">
        <v>1.97</v>
      </c>
      <c r="N48" s="57">
        <v>1.8</v>
      </c>
      <c r="O48" s="57">
        <v>1.64</v>
      </c>
      <c r="P48" s="57">
        <v>1.45</v>
      </c>
      <c r="Q48" s="57">
        <v>1.28</v>
      </c>
      <c r="R48" s="57">
        <v>1.1499999999999999</v>
      </c>
      <c r="S48" s="57">
        <v>1.03</v>
      </c>
      <c r="T48" s="97">
        <f t="shared" si="21"/>
        <v>2.0300000000000002</v>
      </c>
      <c r="U48" s="4">
        <f t="shared" ca="1" si="22"/>
        <v>0</v>
      </c>
      <c r="V48" s="4">
        <f t="shared" ca="1" si="23"/>
        <v>289</v>
      </c>
      <c r="W48" s="4">
        <f t="shared" ca="1" si="24"/>
        <v>71</v>
      </c>
      <c r="X48" s="13">
        <f t="shared" ca="1" si="25"/>
        <v>2.8164722222222225</v>
      </c>
      <c r="Y48" s="5">
        <f t="shared" ca="1" si="26"/>
        <v>0.38742474001094696</v>
      </c>
      <c r="Z48" s="15">
        <f t="shared" si="27"/>
        <v>8.7719298245614086E-2</v>
      </c>
      <c r="AA48" s="15">
        <f t="shared" si="28"/>
        <v>6.3432835820895539E-2</v>
      </c>
      <c r="AB48" s="15">
        <f t="shared" si="29"/>
        <v>3.4749034749034902E-2</v>
      </c>
      <c r="AC48" s="15">
        <f t="shared" si="30"/>
        <v>5.714285714285694E-2</v>
      </c>
      <c r="AD48" s="15">
        <f t="shared" si="31"/>
        <v>6.9868995633187936E-2</v>
      </c>
      <c r="AE48" s="15">
        <f t="shared" si="32"/>
        <v>7.0093457943925186E-2</v>
      </c>
      <c r="AF48" s="15">
        <f t="shared" si="33"/>
        <v>8.629441624365497E-2</v>
      </c>
      <c r="AG48" s="15">
        <f t="shared" si="34"/>
        <v>9.4444444444444331E-2</v>
      </c>
      <c r="AH48" s="15">
        <f t="shared" si="35"/>
        <v>9.7560975609756184E-2</v>
      </c>
      <c r="AI48" s="15">
        <f t="shared" si="36"/>
        <v>0.13103448275862073</v>
      </c>
      <c r="AJ48" s="15">
        <f t="shared" si="37"/>
        <v>0.1328125</v>
      </c>
      <c r="AK48" s="15">
        <f t="shared" si="38"/>
        <v>0.11304347826086958</v>
      </c>
      <c r="AL48" s="15">
        <f t="shared" si="39"/>
        <v>0.11650485436893199</v>
      </c>
      <c r="AM48" s="5">
        <f t="shared" si="40"/>
        <v>3.4749034749034902E-2</v>
      </c>
    </row>
    <row r="49" spans="1:39">
      <c r="A49" t="s">
        <v>70</v>
      </c>
      <c r="B49" t="s">
        <v>71</v>
      </c>
      <c r="C49" s="60">
        <v>31</v>
      </c>
      <c r="D49" s="60">
        <v>12</v>
      </c>
      <c r="E49" s="60">
        <v>2016</v>
      </c>
      <c r="F49" s="101">
        <v>2.41</v>
      </c>
      <c r="G49" s="101">
        <v>2.34</v>
      </c>
      <c r="H49" s="69">
        <v>2.2799999999999998</v>
      </c>
      <c r="I49" s="96">
        <v>2.23</v>
      </c>
      <c r="J49" s="57">
        <v>2.16</v>
      </c>
      <c r="K49" s="57">
        <v>2.09</v>
      </c>
      <c r="L49" s="57">
        <v>2.0299999999999998</v>
      </c>
      <c r="M49" s="57">
        <v>1.98</v>
      </c>
      <c r="N49" s="57">
        <v>1.93</v>
      </c>
      <c r="O49" s="57">
        <v>1.87</v>
      </c>
      <c r="P49" s="57">
        <v>1.78</v>
      </c>
      <c r="Q49" s="57">
        <v>1.67</v>
      </c>
      <c r="R49" s="57">
        <v>1.62</v>
      </c>
      <c r="S49" s="57">
        <v>1.62</v>
      </c>
      <c r="T49" s="97">
        <f t="shared" si="21"/>
        <v>2.0007142857142859</v>
      </c>
      <c r="U49" s="4">
        <f t="shared" ca="1" si="22"/>
        <v>0</v>
      </c>
      <c r="V49" s="4">
        <f t="shared" ca="1" si="23"/>
        <v>108</v>
      </c>
      <c r="W49" s="4">
        <f t="shared" ca="1" si="24"/>
        <v>252</v>
      </c>
      <c r="X49" s="13">
        <f t="shared" ca="1" si="25"/>
        <v>2.298</v>
      </c>
      <c r="Y49" s="5">
        <f t="shared" ca="1" si="26"/>
        <v>0.14858978936094247</v>
      </c>
      <c r="Z49" s="15">
        <f t="shared" si="27"/>
        <v>2.991452991453003E-2</v>
      </c>
      <c r="AA49" s="15">
        <f t="shared" si="28"/>
        <v>2.6315789473684292E-2</v>
      </c>
      <c r="AB49" s="15">
        <f t="shared" si="29"/>
        <v>2.2421524663676973E-2</v>
      </c>
      <c r="AC49" s="15">
        <f t="shared" si="30"/>
        <v>3.240740740740744E-2</v>
      </c>
      <c r="AD49" s="15">
        <f t="shared" si="31"/>
        <v>3.3492822966507241E-2</v>
      </c>
      <c r="AE49" s="15">
        <f t="shared" si="32"/>
        <v>2.9556650246305383E-2</v>
      </c>
      <c r="AF49" s="15">
        <f t="shared" si="33"/>
        <v>2.5252525252525082E-2</v>
      </c>
      <c r="AG49" s="15">
        <f t="shared" si="34"/>
        <v>2.5906735751295429E-2</v>
      </c>
      <c r="AH49" s="15">
        <f t="shared" si="35"/>
        <v>3.2085561497326109E-2</v>
      </c>
      <c r="AI49" s="15">
        <f t="shared" si="36"/>
        <v>5.0561797752809001E-2</v>
      </c>
      <c r="AJ49" s="15">
        <f t="shared" si="37"/>
        <v>6.5868263473053856E-2</v>
      </c>
      <c r="AK49" s="15">
        <f t="shared" si="38"/>
        <v>3.0864197530864113E-2</v>
      </c>
      <c r="AL49" s="15">
        <f t="shared" si="39"/>
        <v>0</v>
      </c>
      <c r="AM49" s="5">
        <f t="shared" si="40"/>
        <v>0</v>
      </c>
    </row>
    <row r="50" spans="1:39">
      <c r="A50" s="52" t="s">
        <v>260</v>
      </c>
      <c r="B50" s="52" t="s">
        <v>265</v>
      </c>
      <c r="C50" s="104">
        <v>30</v>
      </c>
      <c r="D50" s="104">
        <v>9</v>
      </c>
      <c r="E50" s="104">
        <v>2016</v>
      </c>
      <c r="F50" s="101">
        <v>0.71</v>
      </c>
      <c r="G50" s="101">
        <v>0.63</v>
      </c>
      <c r="H50" s="69">
        <v>0.55000000000000004</v>
      </c>
      <c r="I50" s="96">
        <v>0.48</v>
      </c>
      <c r="J50" s="57">
        <v>0.4</v>
      </c>
      <c r="K50" s="57">
        <v>0.35</v>
      </c>
      <c r="L50" s="57">
        <v>0.25</v>
      </c>
      <c r="M50" s="57">
        <v>0.15</v>
      </c>
      <c r="N50" s="57">
        <v>0.13</v>
      </c>
      <c r="O50" s="57">
        <v>0.11</v>
      </c>
      <c r="P50" s="57">
        <v>2.5999999999999999E-2</v>
      </c>
      <c r="Q50" s="57"/>
      <c r="R50" s="57"/>
      <c r="S50" s="57"/>
      <c r="T50" s="97">
        <f t="shared" si="21"/>
        <v>0.34418181818181814</v>
      </c>
      <c r="U50" s="4">
        <f t="shared" ca="1" si="22"/>
        <v>0</v>
      </c>
      <c r="V50" s="4">
        <f t="shared" ca="1" si="23"/>
        <v>199</v>
      </c>
      <c r="W50" s="4">
        <f t="shared" ca="1" si="24"/>
        <v>161</v>
      </c>
      <c r="X50" s="13">
        <f t="shared" ca="1" si="25"/>
        <v>0.59422222222222221</v>
      </c>
      <c r="Y50" s="5">
        <f t="shared" ca="1" si="26"/>
        <v>0.72647766625579635</v>
      </c>
      <c r="Z50" s="15">
        <f t="shared" si="27"/>
        <v>0.12698412698412698</v>
      </c>
      <c r="AA50" s="15">
        <f t="shared" si="28"/>
        <v>0.14545454545454528</v>
      </c>
      <c r="AB50" s="15">
        <f t="shared" si="29"/>
        <v>0.14583333333333348</v>
      </c>
      <c r="AC50" s="15">
        <f t="shared" si="30"/>
        <v>0.19999999999999996</v>
      </c>
      <c r="AD50" s="15">
        <f t="shared" si="31"/>
        <v>0.14285714285714302</v>
      </c>
      <c r="AE50" s="15">
        <f t="shared" si="32"/>
        <v>0.39999999999999991</v>
      </c>
      <c r="AF50" s="15">
        <f t="shared" si="33"/>
        <v>0.66666666666666674</v>
      </c>
      <c r="AG50" s="15">
        <f t="shared" si="34"/>
        <v>0.15384615384615374</v>
      </c>
      <c r="AH50" s="15">
        <f t="shared" si="35"/>
        <v>0.18181818181818188</v>
      </c>
      <c r="AI50" s="15">
        <f t="shared" si="36"/>
        <v>3.2307692307692308</v>
      </c>
      <c r="AJ50" s="15" t="str">
        <f t="shared" si="37"/>
        <v/>
      </c>
      <c r="AK50" s="15" t="str">
        <f t="shared" si="38"/>
        <v/>
      </c>
      <c r="AL50" s="15" t="str">
        <f t="shared" si="39"/>
        <v/>
      </c>
      <c r="AM50" s="5">
        <f t="shared" si="40"/>
        <v>0.12698412698412698</v>
      </c>
    </row>
    <row r="51" spans="1:39">
      <c r="A51" t="s">
        <v>72</v>
      </c>
      <c r="B51" t="s">
        <v>73</v>
      </c>
      <c r="C51" s="60">
        <v>31</v>
      </c>
      <c r="D51" s="60">
        <v>1</v>
      </c>
      <c r="E51" s="60">
        <v>2016</v>
      </c>
      <c r="F51" s="101">
        <v>2.0699999999999998</v>
      </c>
      <c r="G51" s="101">
        <v>2</v>
      </c>
      <c r="H51" s="96">
        <v>1.96</v>
      </c>
      <c r="I51" s="57">
        <v>1.92</v>
      </c>
      <c r="J51" s="57">
        <v>1.88</v>
      </c>
      <c r="K51" s="57">
        <v>1.59</v>
      </c>
      <c r="L51" s="57">
        <v>1.46</v>
      </c>
      <c r="M51" s="57">
        <v>1.21</v>
      </c>
      <c r="N51" s="57">
        <v>1.0900000000000001</v>
      </c>
      <c r="O51" s="57">
        <v>0.95</v>
      </c>
      <c r="P51" s="57">
        <v>0.88</v>
      </c>
      <c r="Q51" s="57">
        <v>0.67</v>
      </c>
      <c r="R51" s="57">
        <v>0.6</v>
      </c>
      <c r="S51" s="57">
        <v>0.52</v>
      </c>
      <c r="T51" s="97">
        <f t="shared" si="21"/>
        <v>1.342857142857143</v>
      </c>
      <c r="U51" s="4">
        <f t="shared" ca="1" si="22"/>
        <v>78</v>
      </c>
      <c r="V51" s="4">
        <f t="shared" ca="1" si="23"/>
        <v>282</v>
      </c>
      <c r="W51" s="4">
        <f t="shared" ca="1" si="24"/>
        <v>0</v>
      </c>
      <c r="X51" s="13">
        <f t="shared" ca="1" si="25"/>
        <v>2.0151666666666666</v>
      </c>
      <c r="Y51" s="5">
        <f t="shared" ca="1" si="26"/>
        <v>0.50065602836879419</v>
      </c>
      <c r="Z51" s="15">
        <f t="shared" si="27"/>
        <v>3.499999999999992E-2</v>
      </c>
      <c r="AA51" s="15">
        <f t="shared" si="28"/>
        <v>2.0408163265306145E-2</v>
      </c>
      <c r="AB51" s="15">
        <f t="shared" si="29"/>
        <v>2.0833333333333259E-2</v>
      </c>
      <c r="AC51" s="15">
        <f t="shared" si="30"/>
        <v>2.1276595744680771E-2</v>
      </c>
      <c r="AD51" s="15">
        <f t="shared" si="31"/>
        <v>0.1823899371069182</v>
      </c>
      <c r="AE51" s="15">
        <f t="shared" si="32"/>
        <v>8.9041095890411093E-2</v>
      </c>
      <c r="AF51" s="15">
        <f t="shared" si="33"/>
        <v>0.20661157024793386</v>
      </c>
      <c r="AG51" s="15">
        <f t="shared" si="34"/>
        <v>0.11009174311926584</v>
      </c>
      <c r="AH51" s="15">
        <f t="shared" si="35"/>
        <v>0.14736842105263182</v>
      </c>
      <c r="AI51" s="15">
        <f t="shared" si="36"/>
        <v>7.9545454545454586E-2</v>
      </c>
      <c r="AJ51" s="15">
        <f t="shared" si="37"/>
        <v>0.31343283582089554</v>
      </c>
      <c r="AK51" s="15">
        <f t="shared" si="38"/>
        <v>0.1166666666666667</v>
      </c>
      <c r="AL51" s="15">
        <f t="shared" si="39"/>
        <v>0.15384615384615374</v>
      </c>
      <c r="AM51" s="5">
        <f t="shared" si="40"/>
        <v>2.0408163265306145E-2</v>
      </c>
    </row>
    <row r="52" spans="1:39">
      <c r="A52" t="s">
        <v>74</v>
      </c>
      <c r="B52" t="s">
        <v>75</v>
      </c>
      <c r="C52" s="60">
        <v>31</v>
      </c>
      <c r="D52" s="60">
        <v>12</v>
      </c>
      <c r="E52" s="60">
        <v>2016</v>
      </c>
      <c r="F52" s="101">
        <v>4.57</v>
      </c>
      <c r="G52" s="101">
        <v>4.0999999999999996</v>
      </c>
      <c r="H52" s="69">
        <v>3.76</v>
      </c>
      <c r="I52" s="96">
        <v>3.6</v>
      </c>
      <c r="J52" s="57">
        <v>3</v>
      </c>
      <c r="K52" s="57">
        <v>2.0499999999999998</v>
      </c>
      <c r="L52" s="57">
        <v>2.23</v>
      </c>
      <c r="M52" s="57">
        <v>1.55</v>
      </c>
      <c r="N52" s="57">
        <v>1.07</v>
      </c>
      <c r="O52" s="57">
        <v>0.55000000000000004</v>
      </c>
      <c r="P52" s="57">
        <v>0.35</v>
      </c>
      <c r="Q52" s="57">
        <v>0.65</v>
      </c>
      <c r="R52" s="57">
        <v>0.95</v>
      </c>
      <c r="S52" s="57">
        <v>0.56999999999999995</v>
      </c>
      <c r="T52" s="97">
        <f t="shared" si="21"/>
        <v>2.0714285714285716</v>
      </c>
      <c r="U52" s="4">
        <f t="shared" ca="1" si="22"/>
        <v>0</v>
      </c>
      <c r="V52" s="4">
        <f t="shared" ca="1" si="23"/>
        <v>108</v>
      </c>
      <c r="W52" s="4">
        <f t="shared" ca="1" si="24"/>
        <v>252</v>
      </c>
      <c r="X52" s="13">
        <f t="shared" ca="1" si="25"/>
        <v>3.8619999999999992</v>
      </c>
      <c r="Y52" s="5">
        <f t="shared" ca="1" si="26"/>
        <v>0.86441379310344768</v>
      </c>
      <c r="Z52" s="15">
        <f t="shared" si="27"/>
        <v>0.11463414634146352</v>
      </c>
      <c r="AA52" s="15">
        <f t="shared" si="28"/>
        <v>9.0425531914893664E-2</v>
      </c>
      <c r="AB52" s="15">
        <f t="shared" si="29"/>
        <v>4.4444444444444287E-2</v>
      </c>
      <c r="AC52" s="15">
        <f t="shared" si="30"/>
        <v>0.19999999999999996</v>
      </c>
      <c r="AD52" s="15">
        <f t="shared" si="31"/>
        <v>0.46341463414634165</v>
      </c>
      <c r="AE52" s="15">
        <f t="shared" si="32"/>
        <v>-8.071748878923779E-2</v>
      </c>
      <c r="AF52" s="15">
        <f t="shared" si="33"/>
        <v>0.43870967741935485</v>
      </c>
      <c r="AG52" s="15">
        <f t="shared" si="34"/>
        <v>0.44859813084112155</v>
      </c>
      <c r="AH52" s="15">
        <f t="shared" si="35"/>
        <v>0.94545454545454533</v>
      </c>
      <c r="AI52" s="15">
        <f t="shared" si="36"/>
        <v>0.57142857142857162</v>
      </c>
      <c r="AJ52" s="15">
        <f t="shared" si="37"/>
        <v>-0.46153846153846156</v>
      </c>
      <c r="AK52" s="15">
        <f t="shared" si="38"/>
        <v>-0.31578947368421051</v>
      </c>
      <c r="AL52" s="15">
        <f t="shared" si="39"/>
        <v>0.66666666666666674</v>
      </c>
      <c r="AM52" s="5">
        <f t="shared" si="40"/>
        <v>-0.46153846153846156</v>
      </c>
    </row>
    <row r="53" spans="1:39">
      <c r="A53" t="s">
        <v>76</v>
      </c>
      <c r="B53" t="s">
        <v>77</v>
      </c>
      <c r="C53" s="60">
        <v>31</v>
      </c>
      <c r="D53" s="60">
        <v>12</v>
      </c>
      <c r="E53" s="60">
        <v>2016</v>
      </c>
      <c r="F53" s="101">
        <v>881</v>
      </c>
      <c r="G53" s="101">
        <v>835</v>
      </c>
      <c r="H53" s="69">
        <v>786</v>
      </c>
      <c r="I53" s="96">
        <v>800</v>
      </c>
      <c r="J53" s="57">
        <v>725</v>
      </c>
      <c r="K53" s="57">
        <v>650</v>
      </c>
      <c r="L53" s="57">
        <v>575</v>
      </c>
      <c r="M53" s="57">
        <v>500</v>
      </c>
      <c r="N53" s="57">
        <v>450</v>
      </c>
      <c r="O53" s="57">
        <v>400</v>
      </c>
      <c r="P53" s="57">
        <v>360</v>
      </c>
      <c r="Q53" s="57">
        <v>330</v>
      </c>
      <c r="R53" s="57">
        <v>275</v>
      </c>
      <c r="S53" s="57">
        <v>225</v>
      </c>
      <c r="T53" s="97">
        <f t="shared" si="21"/>
        <v>556.57142857142856</v>
      </c>
      <c r="U53" s="4">
        <f t="shared" ca="1" si="22"/>
        <v>0</v>
      </c>
      <c r="V53" s="4">
        <f t="shared" ca="1" si="23"/>
        <v>108</v>
      </c>
      <c r="W53" s="4">
        <f t="shared" ca="1" si="24"/>
        <v>252</v>
      </c>
      <c r="X53" s="13">
        <f t="shared" ca="1" si="25"/>
        <v>800.69999999999993</v>
      </c>
      <c r="Y53" s="5">
        <f t="shared" ca="1" si="26"/>
        <v>0.43862936344969183</v>
      </c>
      <c r="Z53" s="15">
        <f t="shared" si="27"/>
        <v>5.5089820359281338E-2</v>
      </c>
      <c r="AA53" s="15">
        <f t="shared" si="28"/>
        <v>6.2340966921119678E-2</v>
      </c>
      <c r="AB53" s="15">
        <f t="shared" si="29"/>
        <v>-1.749999999999996E-2</v>
      </c>
      <c r="AC53" s="15">
        <f t="shared" si="30"/>
        <v>0.10344827586206895</v>
      </c>
      <c r="AD53" s="15">
        <f t="shared" si="31"/>
        <v>0.11538461538461542</v>
      </c>
      <c r="AE53" s="15">
        <f t="shared" si="32"/>
        <v>0.13043478260869557</v>
      </c>
      <c r="AF53" s="15">
        <f t="shared" si="33"/>
        <v>0.14999999999999991</v>
      </c>
      <c r="AG53" s="15">
        <f t="shared" si="34"/>
        <v>0.11111111111111116</v>
      </c>
      <c r="AH53" s="15">
        <f t="shared" si="35"/>
        <v>0.125</v>
      </c>
      <c r="AI53" s="15">
        <f t="shared" si="36"/>
        <v>0.11111111111111116</v>
      </c>
      <c r="AJ53" s="15">
        <f t="shared" si="37"/>
        <v>9.0909090909090828E-2</v>
      </c>
      <c r="AK53" s="15">
        <f t="shared" si="38"/>
        <v>0.19999999999999996</v>
      </c>
      <c r="AL53" s="15">
        <f t="shared" si="39"/>
        <v>0.22222222222222232</v>
      </c>
      <c r="AM53" s="5">
        <f t="shared" si="40"/>
        <v>-1.749999999999996E-2</v>
      </c>
    </row>
    <row r="54" spans="1:39">
      <c r="A54" t="s">
        <v>79</v>
      </c>
      <c r="B54" t="s">
        <v>80</v>
      </c>
      <c r="C54" s="60">
        <v>31</v>
      </c>
      <c r="D54" s="60">
        <v>12</v>
      </c>
      <c r="E54" s="60">
        <v>2016</v>
      </c>
      <c r="F54" s="101">
        <v>1.81</v>
      </c>
      <c r="G54" s="101">
        <v>1.71</v>
      </c>
      <c r="H54" s="69">
        <v>1.57</v>
      </c>
      <c r="I54" s="96">
        <v>1.47</v>
      </c>
      <c r="J54" s="57">
        <v>1.31</v>
      </c>
      <c r="K54" s="57">
        <v>1.22</v>
      </c>
      <c r="L54" s="57">
        <v>0.95</v>
      </c>
      <c r="M54" s="57">
        <v>0.8</v>
      </c>
      <c r="N54" s="57">
        <v>0.72</v>
      </c>
      <c r="O54" s="57">
        <v>0.53</v>
      </c>
      <c r="P54" s="57">
        <v>0.53</v>
      </c>
      <c r="Q54" s="57">
        <v>0.53</v>
      </c>
      <c r="R54" s="57">
        <v>0.5</v>
      </c>
      <c r="S54" s="57">
        <v>0.45</v>
      </c>
      <c r="T54" s="97">
        <f t="shared" si="21"/>
        <v>1.0071428571428569</v>
      </c>
      <c r="U54" s="4">
        <f t="shared" ca="1" si="22"/>
        <v>0</v>
      </c>
      <c r="V54" s="4">
        <f t="shared" ca="1" si="23"/>
        <v>108</v>
      </c>
      <c r="W54" s="4">
        <f t="shared" ca="1" si="24"/>
        <v>252</v>
      </c>
      <c r="X54" s="13">
        <f t="shared" ca="1" si="25"/>
        <v>1.6120000000000001</v>
      </c>
      <c r="Y54" s="5">
        <f t="shared" ca="1" si="26"/>
        <v>0.60056737588652531</v>
      </c>
      <c r="Z54" s="15">
        <f t="shared" si="27"/>
        <v>5.8479532163742798E-2</v>
      </c>
      <c r="AA54" s="15">
        <f t="shared" si="28"/>
        <v>8.9171974522292974E-2</v>
      </c>
      <c r="AB54" s="15">
        <f t="shared" si="29"/>
        <v>6.8027210884353817E-2</v>
      </c>
      <c r="AC54" s="15">
        <f t="shared" si="30"/>
        <v>0.12213740458015265</v>
      </c>
      <c r="AD54" s="15">
        <f t="shared" si="31"/>
        <v>7.3770491803278659E-2</v>
      </c>
      <c r="AE54" s="15">
        <f t="shared" si="32"/>
        <v>0.28421052631578947</v>
      </c>
      <c r="AF54" s="15">
        <f t="shared" si="33"/>
        <v>0.18749999999999978</v>
      </c>
      <c r="AG54" s="15">
        <f t="shared" si="34"/>
        <v>0.11111111111111116</v>
      </c>
      <c r="AH54" s="15">
        <f t="shared" si="35"/>
        <v>0.35849056603773577</v>
      </c>
      <c r="AI54" s="15">
        <f t="shared" si="36"/>
        <v>0</v>
      </c>
      <c r="AJ54" s="15">
        <f t="shared" si="37"/>
        <v>0</v>
      </c>
      <c r="AK54" s="15">
        <f t="shared" si="38"/>
        <v>6.0000000000000053E-2</v>
      </c>
      <c r="AL54" s="15">
        <f t="shared" si="39"/>
        <v>0.11111111111111116</v>
      </c>
      <c r="AM54" s="5">
        <f t="shared" si="40"/>
        <v>0</v>
      </c>
    </row>
    <row r="55" spans="1:39">
      <c r="A55" s="52" t="s">
        <v>266</v>
      </c>
      <c r="B55" s="52" t="s">
        <v>270</v>
      </c>
      <c r="C55" s="104">
        <v>31</v>
      </c>
      <c r="D55" s="104">
        <v>12</v>
      </c>
      <c r="E55" s="104">
        <v>2016</v>
      </c>
      <c r="F55" s="101">
        <v>3.86</v>
      </c>
      <c r="G55" s="101">
        <v>3.76</v>
      </c>
      <c r="H55" s="69">
        <v>3.55</v>
      </c>
      <c r="I55" s="96">
        <v>3.45</v>
      </c>
      <c r="J55" s="57">
        <v>3.15</v>
      </c>
      <c r="K55" s="57">
        <v>3</v>
      </c>
      <c r="L55" s="57">
        <v>2.7</v>
      </c>
      <c r="M55" s="57">
        <v>2.5</v>
      </c>
      <c r="N55" s="57">
        <v>2.2000000000000002</v>
      </c>
      <c r="O55" s="57">
        <v>1.8</v>
      </c>
      <c r="P55" s="57">
        <v>1.8</v>
      </c>
      <c r="Q55" s="57">
        <v>1.7</v>
      </c>
      <c r="R55" s="57">
        <v>1.5</v>
      </c>
      <c r="S55" s="57">
        <v>1.4</v>
      </c>
      <c r="T55" s="97">
        <f t="shared" si="21"/>
        <v>2.5978571428571429</v>
      </c>
      <c r="U55" s="4">
        <f t="shared" ca="1" si="22"/>
        <v>0</v>
      </c>
      <c r="V55" s="4">
        <f t="shared" ca="1" si="23"/>
        <v>108</v>
      </c>
      <c r="W55" s="4">
        <f t="shared" ca="1" si="24"/>
        <v>252</v>
      </c>
      <c r="X55" s="13">
        <f t="shared" ca="1" si="25"/>
        <v>3.6129999999999995</v>
      </c>
      <c r="Y55" s="5">
        <f t="shared" ca="1" si="26"/>
        <v>0.39076161671707443</v>
      </c>
      <c r="Z55" s="15">
        <f t="shared" si="27"/>
        <v>2.659574468085113E-2</v>
      </c>
      <c r="AA55" s="15">
        <f t="shared" si="28"/>
        <v>5.915492957746471E-2</v>
      </c>
      <c r="AB55" s="15">
        <f t="shared" si="29"/>
        <v>2.8985507246376718E-2</v>
      </c>
      <c r="AC55" s="15">
        <f t="shared" si="30"/>
        <v>9.5238095238095344E-2</v>
      </c>
      <c r="AD55" s="15">
        <f t="shared" si="31"/>
        <v>5.0000000000000044E-2</v>
      </c>
      <c r="AE55" s="15">
        <f t="shared" si="32"/>
        <v>0.11111111111111094</v>
      </c>
      <c r="AF55" s="15">
        <f t="shared" si="33"/>
        <v>8.0000000000000071E-2</v>
      </c>
      <c r="AG55" s="15">
        <f t="shared" si="34"/>
        <v>0.13636363636363624</v>
      </c>
      <c r="AH55" s="15">
        <f t="shared" si="35"/>
        <v>0.22222222222222232</v>
      </c>
      <c r="AI55" s="15">
        <f t="shared" si="36"/>
        <v>0</v>
      </c>
      <c r="AJ55" s="15">
        <f t="shared" si="37"/>
        <v>5.8823529411764719E-2</v>
      </c>
      <c r="AK55" s="15">
        <f t="shared" si="38"/>
        <v>0.1333333333333333</v>
      </c>
      <c r="AL55" s="15">
        <f t="shared" si="39"/>
        <v>7.1428571428571397E-2</v>
      </c>
      <c r="AM55" s="5">
        <f t="shared" si="40"/>
        <v>0</v>
      </c>
    </row>
    <row r="56" spans="1:39">
      <c r="A56" s="52" t="s">
        <v>320</v>
      </c>
      <c r="B56" s="52" t="s">
        <v>321</v>
      </c>
      <c r="C56" s="104">
        <v>31</v>
      </c>
      <c r="D56" s="104">
        <v>8</v>
      </c>
      <c r="E56" s="104">
        <v>2016</v>
      </c>
      <c r="F56" s="101">
        <v>2.76</v>
      </c>
      <c r="G56" s="101">
        <v>2.48</v>
      </c>
      <c r="H56" s="69">
        <v>2.29</v>
      </c>
      <c r="I56" s="96">
        <v>2.2000000000000002</v>
      </c>
      <c r="J56" s="57">
        <v>1.8</v>
      </c>
      <c r="K56" s="57">
        <v>1.62</v>
      </c>
      <c r="L56" s="57">
        <v>1.59</v>
      </c>
      <c r="M56" s="57">
        <v>1.46</v>
      </c>
      <c r="N56" s="57">
        <v>1.35</v>
      </c>
      <c r="O56" s="57">
        <v>1.27</v>
      </c>
      <c r="P56" s="57">
        <v>1.27</v>
      </c>
      <c r="Q56" s="57">
        <v>1.1499999999999999</v>
      </c>
      <c r="R56" s="57">
        <v>0.95</v>
      </c>
      <c r="S56" s="57">
        <v>0.75</v>
      </c>
      <c r="T56" s="97">
        <f t="shared" si="21"/>
        <v>1.6385714285714286</v>
      </c>
      <c r="U56" s="4">
        <f t="shared" ca="1" si="22"/>
        <v>0</v>
      </c>
      <c r="V56" s="4">
        <f t="shared" ca="1" si="23"/>
        <v>228</v>
      </c>
      <c r="W56" s="4">
        <f t="shared" ca="1" si="24"/>
        <v>132</v>
      </c>
      <c r="X56" s="13">
        <f t="shared" ca="1" si="25"/>
        <v>2.4103333333333334</v>
      </c>
      <c r="Y56" s="5">
        <f t="shared" ca="1" si="26"/>
        <v>0.47099680325486792</v>
      </c>
      <c r="Z56" s="15">
        <f t="shared" si="27"/>
        <v>0.11290322580645151</v>
      </c>
      <c r="AA56" s="15">
        <f t="shared" si="28"/>
        <v>8.2969432314410563E-2</v>
      </c>
      <c r="AB56" s="15">
        <f t="shared" si="29"/>
        <v>4.0909090909090784E-2</v>
      </c>
      <c r="AC56" s="15">
        <f t="shared" si="30"/>
        <v>0.22222222222222232</v>
      </c>
      <c r="AD56" s="15">
        <f t="shared" si="31"/>
        <v>0.11111111111111116</v>
      </c>
      <c r="AE56" s="15">
        <f t="shared" si="32"/>
        <v>1.8867924528301883E-2</v>
      </c>
      <c r="AF56" s="15">
        <f t="shared" si="33"/>
        <v>8.9041095890411093E-2</v>
      </c>
      <c r="AG56" s="15">
        <f t="shared" si="34"/>
        <v>8.1481481481481488E-2</v>
      </c>
      <c r="AH56" s="15">
        <f t="shared" si="35"/>
        <v>6.2992125984252079E-2</v>
      </c>
      <c r="AI56" s="15">
        <f t="shared" si="36"/>
        <v>0</v>
      </c>
      <c r="AJ56" s="15">
        <f t="shared" si="37"/>
        <v>0.10434782608695659</v>
      </c>
      <c r="AK56" s="15">
        <f t="shared" si="38"/>
        <v>0.21052631578947367</v>
      </c>
      <c r="AL56" s="15">
        <f t="shared" si="39"/>
        <v>0.26666666666666661</v>
      </c>
      <c r="AM56" s="5">
        <f t="shared" si="40"/>
        <v>0</v>
      </c>
    </row>
    <row r="57" spans="1:39">
      <c r="A57" t="s">
        <v>83</v>
      </c>
      <c r="B57" t="s">
        <v>84</v>
      </c>
      <c r="C57" s="60">
        <v>30</v>
      </c>
      <c r="D57" s="60">
        <v>6</v>
      </c>
      <c r="E57" s="60">
        <v>2016</v>
      </c>
      <c r="F57" s="101">
        <v>0.65599999999999992</v>
      </c>
      <c r="G57" s="101">
        <v>0.621</v>
      </c>
      <c r="H57" s="69">
        <v>0.58899999999999997</v>
      </c>
      <c r="I57" s="96">
        <v>0.56399999999999995</v>
      </c>
      <c r="J57" s="57">
        <v>0.51700000000000002</v>
      </c>
      <c r="K57" s="57">
        <v>0.47399999999999998</v>
      </c>
      <c r="L57" s="57">
        <v>0.435</v>
      </c>
      <c r="M57" s="57">
        <v>0.40400000000000003</v>
      </c>
      <c r="N57" s="57">
        <v>0.38100000000000001</v>
      </c>
      <c r="O57" s="57">
        <v>0.36099999999999999</v>
      </c>
      <c r="P57" s="57">
        <v>0.34350000000000003</v>
      </c>
      <c r="Q57" s="57">
        <v>0.32700000000000001</v>
      </c>
      <c r="R57" s="57">
        <v>0.311</v>
      </c>
      <c r="S57" s="57">
        <v>0.29549999999999998</v>
      </c>
      <c r="T57" s="97">
        <f t="shared" si="21"/>
        <v>0.44849999999999995</v>
      </c>
      <c r="U57" s="4">
        <f t="shared" ca="1" si="22"/>
        <v>0</v>
      </c>
      <c r="V57" s="4">
        <f t="shared" ca="1" si="23"/>
        <v>289</v>
      </c>
      <c r="W57" s="4">
        <f t="shared" ca="1" si="24"/>
        <v>71</v>
      </c>
      <c r="X57" s="13">
        <f t="shared" ca="1" si="25"/>
        <v>0.61468888888888884</v>
      </c>
      <c r="Y57" s="5">
        <f t="shared" ca="1" si="26"/>
        <v>0.37054378793509235</v>
      </c>
      <c r="Z57" s="15">
        <f t="shared" si="27"/>
        <v>5.6360708534621384E-2</v>
      </c>
      <c r="AA57" s="15">
        <f t="shared" si="28"/>
        <v>5.4329371816638439E-2</v>
      </c>
      <c r="AB57" s="15">
        <f t="shared" si="29"/>
        <v>4.4326241134751809E-2</v>
      </c>
      <c r="AC57" s="15">
        <f t="shared" si="30"/>
        <v>9.0909090909090828E-2</v>
      </c>
      <c r="AD57" s="15">
        <f t="shared" si="31"/>
        <v>9.0717299578059185E-2</v>
      </c>
      <c r="AE57" s="15">
        <f t="shared" si="32"/>
        <v>8.9655172413793061E-2</v>
      </c>
      <c r="AF57" s="15">
        <f t="shared" si="33"/>
        <v>7.6732673267326579E-2</v>
      </c>
      <c r="AG57" s="15">
        <f t="shared" si="34"/>
        <v>6.0367454068241511E-2</v>
      </c>
      <c r="AH57" s="15">
        <f t="shared" si="35"/>
        <v>5.5401662049861633E-2</v>
      </c>
      <c r="AI57" s="15">
        <f t="shared" si="36"/>
        <v>5.0946142649199277E-2</v>
      </c>
      <c r="AJ57" s="15">
        <f t="shared" si="37"/>
        <v>5.0458715596330306E-2</v>
      </c>
      <c r="AK57" s="15">
        <f t="shared" si="38"/>
        <v>5.1446945337620731E-2</v>
      </c>
      <c r="AL57" s="15">
        <f t="shared" si="39"/>
        <v>5.245346869712364E-2</v>
      </c>
      <c r="AM57" s="5">
        <f t="shared" si="40"/>
        <v>4.4326241134751809E-2</v>
      </c>
    </row>
    <row r="58" spans="1:39">
      <c r="A58" t="s">
        <v>85</v>
      </c>
      <c r="B58" t="s">
        <v>86</v>
      </c>
      <c r="C58" s="60">
        <v>31</v>
      </c>
      <c r="D58" s="60">
        <v>3</v>
      </c>
      <c r="E58" s="60">
        <v>2016</v>
      </c>
      <c r="F58" s="101">
        <v>1.34</v>
      </c>
      <c r="G58" s="101">
        <v>1.27</v>
      </c>
      <c r="H58" s="69">
        <v>1.19</v>
      </c>
      <c r="I58" s="96">
        <v>1.1299999999999999</v>
      </c>
      <c r="J58" s="57">
        <v>1.05</v>
      </c>
      <c r="K58" s="57">
        <v>1.01</v>
      </c>
      <c r="L58" s="57">
        <v>0.91</v>
      </c>
      <c r="M58" s="57">
        <v>0.81</v>
      </c>
      <c r="N58" s="57">
        <v>0.68</v>
      </c>
      <c r="O58" s="57">
        <v>0.57999999999999996</v>
      </c>
      <c r="P58" s="57">
        <v>0.57999999999999996</v>
      </c>
      <c r="Q58" s="57">
        <v>0.5</v>
      </c>
      <c r="R58" s="57"/>
      <c r="S58" s="57"/>
      <c r="T58" s="97">
        <f t="shared" si="21"/>
        <v>0.92083333333333328</v>
      </c>
      <c r="U58" s="4">
        <f t="shared" ca="1" si="22"/>
        <v>18</v>
      </c>
      <c r="V58" s="4">
        <f t="shared" ca="1" si="23"/>
        <v>342</v>
      </c>
      <c r="W58" s="4">
        <f t="shared" ca="1" si="24"/>
        <v>0</v>
      </c>
      <c r="X58" s="13">
        <f t="shared" ca="1" si="25"/>
        <v>1.2734999999999999</v>
      </c>
      <c r="Y58" s="5">
        <f t="shared" ca="1" si="26"/>
        <v>0.38298642533936644</v>
      </c>
      <c r="Z58" s="15">
        <f t="shared" si="27"/>
        <v>5.5118110236220597E-2</v>
      </c>
      <c r="AA58" s="15">
        <f t="shared" si="28"/>
        <v>6.7226890756302504E-2</v>
      </c>
      <c r="AB58" s="15">
        <f t="shared" si="29"/>
        <v>5.3097345132743445E-2</v>
      </c>
      <c r="AC58" s="15">
        <f t="shared" si="30"/>
        <v>7.6190476190476142E-2</v>
      </c>
      <c r="AD58" s="15">
        <f t="shared" si="31"/>
        <v>3.9603960396039639E-2</v>
      </c>
      <c r="AE58" s="15">
        <f t="shared" si="32"/>
        <v>0.10989010989010994</v>
      </c>
      <c r="AF58" s="15">
        <f t="shared" si="33"/>
        <v>0.12345679012345667</v>
      </c>
      <c r="AG58" s="15">
        <f t="shared" si="34"/>
        <v>0.19117647058823528</v>
      </c>
      <c r="AH58" s="15">
        <f t="shared" si="35"/>
        <v>0.1724137931034484</v>
      </c>
      <c r="AI58" s="15">
        <f t="shared" si="36"/>
        <v>0</v>
      </c>
      <c r="AJ58" s="15">
        <f t="shared" si="37"/>
        <v>0.15999999999999992</v>
      </c>
      <c r="AK58" s="15" t="str">
        <f t="shared" si="38"/>
        <v/>
      </c>
      <c r="AL58" s="15" t="str">
        <f t="shared" si="39"/>
        <v/>
      </c>
      <c r="AM58" s="5">
        <f t="shared" si="40"/>
        <v>0</v>
      </c>
    </row>
    <row r="59" spans="1:39">
      <c r="A59" t="s">
        <v>87</v>
      </c>
      <c r="B59" t="s">
        <v>88</v>
      </c>
      <c r="C59" s="60">
        <v>31</v>
      </c>
      <c r="D59" s="60">
        <v>12</v>
      </c>
      <c r="E59" s="60">
        <v>2016</v>
      </c>
      <c r="F59" s="101">
        <v>1.6500000000000001</v>
      </c>
      <c r="G59" s="101">
        <v>1.52</v>
      </c>
      <c r="H59" s="69">
        <v>1.41</v>
      </c>
      <c r="I59" s="96">
        <v>1.39</v>
      </c>
      <c r="J59" s="57">
        <v>1.39</v>
      </c>
      <c r="K59" s="57">
        <v>1.37</v>
      </c>
      <c r="L59" s="57">
        <v>1.34</v>
      </c>
      <c r="M59" s="57">
        <v>1.25</v>
      </c>
      <c r="N59" s="57">
        <v>1.1499999999999999</v>
      </c>
      <c r="O59" s="57">
        <v>1</v>
      </c>
      <c r="P59" s="57">
        <v>0.62</v>
      </c>
      <c r="Q59" s="57">
        <v>0.5</v>
      </c>
      <c r="R59" s="57">
        <v>0.42</v>
      </c>
      <c r="S59" s="57">
        <v>0.36</v>
      </c>
      <c r="T59" s="97">
        <f t="shared" si="21"/>
        <v>1.0978571428571429</v>
      </c>
      <c r="U59" s="4">
        <f t="shared" ca="1" si="22"/>
        <v>0</v>
      </c>
      <c r="V59" s="4">
        <f t="shared" ca="1" si="23"/>
        <v>108</v>
      </c>
      <c r="W59" s="4">
        <f t="shared" ca="1" si="24"/>
        <v>252</v>
      </c>
      <c r="X59" s="13">
        <f t="shared" ca="1" si="25"/>
        <v>1.4430000000000001</v>
      </c>
      <c r="Y59" s="5">
        <f t="shared" ca="1" si="26"/>
        <v>0.31437865972674039</v>
      </c>
      <c r="Z59" s="15">
        <f t="shared" si="27"/>
        <v>8.5526315789473673E-2</v>
      </c>
      <c r="AA59" s="15">
        <f t="shared" si="28"/>
        <v>7.8014184397163122E-2</v>
      </c>
      <c r="AB59" s="15">
        <f t="shared" si="29"/>
        <v>1.4388489208633004E-2</v>
      </c>
      <c r="AC59" s="15">
        <f t="shared" si="30"/>
        <v>0</v>
      </c>
      <c r="AD59" s="15">
        <f t="shared" si="31"/>
        <v>1.4598540145985162E-2</v>
      </c>
      <c r="AE59" s="15">
        <f t="shared" si="32"/>
        <v>2.2388059701492491E-2</v>
      </c>
      <c r="AF59" s="15">
        <f t="shared" si="33"/>
        <v>7.2000000000000064E-2</v>
      </c>
      <c r="AG59" s="15">
        <f t="shared" si="34"/>
        <v>8.6956521739130599E-2</v>
      </c>
      <c r="AH59" s="15">
        <f t="shared" si="35"/>
        <v>0.14999999999999991</v>
      </c>
      <c r="AI59" s="15">
        <f t="shared" si="36"/>
        <v>0.61290322580645173</v>
      </c>
      <c r="AJ59" s="15">
        <f t="shared" si="37"/>
        <v>0.24</v>
      </c>
      <c r="AK59" s="15">
        <f t="shared" si="38"/>
        <v>0.19047619047619047</v>
      </c>
      <c r="AL59" s="15">
        <f t="shared" si="39"/>
        <v>0.16666666666666674</v>
      </c>
      <c r="AM59" s="5">
        <f t="shared" si="40"/>
        <v>0</v>
      </c>
    </row>
    <row r="60" spans="1:39">
      <c r="A60" s="52" t="s">
        <v>252</v>
      </c>
      <c r="B60" s="52" t="s">
        <v>253</v>
      </c>
      <c r="C60" s="104">
        <v>30</v>
      </c>
      <c r="D60" s="104">
        <v>4</v>
      </c>
      <c r="E60" s="104">
        <v>2016</v>
      </c>
      <c r="F60" s="101">
        <v>1.98</v>
      </c>
      <c r="G60" s="101">
        <v>1.74</v>
      </c>
      <c r="H60" s="69">
        <v>1.5</v>
      </c>
      <c r="I60" s="96">
        <v>1.22</v>
      </c>
      <c r="J60" s="57">
        <v>1.1200000000000001</v>
      </c>
      <c r="K60" s="57">
        <v>1.04</v>
      </c>
      <c r="L60" s="57">
        <v>0.97</v>
      </c>
      <c r="M60" s="57">
        <v>0.9</v>
      </c>
      <c r="N60" s="57">
        <v>0.82</v>
      </c>
      <c r="O60" s="57">
        <v>0.75</v>
      </c>
      <c r="P60" s="57">
        <v>0.5</v>
      </c>
      <c r="Q60" s="57">
        <v>0.44</v>
      </c>
      <c r="R60" s="57">
        <v>0.39</v>
      </c>
      <c r="S60" s="57">
        <v>0.34</v>
      </c>
      <c r="T60" s="97">
        <f t="shared" si="21"/>
        <v>0.97928571428571431</v>
      </c>
      <c r="U60" s="4">
        <f t="shared" ca="1" si="22"/>
        <v>0</v>
      </c>
      <c r="V60" s="4">
        <f t="shared" ca="1" si="23"/>
        <v>349</v>
      </c>
      <c r="W60" s="4">
        <f t="shared" ca="1" si="24"/>
        <v>11</v>
      </c>
      <c r="X60" s="13">
        <f t="shared" ca="1" si="25"/>
        <v>1.7326666666666668</v>
      </c>
      <c r="Y60" s="5">
        <f t="shared" ca="1" si="26"/>
        <v>0.76931680038901051</v>
      </c>
      <c r="Z60" s="15">
        <f t="shared" si="27"/>
        <v>0.13793103448275867</v>
      </c>
      <c r="AA60" s="15">
        <f t="shared" si="28"/>
        <v>0.15999999999999992</v>
      </c>
      <c r="AB60" s="15">
        <f t="shared" si="29"/>
        <v>0.22950819672131151</v>
      </c>
      <c r="AC60" s="15">
        <f t="shared" si="30"/>
        <v>8.9285714285714191E-2</v>
      </c>
      <c r="AD60" s="15">
        <f t="shared" si="31"/>
        <v>7.6923076923077094E-2</v>
      </c>
      <c r="AE60" s="15">
        <f t="shared" si="32"/>
        <v>7.2164948453608213E-2</v>
      </c>
      <c r="AF60" s="15">
        <f t="shared" si="33"/>
        <v>7.7777777777777724E-2</v>
      </c>
      <c r="AG60" s="15">
        <f t="shared" si="34"/>
        <v>9.7560975609756184E-2</v>
      </c>
      <c r="AH60" s="15">
        <f t="shared" si="35"/>
        <v>9.3333333333333268E-2</v>
      </c>
      <c r="AI60" s="15">
        <f t="shared" si="36"/>
        <v>0.5</v>
      </c>
      <c r="AJ60" s="15">
        <f t="shared" si="37"/>
        <v>0.13636363636363646</v>
      </c>
      <c r="AK60" s="15">
        <f t="shared" si="38"/>
        <v>0.12820512820512819</v>
      </c>
      <c r="AL60" s="15">
        <f t="shared" si="39"/>
        <v>0.14705882352941169</v>
      </c>
      <c r="AM60" s="5">
        <f t="shared" si="40"/>
        <v>7.2164948453608213E-2</v>
      </c>
    </row>
    <row r="61" spans="1:39">
      <c r="A61" t="s">
        <v>89</v>
      </c>
      <c r="B61" t="s">
        <v>90</v>
      </c>
      <c r="C61" s="60">
        <v>31</v>
      </c>
      <c r="D61" s="60">
        <v>12</v>
      </c>
      <c r="E61" s="60">
        <v>2016</v>
      </c>
      <c r="F61" s="101">
        <v>2.82</v>
      </c>
      <c r="G61" s="101">
        <v>2.6</v>
      </c>
      <c r="H61" s="69">
        <v>2.38</v>
      </c>
      <c r="I61" s="96">
        <v>2.17</v>
      </c>
      <c r="J61" s="57">
        <v>2</v>
      </c>
      <c r="K61" s="57">
        <v>1.84</v>
      </c>
      <c r="L61" s="57">
        <v>1.7</v>
      </c>
      <c r="M61" s="57">
        <v>1.58</v>
      </c>
      <c r="N61" s="57">
        <v>1.46</v>
      </c>
      <c r="O61" s="57">
        <v>1.32</v>
      </c>
      <c r="P61" s="58">
        <v>1.04</v>
      </c>
      <c r="Q61" s="58">
        <v>0.94199999999999995</v>
      </c>
      <c r="R61" s="58">
        <v>0.83499999999999996</v>
      </c>
      <c r="S61" s="58">
        <v>0.70899999999999996</v>
      </c>
      <c r="T61" s="97">
        <f t="shared" si="21"/>
        <v>1.671142857142857</v>
      </c>
      <c r="U61" s="4">
        <f t="shared" ca="1" si="22"/>
        <v>0</v>
      </c>
      <c r="V61" s="4">
        <f t="shared" ca="1" si="23"/>
        <v>108</v>
      </c>
      <c r="W61" s="4">
        <f t="shared" ca="1" si="24"/>
        <v>252</v>
      </c>
      <c r="X61" s="13">
        <f t="shared" ca="1" si="25"/>
        <v>2.4459999999999997</v>
      </c>
      <c r="Y61" s="5">
        <f t="shared" ca="1" si="26"/>
        <v>0.46366900324841853</v>
      </c>
      <c r="Z61" s="15">
        <f t="shared" si="27"/>
        <v>8.4615384615384537E-2</v>
      </c>
      <c r="AA61" s="15">
        <f t="shared" si="28"/>
        <v>9.2436974789916082E-2</v>
      </c>
      <c r="AB61" s="15">
        <f t="shared" si="29"/>
        <v>9.6774193548387011E-2</v>
      </c>
      <c r="AC61" s="15">
        <f t="shared" si="30"/>
        <v>8.4999999999999964E-2</v>
      </c>
      <c r="AD61" s="15">
        <f t="shared" si="31"/>
        <v>8.6956521739130377E-2</v>
      </c>
      <c r="AE61" s="15">
        <f t="shared" si="32"/>
        <v>8.235294117647074E-2</v>
      </c>
      <c r="AF61" s="15">
        <f t="shared" si="33"/>
        <v>7.5949367088607556E-2</v>
      </c>
      <c r="AG61" s="15">
        <f t="shared" si="34"/>
        <v>8.2191780821917915E-2</v>
      </c>
      <c r="AH61" s="15">
        <f t="shared" si="35"/>
        <v>0.10606060606060597</v>
      </c>
      <c r="AI61" s="15">
        <f t="shared" si="36"/>
        <v>0.26923076923076916</v>
      </c>
      <c r="AJ61" s="15">
        <f t="shared" si="37"/>
        <v>0.10403397027600869</v>
      </c>
      <c r="AK61" s="15">
        <f t="shared" si="38"/>
        <v>0.12814371257485035</v>
      </c>
      <c r="AL61" s="15">
        <f t="shared" si="39"/>
        <v>0.17771509167842026</v>
      </c>
      <c r="AM61" s="5">
        <f t="shared" si="40"/>
        <v>7.5949367088607556E-2</v>
      </c>
    </row>
    <row r="62" spans="1:39">
      <c r="A62" t="s">
        <v>92</v>
      </c>
      <c r="B62" t="s">
        <v>93</v>
      </c>
      <c r="C62" s="60">
        <v>31</v>
      </c>
      <c r="D62" s="60">
        <v>5</v>
      </c>
      <c r="E62" s="60">
        <v>2016</v>
      </c>
      <c r="F62" s="101">
        <v>2.0299999999999998</v>
      </c>
      <c r="G62" s="101">
        <v>1.87</v>
      </c>
      <c r="H62" s="69">
        <v>1.76</v>
      </c>
      <c r="I62" s="96">
        <v>1.67</v>
      </c>
      <c r="J62" s="57">
        <v>1.55</v>
      </c>
      <c r="K62" s="57">
        <v>1.32</v>
      </c>
      <c r="L62" s="57">
        <v>1.22</v>
      </c>
      <c r="M62" s="57">
        <v>1.1200000000000001</v>
      </c>
      <c r="N62" s="57">
        <v>0.96</v>
      </c>
      <c r="O62" s="57">
        <v>0.86</v>
      </c>
      <c r="P62" s="57">
        <v>0.79</v>
      </c>
      <c r="Q62" s="57">
        <v>0.72</v>
      </c>
      <c r="R62" s="57">
        <v>0.67</v>
      </c>
      <c r="S62" s="57">
        <v>0.62</v>
      </c>
      <c r="T62" s="97">
        <f t="shared" si="21"/>
        <v>1.225714285714286</v>
      </c>
      <c r="U62" s="4">
        <f t="shared" ca="1" si="22"/>
        <v>0</v>
      </c>
      <c r="V62" s="4">
        <f t="shared" ca="1" si="23"/>
        <v>318</v>
      </c>
      <c r="W62" s="4">
        <f t="shared" ca="1" si="24"/>
        <v>42</v>
      </c>
      <c r="X62" s="13">
        <f t="shared" ca="1" si="25"/>
        <v>1.8571666666666669</v>
      </c>
      <c r="Y62" s="5">
        <f t="shared" ca="1" si="26"/>
        <v>0.51517094017093989</v>
      </c>
      <c r="Z62" s="15">
        <f t="shared" si="27"/>
        <v>8.5561497326203106E-2</v>
      </c>
      <c r="AA62" s="15">
        <f t="shared" si="28"/>
        <v>6.25E-2</v>
      </c>
      <c r="AB62" s="15">
        <f t="shared" si="29"/>
        <v>5.3892215568862367E-2</v>
      </c>
      <c r="AC62" s="15">
        <f t="shared" si="30"/>
        <v>7.7419354838709653E-2</v>
      </c>
      <c r="AD62" s="15">
        <f t="shared" si="31"/>
        <v>0.17424242424242431</v>
      </c>
      <c r="AE62" s="15">
        <f t="shared" si="32"/>
        <v>8.1967213114754189E-2</v>
      </c>
      <c r="AF62" s="15">
        <f t="shared" si="33"/>
        <v>8.9285714285714191E-2</v>
      </c>
      <c r="AG62" s="15">
        <f t="shared" si="34"/>
        <v>0.16666666666666674</v>
      </c>
      <c r="AH62" s="15">
        <f t="shared" si="35"/>
        <v>0.11627906976744184</v>
      </c>
      <c r="AI62" s="15">
        <f t="shared" si="36"/>
        <v>8.8607594936708889E-2</v>
      </c>
      <c r="AJ62" s="15">
        <f t="shared" si="37"/>
        <v>9.7222222222222321E-2</v>
      </c>
      <c r="AK62" s="15">
        <f t="shared" si="38"/>
        <v>7.4626865671641784E-2</v>
      </c>
      <c r="AL62" s="15">
        <f t="shared" si="39"/>
        <v>8.0645161290322731E-2</v>
      </c>
      <c r="AM62" s="5">
        <f t="shared" si="40"/>
        <v>5.3892215568862367E-2</v>
      </c>
    </row>
    <row r="63" spans="1:39">
      <c r="A63" s="52" t="s">
        <v>323</v>
      </c>
      <c r="B63" s="52" t="s">
        <v>324</v>
      </c>
      <c r="C63" s="104">
        <v>31</v>
      </c>
      <c r="D63" s="104">
        <v>12</v>
      </c>
      <c r="E63" s="104">
        <v>2016</v>
      </c>
      <c r="F63" s="101">
        <v>2.84</v>
      </c>
      <c r="G63" s="101">
        <v>2.59</v>
      </c>
      <c r="H63" s="69">
        <v>2.4</v>
      </c>
      <c r="I63" s="96">
        <v>2.2400000000000002</v>
      </c>
      <c r="J63" s="57">
        <v>2.04</v>
      </c>
      <c r="K63" s="57">
        <v>1.81</v>
      </c>
      <c r="L63" s="57">
        <v>1.56</v>
      </c>
      <c r="M63" s="57">
        <v>1.38</v>
      </c>
      <c r="N63" s="57">
        <v>1.28</v>
      </c>
      <c r="O63" s="57">
        <v>1.19</v>
      </c>
      <c r="P63" s="57">
        <v>1.19</v>
      </c>
      <c r="Q63" s="57">
        <v>1.1399999999999999</v>
      </c>
      <c r="R63" s="57">
        <v>1.03</v>
      </c>
      <c r="S63" s="57">
        <v>0.93</v>
      </c>
      <c r="T63" s="97">
        <f t="shared" si="21"/>
        <v>1.6871428571428575</v>
      </c>
      <c r="U63" s="4">
        <f t="shared" ca="1" si="22"/>
        <v>0</v>
      </c>
      <c r="V63" s="4">
        <f t="shared" ca="1" si="23"/>
        <v>108</v>
      </c>
      <c r="W63" s="4">
        <f t="shared" ca="1" si="24"/>
        <v>252</v>
      </c>
      <c r="X63" s="13">
        <f t="shared" ca="1" si="25"/>
        <v>2.4569999999999999</v>
      </c>
      <c r="Y63" s="5">
        <f t="shared" ca="1" si="26"/>
        <v>0.45630821337849237</v>
      </c>
      <c r="Z63" s="15">
        <f t="shared" si="27"/>
        <v>9.6525096525096554E-2</v>
      </c>
      <c r="AA63" s="15">
        <f t="shared" si="28"/>
        <v>7.9166666666666607E-2</v>
      </c>
      <c r="AB63" s="15">
        <f t="shared" si="29"/>
        <v>7.1428571428571397E-2</v>
      </c>
      <c r="AC63" s="15">
        <f t="shared" si="30"/>
        <v>9.8039215686274606E-2</v>
      </c>
      <c r="AD63" s="15">
        <f t="shared" si="31"/>
        <v>0.1270718232044199</v>
      </c>
      <c r="AE63" s="15">
        <f t="shared" si="32"/>
        <v>0.16025641025641035</v>
      </c>
      <c r="AF63" s="15">
        <f t="shared" si="33"/>
        <v>0.13043478260869579</v>
      </c>
      <c r="AG63" s="15">
        <f t="shared" si="34"/>
        <v>7.8125E-2</v>
      </c>
      <c r="AH63" s="15">
        <f t="shared" si="35"/>
        <v>7.5630252100840512E-2</v>
      </c>
      <c r="AI63" s="15">
        <f t="shared" si="36"/>
        <v>0</v>
      </c>
      <c r="AJ63" s="15">
        <f t="shared" si="37"/>
        <v>4.3859649122807154E-2</v>
      </c>
      <c r="AK63" s="15">
        <f t="shared" si="38"/>
        <v>0.10679611650485432</v>
      </c>
      <c r="AL63" s="15">
        <f t="shared" si="39"/>
        <v>0.10752688172043001</v>
      </c>
      <c r="AM63" s="5">
        <f t="shared" si="40"/>
        <v>0</v>
      </c>
    </row>
    <row r="64" spans="1:39">
      <c r="A64" s="52" t="s">
        <v>254</v>
      </c>
      <c r="B64" s="52" t="s">
        <v>255</v>
      </c>
      <c r="C64" s="104">
        <v>31</v>
      </c>
      <c r="D64" s="104">
        <v>12</v>
      </c>
      <c r="E64" s="104">
        <v>2016</v>
      </c>
      <c r="F64" s="101">
        <v>2.35</v>
      </c>
      <c r="G64" s="101">
        <v>2.14</v>
      </c>
      <c r="H64" s="69">
        <v>2.0299999999999998</v>
      </c>
      <c r="I64" s="96">
        <v>1.98</v>
      </c>
      <c r="J64" s="57">
        <v>1.9</v>
      </c>
      <c r="K64" s="57">
        <v>1.8</v>
      </c>
      <c r="L64" s="57">
        <v>1.74</v>
      </c>
      <c r="M64" s="57">
        <v>1.67</v>
      </c>
      <c r="N64" s="57">
        <v>1.56</v>
      </c>
      <c r="O64" s="57">
        <v>1.43</v>
      </c>
      <c r="P64" s="57">
        <v>1.3</v>
      </c>
      <c r="Q64" s="57">
        <v>1.2</v>
      </c>
      <c r="R64" s="57">
        <v>1.1399999999999999</v>
      </c>
      <c r="S64" s="57">
        <v>1.06</v>
      </c>
      <c r="T64" s="97">
        <f t="shared" si="21"/>
        <v>1.6642857142857144</v>
      </c>
      <c r="U64" s="4">
        <f t="shared" ca="1" si="22"/>
        <v>0</v>
      </c>
      <c r="V64" s="4">
        <f t="shared" ca="1" si="23"/>
        <v>108</v>
      </c>
      <c r="W64" s="4">
        <f t="shared" ca="1" si="24"/>
        <v>252</v>
      </c>
      <c r="X64" s="13">
        <f t="shared" ca="1" si="25"/>
        <v>2.0629999999999997</v>
      </c>
      <c r="Y64" s="5">
        <f t="shared" ca="1" si="26"/>
        <v>0.23957081545064352</v>
      </c>
      <c r="Z64" s="15">
        <f t="shared" si="27"/>
        <v>9.8130841121495394E-2</v>
      </c>
      <c r="AA64" s="15">
        <f t="shared" si="28"/>
        <v>5.4187192118226868E-2</v>
      </c>
      <c r="AB64" s="15">
        <f t="shared" si="29"/>
        <v>2.5252525252525082E-2</v>
      </c>
      <c r="AC64" s="15">
        <f t="shared" si="30"/>
        <v>4.2105263157894868E-2</v>
      </c>
      <c r="AD64" s="15">
        <f t="shared" si="31"/>
        <v>5.555555555555558E-2</v>
      </c>
      <c r="AE64" s="15">
        <f t="shared" si="32"/>
        <v>3.4482758620689724E-2</v>
      </c>
      <c r="AF64" s="15">
        <f t="shared" si="33"/>
        <v>4.1916167664670656E-2</v>
      </c>
      <c r="AG64" s="15">
        <f t="shared" si="34"/>
        <v>7.0512820512820484E-2</v>
      </c>
      <c r="AH64" s="15">
        <f t="shared" si="35"/>
        <v>9.090909090909105E-2</v>
      </c>
      <c r="AI64" s="15">
        <f t="shared" si="36"/>
        <v>9.9999999999999867E-2</v>
      </c>
      <c r="AJ64" s="15">
        <f t="shared" si="37"/>
        <v>8.3333333333333481E-2</v>
      </c>
      <c r="AK64" s="15">
        <f t="shared" si="38"/>
        <v>5.2631578947368363E-2</v>
      </c>
      <c r="AL64" s="15">
        <f t="shared" si="39"/>
        <v>7.5471698113207308E-2</v>
      </c>
      <c r="AM64" s="5">
        <f t="shared" si="40"/>
        <v>2.5252525252525082E-2</v>
      </c>
    </row>
    <row r="65" spans="1:39">
      <c r="A65" t="s">
        <v>94</v>
      </c>
      <c r="B65" t="s">
        <v>95</v>
      </c>
      <c r="C65" s="60">
        <v>31</v>
      </c>
      <c r="D65" s="60">
        <v>12</v>
      </c>
      <c r="E65" s="60">
        <v>2016</v>
      </c>
      <c r="F65" s="101">
        <v>4.2699999999999996</v>
      </c>
      <c r="G65" s="101">
        <v>3.89</v>
      </c>
      <c r="H65" s="69">
        <v>3.65</v>
      </c>
      <c r="I65" s="96">
        <v>3.52</v>
      </c>
      <c r="J65" s="57">
        <v>3.36</v>
      </c>
      <c r="K65" s="57">
        <v>3.24</v>
      </c>
      <c r="L65" s="57">
        <v>2.96</v>
      </c>
      <c r="M65" s="57">
        <v>2.8</v>
      </c>
      <c r="N65" s="57">
        <v>2.64</v>
      </c>
      <c r="O65" s="57">
        <v>2.4</v>
      </c>
      <c r="P65" s="57">
        <v>2.3199999999999998</v>
      </c>
      <c r="Q65" s="57">
        <v>2.12</v>
      </c>
      <c r="R65" s="57">
        <v>1.96</v>
      </c>
      <c r="S65" s="57">
        <v>1.8</v>
      </c>
      <c r="T65" s="97">
        <f t="shared" si="21"/>
        <v>2.9235714285714285</v>
      </c>
      <c r="U65" s="4">
        <f t="shared" ca="1" si="22"/>
        <v>0</v>
      </c>
      <c r="V65" s="4">
        <f t="shared" ca="1" si="23"/>
        <v>108</v>
      </c>
      <c r="W65" s="4">
        <f t="shared" ca="1" si="24"/>
        <v>252</v>
      </c>
      <c r="X65" s="13">
        <f t="shared" ca="1" si="25"/>
        <v>3.7219999999999995</v>
      </c>
      <c r="Y65" s="5">
        <f t="shared" ca="1" si="26"/>
        <v>0.27310041534326879</v>
      </c>
      <c r="Z65" s="15">
        <f t="shared" si="27"/>
        <v>9.7686375321336616E-2</v>
      </c>
      <c r="AA65" s="15">
        <f t="shared" si="28"/>
        <v>6.5753424657534199E-2</v>
      </c>
      <c r="AB65" s="15">
        <f t="shared" si="29"/>
        <v>3.6931818181818121E-2</v>
      </c>
      <c r="AC65" s="15">
        <f t="shared" si="30"/>
        <v>4.7619047619047672E-2</v>
      </c>
      <c r="AD65" s="15">
        <f t="shared" si="31"/>
        <v>3.7037037037036979E-2</v>
      </c>
      <c r="AE65" s="15">
        <f t="shared" si="32"/>
        <v>9.4594594594594739E-2</v>
      </c>
      <c r="AF65" s="15">
        <f t="shared" si="33"/>
        <v>5.7142857142857162E-2</v>
      </c>
      <c r="AG65" s="15">
        <f t="shared" si="34"/>
        <v>6.0606060606060552E-2</v>
      </c>
      <c r="AH65" s="15">
        <f t="shared" si="35"/>
        <v>0.10000000000000009</v>
      </c>
      <c r="AI65" s="15">
        <f t="shared" si="36"/>
        <v>3.4482758620689724E-2</v>
      </c>
      <c r="AJ65" s="15">
        <f t="shared" si="37"/>
        <v>9.4339622641509413E-2</v>
      </c>
      <c r="AK65" s="15">
        <f t="shared" si="38"/>
        <v>8.163265306122458E-2</v>
      </c>
      <c r="AL65" s="15">
        <f t="shared" si="39"/>
        <v>8.8888888888888795E-2</v>
      </c>
      <c r="AM65" s="5">
        <f t="shared" si="40"/>
        <v>3.4482758620689724E-2</v>
      </c>
    </row>
    <row r="66" spans="1:39">
      <c r="A66" s="52" t="s">
        <v>256</v>
      </c>
      <c r="B66" s="52" t="s">
        <v>257</v>
      </c>
      <c r="C66" s="104">
        <v>31</v>
      </c>
      <c r="D66" s="104">
        <v>12</v>
      </c>
      <c r="E66" s="104">
        <v>2016</v>
      </c>
      <c r="F66" s="101">
        <v>0.81</v>
      </c>
      <c r="G66" s="101">
        <v>0.79</v>
      </c>
      <c r="H66" s="69">
        <v>0.71</v>
      </c>
      <c r="I66" s="96">
        <v>0.64</v>
      </c>
      <c r="J66" s="57">
        <v>0.44</v>
      </c>
      <c r="K66" s="57">
        <v>0.21</v>
      </c>
      <c r="L66" s="57">
        <v>0.12</v>
      </c>
      <c r="M66" s="57">
        <v>0.06</v>
      </c>
      <c r="N66" s="57">
        <v>0.06</v>
      </c>
      <c r="O66" s="57">
        <v>0.06</v>
      </c>
      <c r="P66" s="57">
        <v>0.06</v>
      </c>
      <c r="Q66" s="57"/>
      <c r="R66" s="57"/>
      <c r="S66" s="57"/>
      <c r="T66" s="97">
        <f t="shared" si="21"/>
        <v>0.36000000000000004</v>
      </c>
      <c r="U66" s="4">
        <f t="shared" ca="1" si="22"/>
        <v>0</v>
      </c>
      <c r="V66" s="4">
        <f t="shared" ca="1" si="23"/>
        <v>108</v>
      </c>
      <c r="W66" s="4">
        <f t="shared" ca="1" si="24"/>
        <v>252</v>
      </c>
      <c r="X66" s="13">
        <f t="shared" ca="1" si="25"/>
        <v>0.73399999999999999</v>
      </c>
      <c r="Y66" s="5">
        <f t="shared" ca="1" si="26"/>
        <v>1.0388888888888888</v>
      </c>
      <c r="Z66" s="15">
        <f t="shared" si="27"/>
        <v>2.5316455696202445E-2</v>
      </c>
      <c r="AA66" s="15">
        <f t="shared" si="28"/>
        <v>0.11267605633802824</v>
      </c>
      <c r="AB66" s="15">
        <f t="shared" si="29"/>
        <v>0.109375</v>
      </c>
      <c r="AC66" s="15">
        <f t="shared" si="30"/>
        <v>0.45454545454545459</v>
      </c>
      <c r="AD66" s="15">
        <f t="shared" si="31"/>
        <v>1.0952380952380953</v>
      </c>
      <c r="AE66" s="15">
        <f t="shared" si="32"/>
        <v>0.75</v>
      </c>
      <c r="AF66" s="15">
        <f t="shared" si="33"/>
        <v>1</v>
      </c>
      <c r="AG66" s="15">
        <f t="shared" si="34"/>
        <v>0</v>
      </c>
      <c r="AH66" s="15">
        <f t="shared" si="35"/>
        <v>0</v>
      </c>
      <c r="AI66" s="15">
        <f t="shared" si="36"/>
        <v>0</v>
      </c>
      <c r="AJ66" s="15" t="str">
        <f t="shared" si="37"/>
        <v/>
      </c>
      <c r="AK66" s="15" t="str">
        <f t="shared" si="38"/>
        <v/>
      </c>
      <c r="AL66" s="15" t="str">
        <f t="shared" si="39"/>
        <v/>
      </c>
      <c r="AM66" s="5">
        <f t="shared" si="40"/>
        <v>0</v>
      </c>
    </row>
    <row r="67" spans="1:39">
      <c r="A67" s="52" t="s">
        <v>258</v>
      </c>
      <c r="B67" s="52" t="s">
        <v>259</v>
      </c>
      <c r="C67" s="104">
        <v>31</v>
      </c>
      <c r="D67" s="104">
        <v>12</v>
      </c>
      <c r="E67" s="104">
        <v>2016</v>
      </c>
      <c r="F67" s="101">
        <v>1.87</v>
      </c>
      <c r="G67" s="101">
        <v>1.58</v>
      </c>
      <c r="H67" s="69">
        <v>1.48</v>
      </c>
      <c r="I67" s="96">
        <v>1.36</v>
      </c>
      <c r="J67" s="57">
        <v>1.18</v>
      </c>
      <c r="K67" s="57">
        <v>0.98</v>
      </c>
      <c r="L67" s="57">
        <v>0.64</v>
      </c>
      <c r="M67" s="57">
        <v>0.54</v>
      </c>
      <c r="N67" s="57">
        <v>0.42</v>
      </c>
      <c r="O67" s="57">
        <v>0.4</v>
      </c>
      <c r="P67" s="57">
        <v>0.4</v>
      </c>
      <c r="Q67" s="57">
        <v>0.34</v>
      </c>
      <c r="R67" s="57">
        <v>0.28999999999999998</v>
      </c>
      <c r="S67" s="57">
        <v>0.24</v>
      </c>
      <c r="T67" s="97">
        <f t="shared" si="21"/>
        <v>0.83714285714285708</v>
      </c>
      <c r="U67" s="4">
        <f t="shared" ca="1" si="22"/>
        <v>0</v>
      </c>
      <c r="V67" s="4">
        <f t="shared" ca="1" si="23"/>
        <v>108</v>
      </c>
      <c r="W67" s="4">
        <f t="shared" ca="1" si="24"/>
        <v>252</v>
      </c>
      <c r="X67" s="13">
        <f t="shared" ca="1" si="25"/>
        <v>1.51</v>
      </c>
      <c r="Y67" s="5">
        <f t="shared" ca="1" si="26"/>
        <v>0.80375426621160417</v>
      </c>
      <c r="Z67" s="15">
        <f t="shared" si="27"/>
        <v>0.18354430379746844</v>
      </c>
      <c r="AA67" s="15">
        <f t="shared" si="28"/>
        <v>6.7567567567567544E-2</v>
      </c>
      <c r="AB67" s="15">
        <f t="shared" si="29"/>
        <v>8.8235294117646967E-2</v>
      </c>
      <c r="AC67" s="15">
        <f t="shared" si="30"/>
        <v>0.15254237288135597</v>
      </c>
      <c r="AD67" s="15">
        <f t="shared" si="31"/>
        <v>0.20408163265306123</v>
      </c>
      <c r="AE67" s="15">
        <f t="shared" si="32"/>
        <v>0.53125</v>
      </c>
      <c r="AF67" s="15">
        <f t="shared" si="33"/>
        <v>0.18518518518518512</v>
      </c>
      <c r="AG67" s="15">
        <f t="shared" si="34"/>
        <v>0.28571428571428581</v>
      </c>
      <c r="AH67" s="15">
        <f t="shared" si="35"/>
        <v>4.9999999999999822E-2</v>
      </c>
      <c r="AI67" s="15">
        <f t="shared" si="36"/>
        <v>0</v>
      </c>
      <c r="AJ67" s="15">
        <f t="shared" si="37"/>
        <v>0.17647058823529416</v>
      </c>
      <c r="AK67" s="15">
        <f t="shared" si="38"/>
        <v>0.1724137931034484</v>
      </c>
      <c r="AL67" s="15">
        <f t="shared" si="39"/>
        <v>0.20833333333333326</v>
      </c>
      <c r="AM67" s="5">
        <f t="shared" si="40"/>
        <v>0</v>
      </c>
    </row>
    <row r="68" spans="1:39">
      <c r="A68" s="52" t="s">
        <v>269</v>
      </c>
      <c r="B68" s="52" t="s">
        <v>271</v>
      </c>
      <c r="C68" s="104">
        <v>31</v>
      </c>
      <c r="D68" s="104">
        <v>12</v>
      </c>
      <c r="E68" s="104">
        <v>2016</v>
      </c>
      <c r="F68" s="101">
        <v>1.05</v>
      </c>
      <c r="G68" s="101">
        <v>1.72</v>
      </c>
      <c r="H68" s="69">
        <v>1.55</v>
      </c>
      <c r="I68" s="96">
        <v>1.88</v>
      </c>
      <c r="J68" s="57">
        <v>1.41</v>
      </c>
      <c r="K68" s="57">
        <v>1.05</v>
      </c>
      <c r="L68" s="57">
        <v>0.8</v>
      </c>
      <c r="M68" s="57">
        <v>0.61</v>
      </c>
      <c r="N68" s="57">
        <v>0.40500000000000003</v>
      </c>
      <c r="O68" s="57">
        <v>0.03</v>
      </c>
      <c r="P68" s="57">
        <v>0.03</v>
      </c>
      <c r="Q68" s="57">
        <v>0.03</v>
      </c>
      <c r="R68" s="57">
        <v>0.03</v>
      </c>
      <c r="S68" s="57">
        <v>0.02</v>
      </c>
      <c r="T68" s="97">
        <f t="shared" ref="T68:T99" si="41">AVERAGE(F68:S68)</f>
        <v>0.75821428571428551</v>
      </c>
      <c r="U68" s="4">
        <f t="shared" ref="U68:U99" ca="1" si="42">IF(DAYS360(TODAY(),DATE(E68+2,D68,C68))&gt;=720,0,360-V68)</f>
        <v>0</v>
      </c>
      <c r="V68" s="4">
        <f t="shared" ref="V68:V99" ca="1" si="43">IF(DAYS360(TODAY(),DATE(E68+1,D68,C68))&lt;=360,DAYS360(TODAY(),DATE(E68+1,D68,C68)),360-W68)</f>
        <v>108</v>
      </c>
      <c r="W68" s="4">
        <f t="shared" ref="W68:W103" ca="1" si="44">IF(DATE(E68,D68,C68)&lt;=TODAY(),0,DAYS360(TODAY(),DATE(E68,D68,C68)))</f>
        <v>252</v>
      </c>
      <c r="X68" s="13">
        <f t="shared" ref="X68:X99" ca="1" si="45">(F68/360*U68)+(G68/360*V68)+(H68/360*W68)</f>
        <v>1.601</v>
      </c>
      <c r="Y68" s="5">
        <f t="shared" ref="Y68:Y99" ca="1" si="46">IF(T68=0,0,IF(X68&lt;0,IF(X68&lt;0,((X68/T68)-1)*-1,(X68/T68)-1),IF(T68&lt;0,ABS((X68/T68)-1),(X68/T68)-1)))</f>
        <v>1.1115402731983046</v>
      </c>
      <c r="Z68" s="15">
        <f t="shared" ref="Z68:Z103" si="47">IF(F68&lt;&gt;"",IF(G68&lt;&gt;"",IF(G68+F68=0,0,IF(G68=0,1,(F68/G68)-1)),""),"")</f>
        <v>-0.38953488372093015</v>
      </c>
      <c r="AA68" s="15">
        <f t="shared" ref="AA68:AA103" si="48">IF(G68&lt;&gt;"",IF(H68&lt;&gt;"",IF(H68+G68=0,0,IF(H68=0,1,(G68/H68)-1)),""),"")</f>
        <v>0.10967741935483866</v>
      </c>
      <c r="AB68" s="15">
        <f t="shared" ref="AB68:AB103" si="49">IF(H68&lt;&gt;"",IF(I68&lt;&gt;"",IF(I68+H68=0,0,IF(I68=0,1,(H68/I68)-1)),""),"")</f>
        <v>-0.17553191489361697</v>
      </c>
      <c r="AC68" s="15">
        <f t="shared" ref="AC68:AC103" si="50">IF(I68&lt;&gt;"",IF(J68&lt;&gt;"",IF(J68+I68=0,0,IF(J68=0,1,(I68/J68)-1)),""),"")</f>
        <v>0.33333333333333326</v>
      </c>
      <c r="AD68" s="15">
        <f t="shared" ref="AD68:AD103" si="51">IF(J68&lt;&gt;"",IF(K68&lt;&gt;"",IF(K68+J68=0,0,IF(K68=0,1,(J68/K68)-1)),""),"")</f>
        <v>0.34285714285714275</v>
      </c>
      <c r="AE68" s="15">
        <f t="shared" ref="AE68:AE103" si="52">IF(K68&lt;&gt;"",IF(L68&lt;&gt;"",IF(L68+K68=0,0,IF(L68=0,1,(K68/L68)-1)),""),"")</f>
        <v>0.3125</v>
      </c>
      <c r="AF68" s="15">
        <f t="shared" ref="AF68:AF103" si="53">IF(L68&lt;&gt;"",IF(M68&lt;&gt;"",IF(M68+L68=0,0,IF(M68=0,1,(L68/M68)-1)),""),"")</f>
        <v>0.3114754098360657</v>
      </c>
      <c r="AG68" s="15">
        <f t="shared" ref="AG68:AG103" si="54">IF(M68&lt;&gt;"",IF(N68&lt;&gt;"",IF(N68+M68=0,0,IF(N68=0,1,(M68/N68)-1)),""),"")</f>
        <v>0.50617283950617264</v>
      </c>
      <c r="AH68" s="15">
        <f t="shared" ref="AH68:AH103" si="55">IF(N68&lt;&gt;"",IF(O68&lt;&gt;"",IF(O68+N68=0,0,IF(O68=0,1,(N68/O68)-1)),""),"")</f>
        <v>12.500000000000002</v>
      </c>
      <c r="AI68" s="15">
        <f t="shared" ref="AI68:AI103" si="56">IF(O68&lt;&gt;"",IF(P68&lt;&gt;"",IF(P68+O68=0,0,IF(P68=0,1,(O68/P68)-1)),""),"")</f>
        <v>0</v>
      </c>
      <c r="AJ68" s="15">
        <f t="shared" ref="AJ68:AJ103" si="57">IF(P68&lt;&gt;"",IF(Q68&lt;&gt;"",IF(Q68+P68=0,0,IF(Q68=0,1,(P68/Q68)-1)),""),"")</f>
        <v>0</v>
      </c>
      <c r="AK68" s="15">
        <f t="shared" ref="AK68:AK103" si="58">IF(Q68&lt;&gt;"",IF(R68&lt;&gt;"",IF(R68+Q68=0,0,IF(R68=0,1,(Q68/R68)-1)),""),"")</f>
        <v>0</v>
      </c>
      <c r="AL68" s="15">
        <f t="shared" ref="AL68:AL103" si="59">IF(R68&lt;&gt;"",IF(S68&lt;&gt;"",IF(S68+R68=0,0,IF(S68=0,1,(R68/S68)-1)),""),"")</f>
        <v>0.5</v>
      </c>
      <c r="AM68" s="5">
        <f t="shared" ref="AM68:AM99" si="60">MIN(Z68:AL68)</f>
        <v>-0.38953488372093015</v>
      </c>
    </row>
    <row r="69" spans="1:39">
      <c r="A69" s="52"/>
      <c r="B69" s="52"/>
      <c r="C69" s="104"/>
      <c r="D69" s="104"/>
      <c r="E69" s="104"/>
      <c r="F69" s="82"/>
      <c r="G69" s="81"/>
      <c r="H69" s="81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97" t="e">
        <f t="shared" si="41"/>
        <v>#DIV/0!</v>
      </c>
      <c r="U69" s="4">
        <f t="shared" ca="1" si="42"/>
        <v>41899</v>
      </c>
      <c r="V69" s="4">
        <f t="shared" ca="1" si="43"/>
        <v>-41539</v>
      </c>
      <c r="W69" s="4" t="e">
        <f t="shared" ca="1" si="44"/>
        <v>#NUM!</v>
      </c>
      <c r="X69" s="13" t="e">
        <f t="shared" ca="1" si="45"/>
        <v>#NUM!</v>
      </c>
      <c r="Y69" s="5" t="e">
        <f t="shared" si="46"/>
        <v>#DIV/0!</v>
      </c>
      <c r="Z69" s="15" t="str">
        <f t="shared" si="47"/>
        <v/>
      </c>
      <c r="AA69" s="15" t="str">
        <f t="shared" si="48"/>
        <v/>
      </c>
      <c r="AB69" s="15" t="str">
        <f t="shared" si="49"/>
        <v/>
      </c>
      <c r="AC69" s="15" t="str">
        <f t="shared" si="50"/>
        <v/>
      </c>
      <c r="AD69" s="15" t="str">
        <f t="shared" si="51"/>
        <v/>
      </c>
      <c r="AE69" s="15" t="str">
        <f t="shared" si="52"/>
        <v/>
      </c>
      <c r="AF69" s="15" t="str">
        <f t="shared" si="53"/>
        <v/>
      </c>
      <c r="AG69" s="15" t="str">
        <f t="shared" si="54"/>
        <v/>
      </c>
      <c r="AH69" s="15" t="str">
        <f t="shared" si="55"/>
        <v/>
      </c>
      <c r="AI69" s="15" t="str">
        <f t="shared" si="56"/>
        <v/>
      </c>
      <c r="AJ69" s="15" t="str">
        <f t="shared" si="57"/>
        <v/>
      </c>
      <c r="AK69" s="15" t="str">
        <f t="shared" si="58"/>
        <v/>
      </c>
      <c r="AL69" s="15" t="str">
        <f t="shared" si="59"/>
        <v/>
      </c>
      <c r="AM69" s="5">
        <f t="shared" si="60"/>
        <v>0</v>
      </c>
    </row>
    <row r="70" spans="1:39">
      <c r="A70" s="52"/>
      <c r="B70" s="52"/>
      <c r="C70" s="104"/>
      <c r="D70" s="104"/>
      <c r="E70" s="104"/>
      <c r="F70" s="82"/>
      <c r="G70" s="81"/>
      <c r="H70" s="81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97" t="e">
        <f t="shared" si="41"/>
        <v>#DIV/0!</v>
      </c>
      <c r="U70" s="4">
        <f t="shared" ca="1" si="42"/>
        <v>41899</v>
      </c>
      <c r="V70" s="4">
        <f t="shared" ca="1" si="43"/>
        <v>-41539</v>
      </c>
      <c r="W70" s="4" t="e">
        <f t="shared" ca="1" si="44"/>
        <v>#NUM!</v>
      </c>
      <c r="X70" s="13" t="e">
        <f t="shared" ca="1" si="45"/>
        <v>#NUM!</v>
      </c>
      <c r="Y70" s="5" t="e">
        <f t="shared" si="46"/>
        <v>#DIV/0!</v>
      </c>
      <c r="Z70" s="15" t="str">
        <f t="shared" si="47"/>
        <v/>
      </c>
      <c r="AA70" s="15" t="str">
        <f t="shared" si="48"/>
        <v/>
      </c>
      <c r="AB70" s="15" t="str">
        <f t="shared" si="49"/>
        <v/>
      </c>
      <c r="AC70" s="15" t="str">
        <f t="shared" si="50"/>
        <v/>
      </c>
      <c r="AD70" s="15" t="str">
        <f t="shared" si="51"/>
        <v/>
      </c>
      <c r="AE70" s="15" t="str">
        <f t="shared" si="52"/>
        <v/>
      </c>
      <c r="AF70" s="15" t="str">
        <f t="shared" si="53"/>
        <v/>
      </c>
      <c r="AG70" s="15" t="str">
        <f t="shared" si="54"/>
        <v/>
      </c>
      <c r="AH70" s="15" t="str">
        <f t="shared" si="55"/>
        <v/>
      </c>
      <c r="AI70" s="15" t="str">
        <f t="shared" si="56"/>
        <v/>
      </c>
      <c r="AJ70" s="15" t="str">
        <f t="shared" si="57"/>
        <v/>
      </c>
      <c r="AK70" s="15" t="str">
        <f t="shared" si="58"/>
        <v/>
      </c>
      <c r="AL70" s="15" t="str">
        <f t="shared" si="59"/>
        <v/>
      </c>
      <c r="AM70" s="5">
        <f t="shared" si="60"/>
        <v>0</v>
      </c>
    </row>
    <row r="71" spans="1:39">
      <c r="A71" s="52"/>
      <c r="B71" s="52"/>
      <c r="C71" s="104"/>
      <c r="D71" s="104"/>
      <c r="E71" s="104"/>
      <c r="F71" s="82"/>
      <c r="G71" s="81"/>
      <c r="H71" s="81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97" t="e">
        <f t="shared" si="41"/>
        <v>#DIV/0!</v>
      </c>
      <c r="U71" s="4">
        <f t="shared" ca="1" si="42"/>
        <v>41899</v>
      </c>
      <c r="V71" s="4">
        <f t="shared" ca="1" si="43"/>
        <v>-41539</v>
      </c>
      <c r="W71" s="4" t="e">
        <f t="shared" ca="1" si="44"/>
        <v>#NUM!</v>
      </c>
      <c r="X71" s="13" t="e">
        <f t="shared" ca="1" si="45"/>
        <v>#NUM!</v>
      </c>
      <c r="Y71" s="5" t="e">
        <f t="shared" si="46"/>
        <v>#DIV/0!</v>
      </c>
      <c r="Z71" s="15" t="str">
        <f t="shared" si="47"/>
        <v/>
      </c>
      <c r="AA71" s="15" t="str">
        <f t="shared" si="48"/>
        <v/>
      </c>
      <c r="AB71" s="15" t="str">
        <f t="shared" si="49"/>
        <v/>
      </c>
      <c r="AC71" s="15" t="str">
        <f t="shared" si="50"/>
        <v/>
      </c>
      <c r="AD71" s="15" t="str">
        <f t="shared" si="51"/>
        <v/>
      </c>
      <c r="AE71" s="15" t="str">
        <f t="shared" si="52"/>
        <v/>
      </c>
      <c r="AF71" s="15" t="str">
        <f t="shared" si="53"/>
        <v/>
      </c>
      <c r="AG71" s="15" t="str">
        <f t="shared" si="54"/>
        <v/>
      </c>
      <c r="AH71" s="15" t="str">
        <f t="shared" si="55"/>
        <v/>
      </c>
      <c r="AI71" s="15" t="str">
        <f t="shared" si="56"/>
        <v/>
      </c>
      <c r="AJ71" s="15" t="str">
        <f t="shared" si="57"/>
        <v/>
      </c>
      <c r="AK71" s="15" t="str">
        <f t="shared" si="58"/>
        <v/>
      </c>
      <c r="AL71" s="15" t="str">
        <f t="shared" si="59"/>
        <v/>
      </c>
      <c r="AM71" s="5">
        <f t="shared" si="60"/>
        <v>0</v>
      </c>
    </row>
    <row r="72" spans="1:39">
      <c r="A72" s="52"/>
      <c r="B72" s="52"/>
      <c r="C72" s="104"/>
      <c r="D72" s="104"/>
      <c r="E72" s="104"/>
      <c r="F72" s="82"/>
      <c r="G72" s="81"/>
      <c r="H72" s="81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97" t="e">
        <f t="shared" si="41"/>
        <v>#DIV/0!</v>
      </c>
      <c r="U72" s="4">
        <f t="shared" ca="1" si="42"/>
        <v>41899</v>
      </c>
      <c r="V72" s="4">
        <f t="shared" ca="1" si="43"/>
        <v>-41539</v>
      </c>
      <c r="W72" s="4" t="e">
        <f t="shared" ca="1" si="44"/>
        <v>#NUM!</v>
      </c>
      <c r="X72" s="13" t="e">
        <f t="shared" ca="1" si="45"/>
        <v>#NUM!</v>
      </c>
      <c r="Y72" s="5" t="e">
        <f t="shared" si="46"/>
        <v>#DIV/0!</v>
      </c>
      <c r="Z72" s="15" t="str">
        <f t="shared" si="47"/>
        <v/>
      </c>
      <c r="AA72" s="15" t="str">
        <f t="shared" si="48"/>
        <v/>
      </c>
      <c r="AB72" s="15" t="str">
        <f t="shared" si="49"/>
        <v/>
      </c>
      <c r="AC72" s="15" t="str">
        <f t="shared" si="50"/>
        <v/>
      </c>
      <c r="AD72" s="15" t="str">
        <f t="shared" si="51"/>
        <v/>
      </c>
      <c r="AE72" s="15" t="str">
        <f t="shared" si="52"/>
        <v/>
      </c>
      <c r="AF72" s="15" t="str">
        <f t="shared" si="53"/>
        <v/>
      </c>
      <c r="AG72" s="15" t="str">
        <f t="shared" si="54"/>
        <v/>
      </c>
      <c r="AH72" s="15" t="str">
        <f t="shared" si="55"/>
        <v/>
      </c>
      <c r="AI72" s="15" t="str">
        <f t="shared" si="56"/>
        <v/>
      </c>
      <c r="AJ72" s="15" t="str">
        <f t="shared" si="57"/>
        <v/>
      </c>
      <c r="AK72" s="15" t="str">
        <f t="shared" si="58"/>
        <v/>
      </c>
      <c r="AL72" s="15" t="str">
        <f t="shared" si="59"/>
        <v/>
      </c>
      <c r="AM72" s="5">
        <f t="shared" si="60"/>
        <v>0</v>
      </c>
    </row>
    <row r="73" spans="1:39">
      <c r="A73" s="52"/>
      <c r="B73" s="52"/>
      <c r="C73" s="104"/>
      <c r="D73" s="104"/>
      <c r="E73" s="104"/>
      <c r="F73" s="82"/>
      <c r="G73" s="81"/>
      <c r="H73" s="81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97" t="e">
        <f t="shared" si="41"/>
        <v>#DIV/0!</v>
      </c>
      <c r="U73" s="4">
        <f t="shared" ca="1" si="42"/>
        <v>41899</v>
      </c>
      <c r="V73" s="4">
        <f t="shared" ca="1" si="43"/>
        <v>-41539</v>
      </c>
      <c r="W73" s="4" t="e">
        <f t="shared" ca="1" si="44"/>
        <v>#NUM!</v>
      </c>
      <c r="X73" s="13" t="e">
        <f t="shared" ca="1" si="45"/>
        <v>#NUM!</v>
      </c>
      <c r="Y73" s="5" t="e">
        <f t="shared" si="46"/>
        <v>#DIV/0!</v>
      </c>
      <c r="Z73" s="15" t="str">
        <f t="shared" si="47"/>
        <v/>
      </c>
      <c r="AA73" s="15" t="str">
        <f t="shared" si="48"/>
        <v/>
      </c>
      <c r="AB73" s="15" t="str">
        <f t="shared" si="49"/>
        <v/>
      </c>
      <c r="AC73" s="15" t="str">
        <f t="shared" si="50"/>
        <v/>
      </c>
      <c r="AD73" s="15" t="str">
        <f t="shared" si="51"/>
        <v/>
      </c>
      <c r="AE73" s="15" t="str">
        <f t="shared" si="52"/>
        <v/>
      </c>
      <c r="AF73" s="15" t="str">
        <f t="shared" si="53"/>
        <v/>
      </c>
      <c r="AG73" s="15" t="str">
        <f t="shared" si="54"/>
        <v/>
      </c>
      <c r="AH73" s="15" t="str">
        <f t="shared" si="55"/>
        <v/>
      </c>
      <c r="AI73" s="15" t="str">
        <f t="shared" si="56"/>
        <v/>
      </c>
      <c r="AJ73" s="15" t="str">
        <f t="shared" si="57"/>
        <v/>
      </c>
      <c r="AK73" s="15" t="str">
        <f t="shared" si="58"/>
        <v/>
      </c>
      <c r="AL73" s="15" t="str">
        <f t="shared" si="59"/>
        <v/>
      </c>
      <c r="AM73" s="5">
        <f t="shared" si="60"/>
        <v>0</v>
      </c>
    </row>
    <row r="74" spans="1:39">
      <c r="A74" s="52"/>
      <c r="B74" s="52"/>
      <c r="C74" s="104"/>
      <c r="D74" s="104"/>
      <c r="E74" s="104"/>
      <c r="F74" s="82"/>
      <c r="G74" s="81"/>
      <c r="H74" s="81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97" t="e">
        <f t="shared" si="41"/>
        <v>#DIV/0!</v>
      </c>
      <c r="U74" s="4">
        <f t="shared" ca="1" si="42"/>
        <v>41899</v>
      </c>
      <c r="V74" s="4">
        <f t="shared" ca="1" si="43"/>
        <v>-41539</v>
      </c>
      <c r="W74" s="4" t="e">
        <f t="shared" ca="1" si="44"/>
        <v>#NUM!</v>
      </c>
      <c r="X74" s="13" t="e">
        <f t="shared" ca="1" si="45"/>
        <v>#NUM!</v>
      </c>
      <c r="Y74" s="5" t="e">
        <f t="shared" si="46"/>
        <v>#DIV/0!</v>
      </c>
      <c r="Z74" s="15" t="str">
        <f t="shared" si="47"/>
        <v/>
      </c>
      <c r="AA74" s="15" t="str">
        <f t="shared" si="48"/>
        <v/>
      </c>
      <c r="AB74" s="15" t="str">
        <f t="shared" si="49"/>
        <v/>
      </c>
      <c r="AC74" s="15" t="str">
        <f t="shared" si="50"/>
        <v/>
      </c>
      <c r="AD74" s="15" t="str">
        <f t="shared" si="51"/>
        <v/>
      </c>
      <c r="AE74" s="15" t="str">
        <f t="shared" si="52"/>
        <v/>
      </c>
      <c r="AF74" s="15" t="str">
        <f t="shared" si="53"/>
        <v/>
      </c>
      <c r="AG74" s="15" t="str">
        <f t="shared" si="54"/>
        <v/>
      </c>
      <c r="AH74" s="15" t="str">
        <f t="shared" si="55"/>
        <v/>
      </c>
      <c r="AI74" s="15" t="str">
        <f t="shared" si="56"/>
        <v/>
      </c>
      <c r="AJ74" s="15" t="str">
        <f t="shared" si="57"/>
        <v/>
      </c>
      <c r="AK74" s="15" t="str">
        <f t="shared" si="58"/>
        <v/>
      </c>
      <c r="AL74" s="15" t="str">
        <f t="shared" si="59"/>
        <v/>
      </c>
      <c r="AM74" s="5">
        <f t="shared" si="60"/>
        <v>0</v>
      </c>
    </row>
    <row r="75" spans="1:39">
      <c r="A75" s="52"/>
      <c r="B75" s="52"/>
      <c r="C75" s="104"/>
      <c r="D75" s="104"/>
      <c r="E75" s="104"/>
      <c r="F75" s="82"/>
      <c r="G75" s="81"/>
      <c r="H75" s="81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97" t="e">
        <f t="shared" si="41"/>
        <v>#DIV/0!</v>
      </c>
      <c r="U75" s="4">
        <f t="shared" ca="1" si="42"/>
        <v>41899</v>
      </c>
      <c r="V75" s="4">
        <f t="shared" ca="1" si="43"/>
        <v>-41539</v>
      </c>
      <c r="W75" s="4" t="e">
        <f t="shared" ca="1" si="44"/>
        <v>#NUM!</v>
      </c>
      <c r="X75" s="13" t="e">
        <f t="shared" ca="1" si="45"/>
        <v>#NUM!</v>
      </c>
      <c r="Y75" s="5" t="e">
        <f t="shared" si="46"/>
        <v>#DIV/0!</v>
      </c>
      <c r="Z75" s="15" t="str">
        <f t="shared" si="47"/>
        <v/>
      </c>
      <c r="AA75" s="15" t="str">
        <f t="shared" si="48"/>
        <v/>
      </c>
      <c r="AB75" s="15" t="str">
        <f t="shared" si="49"/>
        <v/>
      </c>
      <c r="AC75" s="15" t="str">
        <f t="shared" si="50"/>
        <v/>
      </c>
      <c r="AD75" s="15" t="str">
        <f t="shared" si="51"/>
        <v/>
      </c>
      <c r="AE75" s="15" t="str">
        <f t="shared" si="52"/>
        <v/>
      </c>
      <c r="AF75" s="15" t="str">
        <f t="shared" si="53"/>
        <v/>
      </c>
      <c r="AG75" s="15" t="str">
        <f t="shared" si="54"/>
        <v/>
      </c>
      <c r="AH75" s="15" t="str">
        <f t="shared" si="55"/>
        <v/>
      </c>
      <c r="AI75" s="15" t="str">
        <f t="shared" si="56"/>
        <v/>
      </c>
      <c r="AJ75" s="15" t="str">
        <f t="shared" si="57"/>
        <v/>
      </c>
      <c r="AK75" s="15" t="str">
        <f t="shared" si="58"/>
        <v/>
      </c>
      <c r="AL75" s="15" t="str">
        <f t="shared" si="59"/>
        <v/>
      </c>
      <c r="AM75" s="5">
        <f t="shared" si="60"/>
        <v>0</v>
      </c>
    </row>
    <row r="76" spans="1:39">
      <c r="A76" s="52"/>
      <c r="B76" s="52"/>
      <c r="C76" s="104"/>
      <c r="D76" s="104"/>
      <c r="E76" s="104"/>
      <c r="F76" s="82"/>
      <c r="G76" s="81"/>
      <c r="H76" s="81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97" t="e">
        <f t="shared" si="41"/>
        <v>#DIV/0!</v>
      </c>
      <c r="U76" s="4">
        <f t="shared" ca="1" si="42"/>
        <v>41899</v>
      </c>
      <c r="V76" s="4">
        <f t="shared" ca="1" si="43"/>
        <v>-41539</v>
      </c>
      <c r="W76" s="4" t="e">
        <f t="shared" ca="1" si="44"/>
        <v>#NUM!</v>
      </c>
      <c r="X76" s="13" t="e">
        <f t="shared" ca="1" si="45"/>
        <v>#NUM!</v>
      </c>
      <c r="Y76" s="5" t="e">
        <f t="shared" si="46"/>
        <v>#DIV/0!</v>
      </c>
      <c r="Z76" s="15" t="str">
        <f t="shared" si="47"/>
        <v/>
      </c>
      <c r="AA76" s="15" t="str">
        <f t="shared" si="48"/>
        <v/>
      </c>
      <c r="AB76" s="15" t="str">
        <f t="shared" si="49"/>
        <v/>
      </c>
      <c r="AC76" s="15" t="str">
        <f t="shared" si="50"/>
        <v/>
      </c>
      <c r="AD76" s="15" t="str">
        <f t="shared" si="51"/>
        <v/>
      </c>
      <c r="AE76" s="15" t="str">
        <f t="shared" si="52"/>
        <v/>
      </c>
      <c r="AF76" s="15" t="str">
        <f t="shared" si="53"/>
        <v/>
      </c>
      <c r="AG76" s="15" t="str">
        <f t="shared" si="54"/>
        <v/>
      </c>
      <c r="AH76" s="15" t="str">
        <f t="shared" si="55"/>
        <v/>
      </c>
      <c r="AI76" s="15" t="str">
        <f t="shared" si="56"/>
        <v/>
      </c>
      <c r="AJ76" s="15" t="str">
        <f t="shared" si="57"/>
        <v/>
      </c>
      <c r="AK76" s="15" t="str">
        <f t="shared" si="58"/>
        <v/>
      </c>
      <c r="AL76" s="15" t="str">
        <f t="shared" si="59"/>
        <v/>
      </c>
      <c r="AM76" s="5">
        <f t="shared" si="60"/>
        <v>0</v>
      </c>
    </row>
    <row r="77" spans="1:39">
      <c r="A77" s="52"/>
      <c r="B77" s="52"/>
      <c r="C77" s="104"/>
      <c r="D77" s="104"/>
      <c r="E77" s="104"/>
      <c r="F77" s="82"/>
      <c r="G77" s="81"/>
      <c r="H77" s="81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97" t="e">
        <f t="shared" si="41"/>
        <v>#DIV/0!</v>
      </c>
      <c r="U77" s="4">
        <f t="shared" ca="1" si="42"/>
        <v>41899</v>
      </c>
      <c r="V77" s="4">
        <f t="shared" ca="1" si="43"/>
        <v>-41539</v>
      </c>
      <c r="W77" s="4" t="e">
        <f t="shared" ca="1" si="44"/>
        <v>#NUM!</v>
      </c>
      <c r="X77" s="13" t="e">
        <f t="shared" ca="1" si="45"/>
        <v>#NUM!</v>
      </c>
      <c r="Y77" s="5" t="e">
        <f t="shared" si="46"/>
        <v>#DIV/0!</v>
      </c>
      <c r="Z77" s="15" t="str">
        <f t="shared" si="47"/>
        <v/>
      </c>
      <c r="AA77" s="15" t="str">
        <f t="shared" si="48"/>
        <v/>
      </c>
      <c r="AB77" s="15" t="str">
        <f t="shared" si="49"/>
        <v/>
      </c>
      <c r="AC77" s="15" t="str">
        <f t="shared" si="50"/>
        <v/>
      </c>
      <c r="AD77" s="15" t="str">
        <f t="shared" si="51"/>
        <v/>
      </c>
      <c r="AE77" s="15" t="str">
        <f t="shared" si="52"/>
        <v/>
      </c>
      <c r="AF77" s="15" t="str">
        <f t="shared" si="53"/>
        <v/>
      </c>
      <c r="AG77" s="15" t="str">
        <f t="shared" si="54"/>
        <v/>
      </c>
      <c r="AH77" s="15" t="str">
        <f t="shared" si="55"/>
        <v/>
      </c>
      <c r="AI77" s="15" t="str">
        <f t="shared" si="56"/>
        <v/>
      </c>
      <c r="AJ77" s="15" t="str">
        <f t="shared" si="57"/>
        <v/>
      </c>
      <c r="AK77" s="15" t="str">
        <f t="shared" si="58"/>
        <v/>
      </c>
      <c r="AL77" s="15" t="str">
        <f t="shared" si="59"/>
        <v/>
      </c>
      <c r="AM77" s="5">
        <f t="shared" si="60"/>
        <v>0</v>
      </c>
    </row>
    <row r="78" spans="1:39">
      <c r="A78" s="52"/>
      <c r="B78" s="52"/>
      <c r="C78" s="104"/>
      <c r="D78" s="104"/>
      <c r="E78" s="104"/>
      <c r="F78" s="82"/>
      <c r="G78" s="81"/>
      <c r="H78" s="81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97" t="e">
        <f t="shared" si="41"/>
        <v>#DIV/0!</v>
      </c>
      <c r="U78" s="4">
        <f t="shared" ca="1" si="42"/>
        <v>41899</v>
      </c>
      <c r="V78" s="4">
        <f t="shared" ca="1" si="43"/>
        <v>-41539</v>
      </c>
      <c r="W78" s="4" t="e">
        <f t="shared" ca="1" si="44"/>
        <v>#NUM!</v>
      </c>
      <c r="X78" s="13" t="e">
        <f t="shared" ca="1" si="45"/>
        <v>#NUM!</v>
      </c>
      <c r="Y78" s="5" t="e">
        <f t="shared" si="46"/>
        <v>#DIV/0!</v>
      </c>
      <c r="Z78" s="15" t="str">
        <f t="shared" si="47"/>
        <v/>
      </c>
      <c r="AA78" s="15" t="str">
        <f t="shared" si="48"/>
        <v/>
      </c>
      <c r="AB78" s="15" t="str">
        <f t="shared" si="49"/>
        <v/>
      </c>
      <c r="AC78" s="15" t="str">
        <f t="shared" si="50"/>
        <v/>
      </c>
      <c r="AD78" s="15" t="str">
        <f t="shared" si="51"/>
        <v/>
      </c>
      <c r="AE78" s="15" t="str">
        <f t="shared" si="52"/>
        <v/>
      </c>
      <c r="AF78" s="15" t="str">
        <f t="shared" si="53"/>
        <v/>
      </c>
      <c r="AG78" s="15" t="str">
        <f t="shared" si="54"/>
        <v/>
      </c>
      <c r="AH78" s="15" t="str">
        <f t="shared" si="55"/>
        <v/>
      </c>
      <c r="AI78" s="15" t="str">
        <f t="shared" si="56"/>
        <v/>
      </c>
      <c r="AJ78" s="15" t="str">
        <f t="shared" si="57"/>
        <v/>
      </c>
      <c r="AK78" s="15" t="str">
        <f t="shared" si="58"/>
        <v/>
      </c>
      <c r="AL78" s="15" t="str">
        <f t="shared" si="59"/>
        <v/>
      </c>
      <c r="AM78" s="5">
        <f t="shared" si="60"/>
        <v>0</v>
      </c>
    </row>
    <row r="79" spans="1:39">
      <c r="A79" s="52"/>
      <c r="B79" s="52"/>
      <c r="C79" s="104"/>
      <c r="D79" s="104"/>
      <c r="E79" s="104"/>
      <c r="F79" s="82"/>
      <c r="G79" s="81"/>
      <c r="H79" s="81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97" t="e">
        <f t="shared" si="41"/>
        <v>#DIV/0!</v>
      </c>
      <c r="U79" s="4">
        <f t="shared" ca="1" si="42"/>
        <v>41899</v>
      </c>
      <c r="V79" s="4">
        <f t="shared" ca="1" si="43"/>
        <v>-41539</v>
      </c>
      <c r="W79" s="4" t="e">
        <f t="shared" ca="1" si="44"/>
        <v>#NUM!</v>
      </c>
      <c r="X79" s="13" t="e">
        <f t="shared" ca="1" si="45"/>
        <v>#NUM!</v>
      </c>
      <c r="Y79" s="5" t="e">
        <f t="shared" si="46"/>
        <v>#DIV/0!</v>
      </c>
      <c r="Z79" s="15" t="str">
        <f t="shared" si="47"/>
        <v/>
      </c>
      <c r="AA79" s="15" t="str">
        <f t="shared" si="48"/>
        <v/>
      </c>
      <c r="AB79" s="15" t="str">
        <f t="shared" si="49"/>
        <v/>
      </c>
      <c r="AC79" s="15" t="str">
        <f t="shared" si="50"/>
        <v/>
      </c>
      <c r="AD79" s="15" t="str">
        <f t="shared" si="51"/>
        <v/>
      </c>
      <c r="AE79" s="15" t="str">
        <f t="shared" si="52"/>
        <v/>
      </c>
      <c r="AF79" s="15" t="str">
        <f t="shared" si="53"/>
        <v/>
      </c>
      <c r="AG79" s="15" t="str">
        <f t="shared" si="54"/>
        <v/>
      </c>
      <c r="AH79" s="15" t="str">
        <f t="shared" si="55"/>
        <v/>
      </c>
      <c r="AI79" s="15" t="str">
        <f t="shared" si="56"/>
        <v/>
      </c>
      <c r="AJ79" s="15" t="str">
        <f t="shared" si="57"/>
        <v/>
      </c>
      <c r="AK79" s="15" t="str">
        <f t="shared" si="58"/>
        <v/>
      </c>
      <c r="AL79" s="15" t="str">
        <f t="shared" si="59"/>
        <v/>
      </c>
      <c r="AM79" s="5">
        <f t="shared" si="60"/>
        <v>0</v>
      </c>
    </row>
    <row r="80" spans="1:39">
      <c r="A80" s="52"/>
      <c r="B80" s="52"/>
      <c r="C80" s="104"/>
      <c r="D80" s="104"/>
      <c r="E80" s="104"/>
      <c r="F80" s="82"/>
      <c r="G80" s="81"/>
      <c r="H80" s="81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97" t="e">
        <f t="shared" si="41"/>
        <v>#DIV/0!</v>
      </c>
      <c r="U80" s="4">
        <f t="shared" ca="1" si="42"/>
        <v>41899</v>
      </c>
      <c r="V80" s="4">
        <f t="shared" ca="1" si="43"/>
        <v>-41539</v>
      </c>
      <c r="W80" s="4" t="e">
        <f t="shared" ca="1" si="44"/>
        <v>#NUM!</v>
      </c>
      <c r="X80" s="13" t="e">
        <f t="shared" ca="1" si="45"/>
        <v>#NUM!</v>
      </c>
      <c r="Y80" s="5" t="e">
        <f t="shared" si="46"/>
        <v>#DIV/0!</v>
      </c>
      <c r="Z80" s="15" t="str">
        <f t="shared" si="47"/>
        <v/>
      </c>
      <c r="AA80" s="15" t="str">
        <f t="shared" si="48"/>
        <v/>
      </c>
      <c r="AB80" s="15" t="str">
        <f t="shared" si="49"/>
        <v/>
      </c>
      <c r="AC80" s="15" t="str">
        <f t="shared" si="50"/>
        <v/>
      </c>
      <c r="AD80" s="15" t="str">
        <f t="shared" si="51"/>
        <v/>
      </c>
      <c r="AE80" s="15" t="str">
        <f t="shared" si="52"/>
        <v/>
      </c>
      <c r="AF80" s="15" t="str">
        <f t="shared" si="53"/>
        <v/>
      </c>
      <c r="AG80" s="15" t="str">
        <f t="shared" si="54"/>
        <v/>
      </c>
      <c r="AH80" s="15" t="str">
        <f t="shared" si="55"/>
        <v/>
      </c>
      <c r="AI80" s="15" t="str">
        <f t="shared" si="56"/>
        <v/>
      </c>
      <c r="AJ80" s="15" t="str">
        <f t="shared" si="57"/>
        <v/>
      </c>
      <c r="AK80" s="15" t="str">
        <f t="shared" si="58"/>
        <v/>
      </c>
      <c r="AL80" s="15" t="str">
        <f t="shared" si="59"/>
        <v/>
      </c>
      <c r="AM80" s="5">
        <f t="shared" si="60"/>
        <v>0</v>
      </c>
    </row>
    <row r="81" spans="1:39">
      <c r="A81" s="52"/>
      <c r="B81" s="52"/>
      <c r="C81" s="104"/>
      <c r="D81" s="104"/>
      <c r="E81" s="104"/>
      <c r="F81" s="82"/>
      <c r="G81" s="81"/>
      <c r="H81" s="81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97" t="e">
        <f t="shared" si="41"/>
        <v>#DIV/0!</v>
      </c>
      <c r="U81" s="4">
        <f t="shared" ca="1" si="42"/>
        <v>41899</v>
      </c>
      <c r="V81" s="4">
        <f t="shared" ca="1" si="43"/>
        <v>-41539</v>
      </c>
      <c r="W81" s="4" t="e">
        <f t="shared" ca="1" si="44"/>
        <v>#NUM!</v>
      </c>
      <c r="X81" s="13" t="e">
        <f t="shared" ca="1" si="45"/>
        <v>#NUM!</v>
      </c>
      <c r="Y81" s="5" t="e">
        <f t="shared" si="46"/>
        <v>#DIV/0!</v>
      </c>
      <c r="Z81" s="15" t="str">
        <f t="shared" si="47"/>
        <v/>
      </c>
      <c r="AA81" s="15" t="str">
        <f t="shared" si="48"/>
        <v/>
      </c>
      <c r="AB81" s="15" t="str">
        <f t="shared" si="49"/>
        <v/>
      </c>
      <c r="AC81" s="15" t="str">
        <f t="shared" si="50"/>
        <v/>
      </c>
      <c r="AD81" s="15" t="str">
        <f t="shared" si="51"/>
        <v/>
      </c>
      <c r="AE81" s="15" t="str">
        <f t="shared" si="52"/>
        <v/>
      </c>
      <c r="AF81" s="15" t="str">
        <f t="shared" si="53"/>
        <v/>
      </c>
      <c r="AG81" s="15" t="str">
        <f t="shared" si="54"/>
        <v/>
      </c>
      <c r="AH81" s="15" t="str">
        <f t="shared" si="55"/>
        <v/>
      </c>
      <c r="AI81" s="15" t="str">
        <f t="shared" si="56"/>
        <v/>
      </c>
      <c r="AJ81" s="15" t="str">
        <f t="shared" si="57"/>
        <v/>
      </c>
      <c r="AK81" s="15" t="str">
        <f t="shared" si="58"/>
        <v/>
      </c>
      <c r="AL81" s="15" t="str">
        <f t="shared" si="59"/>
        <v/>
      </c>
      <c r="AM81" s="5">
        <f t="shared" si="60"/>
        <v>0</v>
      </c>
    </row>
    <row r="82" spans="1:39">
      <c r="A82" s="52"/>
      <c r="B82" s="52"/>
      <c r="C82" s="104"/>
      <c r="D82" s="104"/>
      <c r="E82" s="104"/>
      <c r="F82" s="82"/>
      <c r="G82" s="81"/>
      <c r="H82" s="81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97" t="e">
        <f t="shared" si="41"/>
        <v>#DIV/0!</v>
      </c>
      <c r="U82" s="4">
        <f t="shared" ca="1" si="42"/>
        <v>41899</v>
      </c>
      <c r="V82" s="4">
        <f t="shared" ca="1" si="43"/>
        <v>-41539</v>
      </c>
      <c r="W82" s="4" t="e">
        <f t="shared" ca="1" si="44"/>
        <v>#NUM!</v>
      </c>
      <c r="X82" s="13" t="e">
        <f t="shared" ca="1" si="45"/>
        <v>#NUM!</v>
      </c>
      <c r="Y82" s="5" t="e">
        <f t="shared" si="46"/>
        <v>#DIV/0!</v>
      </c>
      <c r="Z82" s="15" t="str">
        <f t="shared" si="47"/>
        <v/>
      </c>
      <c r="AA82" s="15" t="str">
        <f t="shared" si="48"/>
        <v/>
      </c>
      <c r="AB82" s="15" t="str">
        <f t="shared" si="49"/>
        <v/>
      </c>
      <c r="AC82" s="15" t="str">
        <f t="shared" si="50"/>
        <v/>
      </c>
      <c r="AD82" s="15" t="str">
        <f t="shared" si="51"/>
        <v/>
      </c>
      <c r="AE82" s="15" t="str">
        <f t="shared" si="52"/>
        <v/>
      </c>
      <c r="AF82" s="15" t="str">
        <f t="shared" si="53"/>
        <v/>
      </c>
      <c r="AG82" s="15" t="str">
        <f t="shared" si="54"/>
        <v/>
      </c>
      <c r="AH82" s="15" t="str">
        <f t="shared" si="55"/>
        <v/>
      </c>
      <c r="AI82" s="15" t="str">
        <f t="shared" si="56"/>
        <v/>
      </c>
      <c r="AJ82" s="15" t="str">
        <f t="shared" si="57"/>
        <v/>
      </c>
      <c r="AK82" s="15" t="str">
        <f t="shared" si="58"/>
        <v/>
      </c>
      <c r="AL82" s="15" t="str">
        <f t="shared" si="59"/>
        <v/>
      </c>
      <c r="AM82" s="5">
        <f t="shared" si="60"/>
        <v>0</v>
      </c>
    </row>
    <row r="83" spans="1:39">
      <c r="A83" s="52"/>
      <c r="B83" s="52"/>
      <c r="C83" s="104"/>
      <c r="D83" s="104"/>
      <c r="E83" s="104"/>
      <c r="F83" s="82"/>
      <c r="G83" s="81"/>
      <c r="H83" s="81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97" t="e">
        <f t="shared" si="41"/>
        <v>#DIV/0!</v>
      </c>
      <c r="U83" s="4">
        <f t="shared" ca="1" si="42"/>
        <v>41899</v>
      </c>
      <c r="V83" s="4">
        <f t="shared" ca="1" si="43"/>
        <v>-41539</v>
      </c>
      <c r="W83" s="4" t="e">
        <f t="shared" ca="1" si="44"/>
        <v>#NUM!</v>
      </c>
      <c r="X83" s="13" t="e">
        <f t="shared" ca="1" si="45"/>
        <v>#NUM!</v>
      </c>
      <c r="Y83" s="5" t="e">
        <f t="shared" si="46"/>
        <v>#DIV/0!</v>
      </c>
      <c r="Z83" s="15" t="str">
        <f t="shared" si="47"/>
        <v/>
      </c>
      <c r="AA83" s="15" t="str">
        <f t="shared" si="48"/>
        <v/>
      </c>
      <c r="AB83" s="15" t="str">
        <f t="shared" si="49"/>
        <v/>
      </c>
      <c r="AC83" s="15" t="str">
        <f t="shared" si="50"/>
        <v/>
      </c>
      <c r="AD83" s="15" t="str">
        <f t="shared" si="51"/>
        <v/>
      </c>
      <c r="AE83" s="15" t="str">
        <f t="shared" si="52"/>
        <v/>
      </c>
      <c r="AF83" s="15" t="str">
        <f t="shared" si="53"/>
        <v/>
      </c>
      <c r="AG83" s="15" t="str">
        <f t="shared" si="54"/>
        <v/>
      </c>
      <c r="AH83" s="15" t="str">
        <f t="shared" si="55"/>
        <v/>
      </c>
      <c r="AI83" s="15" t="str">
        <f t="shared" si="56"/>
        <v/>
      </c>
      <c r="AJ83" s="15" t="str">
        <f t="shared" si="57"/>
        <v/>
      </c>
      <c r="AK83" s="15" t="str">
        <f t="shared" si="58"/>
        <v/>
      </c>
      <c r="AL83" s="15" t="str">
        <f t="shared" si="59"/>
        <v/>
      </c>
      <c r="AM83" s="5">
        <f t="shared" si="60"/>
        <v>0</v>
      </c>
    </row>
    <row r="84" spans="1:39">
      <c r="A84" s="52"/>
      <c r="B84" s="52"/>
      <c r="C84" s="104"/>
      <c r="D84" s="104"/>
      <c r="E84" s="104"/>
      <c r="F84" s="82"/>
      <c r="G84" s="81"/>
      <c r="H84" s="81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97" t="e">
        <f t="shared" si="41"/>
        <v>#DIV/0!</v>
      </c>
      <c r="U84" s="4">
        <f t="shared" ca="1" si="42"/>
        <v>41899</v>
      </c>
      <c r="V84" s="4">
        <f t="shared" ca="1" si="43"/>
        <v>-41539</v>
      </c>
      <c r="W84" s="4" t="e">
        <f t="shared" ca="1" si="44"/>
        <v>#NUM!</v>
      </c>
      <c r="X84" s="13" t="e">
        <f t="shared" ca="1" si="45"/>
        <v>#NUM!</v>
      </c>
      <c r="Y84" s="5" t="e">
        <f t="shared" si="46"/>
        <v>#DIV/0!</v>
      </c>
      <c r="Z84" s="15" t="str">
        <f t="shared" si="47"/>
        <v/>
      </c>
      <c r="AA84" s="15" t="str">
        <f t="shared" si="48"/>
        <v/>
      </c>
      <c r="AB84" s="15" t="str">
        <f t="shared" si="49"/>
        <v/>
      </c>
      <c r="AC84" s="15" t="str">
        <f t="shared" si="50"/>
        <v/>
      </c>
      <c r="AD84" s="15" t="str">
        <f t="shared" si="51"/>
        <v/>
      </c>
      <c r="AE84" s="15" t="str">
        <f t="shared" si="52"/>
        <v/>
      </c>
      <c r="AF84" s="15" t="str">
        <f t="shared" si="53"/>
        <v/>
      </c>
      <c r="AG84" s="15" t="str">
        <f t="shared" si="54"/>
        <v/>
      </c>
      <c r="AH84" s="15" t="str">
        <f t="shared" si="55"/>
        <v/>
      </c>
      <c r="AI84" s="15" t="str">
        <f t="shared" si="56"/>
        <v/>
      </c>
      <c r="AJ84" s="15" t="str">
        <f t="shared" si="57"/>
        <v/>
      </c>
      <c r="AK84" s="15" t="str">
        <f t="shared" si="58"/>
        <v/>
      </c>
      <c r="AL84" s="15" t="str">
        <f t="shared" si="59"/>
        <v/>
      </c>
      <c r="AM84" s="5">
        <f t="shared" si="60"/>
        <v>0</v>
      </c>
    </row>
    <row r="85" spans="1:39">
      <c r="A85" s="52"/>
      <c r="B85" s="52"/>
      <c r="C85" s="104"/>
      <c r="D85" s="104"/>
      <c r="E85" s="104"/>
      <c r="F85" s="82"/>
      <c r="G85" s="81"/>
      <c r="H85" s="81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97" t="e">
        <f t="shared" si="41"/>
        <v>#DIV/0!</v>
      </c>
      <c r="U85" s="4">
        <f t="shared" ca="1" si="42"/>
        <v>41899</v>
      </c>
      <c r="V85" s="4">
        <f t="shared" ca="1" si="43"/>
        <v>-41539</v>
      </c>
      <c r="W85" s="4" t="e">
        <f t="shared" ca="1" si="44"/>
        <v>#NUM!</v>
      </c>
      <c r="X85" s="13" t="e">
        <f t="shared" ca="1" si="45"/>
        <v>#NUM!</v>
      </c>
      <c r="Y85" s="5" t="e">
        <f t="shared" si="46"/>
        <v>#DIV/0!</v>
      </c>
      <c r="Z85" s="15" t="str">
        <f t="shared" si="47"/>
        <v/>
      </c>
      <c r="AA85" s="15" t="str">
        <f t="shared" si="48"/>
        <v/>
      </c>
      <c r="AB85" s="15" t="str">
        <f t="shared" si="49"/>
        <v/>
      </c>
      <c r="AC85" s="15" t="str">
        <f t="shared" si="50"/>
        <v/>
      </c>
      <c r="AD85" s="15" t="str">
        <f t="shared" si="51"/>
        <v/>
      </c>
      <c r="AE85" s="15" t="str">
        <f t="shared" si="52"/>
        <v/>
      </c>
      <c r="AF85" s="15" t="str">
        <f t="shared" si="53"/>
        <v/>
      </c>
      <c r="AG85" s="15" t="str">
        <f t="shared" si="54"/>
        <v/>
      </c>
      <c r="AH85" s="15" t="str">
        <f t="shared" si="55"/>
        <v/>
      </c>
      <c r="AI85" s="15" t="str">
        <f t="shared" si="56"/>
        <v/>
      </c>
      <c r="AJ85" s="15" t="str">
        <f t="shared" si="57"/>
        <v/>
      </c>
      <c r="AK85" s="15" t="str">
        <f t="shared" si="58"/>
        <v/>
      </c>
      <c r="AL85" s="15" t="str">
        <f t="shared" si="59"/>
        <v/>
      </c>
      <c r="AM85" s="5">
        <f t="shared" si="60"/>
        <v>0</v>
      </c>
    </row>
    <row r="86" spans="1:39">
      <c r="A86" s="52"/>
      <c r="B86" s="52"/>
      <c r="C86" s="104"/>
      <c r="D86" s="104"/>
      <c r="E86" s="104"/>
      <c r="F86" s="82"/>
      <c r="G86" s="81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97" t="e">
        <f t="shared" si="41"/>
        <v>#DIV/0!</v>
      </c>
      <c r="U86" s="4">
        <f t="shared" ca="1" si="42"/>
        <v>41899</v>
      </c>
      <c r="V86" s="4">
        <f t="shared" ca="1" si="43"/>
        <v>-41539</v>
      </c>
      <c r="W86" s="4" t="e">
        <f t="shared" ca="1" si="44"/>
        <v>#NUM!</v>
      </c>
      <c r="X86" s="13" t="e">
        <f t="shared" ca="1" si="45"/>
        <v>#NUM!</v>
      </c>
      <c r="Y86" s="5" t="e">
        <f t="shared" si="46"/>
        <v>#DIV/0!</v>
      </c>
      <c r="Z86" s="15" t="str">
        <f t="shared" si="47"/>
        <v/>
      </c>
      <c r="AA86" s="15" t="str">
        <f t="shared" si="48"/>
        <v/>
      </c>
      <c r="AB86" s="15" t="str">
        <f t="shared" si="49"/>
        <v/>
      </c>
      <c r="AC86" s="15" t="str">
        <f t="shared" si="50"/>
        <v/>
      </c>
      <c r="AD86" s="15" t="str">
        <f t="shared" si="51"/>
        <v/>
      </c>
      <c r="AE86" s="15" t="str">
        <f t="shared" si="52"/>
        <v/>
      </c>
      <c r="AF86" s="15" t="str">
        <f t="shared" si="53"/>
        <v/>
      </c>
      <c r="AG86" s="15" t="str">
        <f t="shared" si="54"/>
        <v/>
      </c>
      <c r="AH86" s="15" t="str">
        <f t="shared" si="55"/>
        <v/>
      </c>
      <c r="AI86" s="15" t="str">
        <f t="shared" si="56"/>
        <v/>
      </c>
      <c r="AJ86" s="15" t="str">
        <f t="shared" si="57"/>
        <v/>
      </c>
      <c r="AK86" s="15" t="str">
        <f t="shared" si="58"/>
        <v/>
      </c>
      <c r="AL86" s="15" t="str">
        <f t="shared" si="59"/>
        <v/>
      </c>
      <c r="AM86" s="5">
        <f t="shared" si="60"/>
        <v>0</v>
      </c>
    </row>
    <row r="87" spans="1:39">
      <c r="A87" s="52"/>
      <c r="B87" s="52"/>
      <c r="C87" s="104"/>
      <c r="D87" s="104"/>
      <c r="E87" s="104"/>
      <c r="F87" s="82"/>
      <c r="G87" s="81"/>
      <c r="H87" s="81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97" t="e">
        <f t="shared" si="41"/>
        <v>#DIV/0!</v>
      </c>
      <c r="U87" s="4">
        <f t="shared" ca="1" si="42"/>
        <v>41899</v>
      </c>
      <c r="V87" s="4">
        <f t="shared" ca="1" si="43"/>
        <v>-41539</v>
      </c>
      <c r="W87" s="4" t="e">
        <f t="shared" ca="1" si="44"/>
        <v>#NUM!</v>
      </c>
      <c r="X87" s="13" t="e">
        <f t="shared" ca="1" si="45"/>
        <v>#NUM!</v>
      </c>
      <c r="Y87" s="5" t="e">
        <f t="shared" si="46"/>
        <v>#DIV/0!</v>
      </c>
      <c r="Z87" s="15" t="str">
        <f t="shared" si="47"/>
        <v/>
      </c>
      <c r="AA87" s="15" t="str">
        <f t="shared" si="48"/>
        <v/>
      </c>
      <c r="AB87" s="15" t="str">
        <f t="shared" si="49"/>
        <v/>
      </c>
      <c r="AC87" s="15" t="str">
        <f t="shared" si="50"/>
        <v/>
      </c>
      <c r="AD87" s="15" t="str">
        <f t="shared" si="51"/>
        <v/>
      </c>
      <c r="AE87" s="15" t="str">
        <f t="shared" si="52"/>
        <v/>
      </c>
      <c r="AF87" s="15" t="str">
        <f t="shared" si="53"/>
        <v/>
      </c>
      <c r="AG87" s="15" t="str">
        <f t="shared" si="54"/>
        <v/>
      </c>
      <c r="AH87" s="15" t="str">
        <f t="shared" si="55"/>
        <v/>
      </c>
      <c r="AI87" s="15" t="str">
        <f t="shared" si="56"/>
        <v/>
      </c>
      <c r="AJ87" s="15" t="str">
        <f t="shared" si="57"/>
        <v/>
      </c>
      <c r="AK87" s="15" t="str">
        <f t="shared" si="58"/>
        <v/>
      </c>
      <c r="AL87" s="15" t="str">
        <f t="shared" si="59"/>
        <v/>
      </c>
      <c r="AM87" s="5">
        <f t="shared" si="60"/>
        <v>0</v>
      </c>
    </row>
    <row r="88" spans="1:39">
      <c r="A88" s="52"/>
      <c r="B88" s="52"/>
      <c r="C88" s="104"/>
      <c r="D88" s="104"/>
      <c r="E88" s="104"/>
      <c r="F88" s="82"/>
      <c r="G88" s="81"/>
      <c r="H88" s="81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97" t="e">
        <f t="shared" si="41"/>
        <v>#DIV/0!</v>
      </c>
      <c r="U88" s="4">
        <f t="shared" ca="1" si="42"/>
        <v>41899</v>
      </c>
      <c r="V88" s="4">
        <f t="shared" ca="1" si="43"/>
        <v>-41539</v>
      </c>
      <c r="W88" s="4" t="e">
        <f t="shared" ca="1" si="44"/>
        <v>#NUM!</v>
      </c>
      <c r="X88" s="13" t="e">
        <f t="shared" ca="1" si="45"/>
        <v>#NUM!</v>
      </c>
      <c r="Y88" s="5" t="e">
        <f t="shared" si="46"/>
        <v>#DIV/0!</v>
      </c>
      <c r="Z88" s="15" t="str">
        <f t="shared" si="47"/>
        <v/>
      </c>
      <c r="AA88" s="15" t="str">
        <f t="shared" si="48"/>
        <v/>
      </c>
      <c r="AB88" s="15" t="str">
        <f t="shared" si="49"/>
        <v/>
      </c>
      <c r="AC88" s="15" t="str">
        <f t="shared" si="50"/>
        <v/>
      </c>
      <c r="AD88" s="15" t="str">
        <f t="shared" si="51"/>
        <v/>
      </c>
      <c r="AE88" s="15" t="str">
        <f t="shared" si="52"/>
        <v/>
      </c>
      <c r="AF88" s="15" t="str">
        <f t="shared" si="53"/>
        <v/>
      </c>
      <c r="AG88" s="15" t="str">
        <f t="shared" si="54"/>
        <v/>
      </c>
      <c r="AH88" s="15" t="str">
        <f t="shared" si="55"/>
        <v/>
      </c>
      <c r="AI88" s="15" t="str">
        <f t="shared" si="56"/>
        <v/>
      </c>
      <c r="AJ88" s="15" t="str">
        <f t="shared" si="57"/>
        <v/>
      </c>
      <c r="AK88" s="15" t="str">
        <f t="shared" si="58"/>
        <v/>
      </c>
      <c r="AL88" s="15" t="str">
        <f t="shared" si="59"/>
        <v/>
      </c>
      <c r="AM88" s="5">
        <f t="shared" si="60"/>
        <v>0</v>
      </c>
    </row>
    <row r="89" spans="1:39">
      <c r="A89" s="52"/>
      <c r="B89" s="52"/>
      <c r="C89" s="104"/>
      <c r="D89" s="104"/>
      <c r="E89" s="104"/>
      <c r="F89" s="82"/>
      <c r="G89" s="81"/>
      <c r="H89" s="81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97" t="e">
        <f t="shared" si="41"/>
        <v>#DIV/0!</v>
      </c>
      <c r="U89" s="4">
        <f t="shared" ca="1" si="42"/>
        <v>41899</v>
      </c>
      <c r="V89" s="4">
        <f t="shared" ca="1" si="43"/>
        <v>-41539</v>
      </c>
      <c r="W89" s="4" t="e">
        <f t="shared" ca="1" si="44"/>
        <v>#NUM!</v>
      </c>
      <c r="X89" s="13" t="e">
        <f t="shared" ca="1" si="45"/>
        <v>#NUM!</v>
      </c>
      <c r="Y89" s="5" t="e">
        <f t="shared" si="46"/>
        <v>#DIV/0!</v>
      </c>
      <c r="Z89" s="15" t="str">
        <f t="shared" si="47"/>
        <v/>
      </c>
      <c r="AA89" s="15" t="str">
        <f t="shared" si="48"/>
        <v/>
      </c>
      <c r="AB89" s="15" t="str">
        <f t="shared" si="49"/>
        <v/>
      </c>
      <c r="AC89" s="15" t="str">
        <f t="shared" si="50"/>
        <v/>
      </c>
      <c r="AD89" s="15" t="str">
        <f t="shared" si="51"/>
        <v/>
      </c>
      <c r="AE89" s="15" t="str">
        <f t="shared" si="52"/>
        <v/>
      </c>
      <c r="AF89" s="15" t="str">
        <f t="shared" si="53"/>
        <v/>
      </c>
      <c r="AG89" s="15" t="str">
        <f t="shared" si="54"/>
        <v/>
      </c>
      <c r="AH89" s="15" t="str">
        <f t="shared" si="55"/>
        <v/>
      </c>
      <c r="AI89" s="15" t="str">
        <f t="shared" si="56"/>
        <v/>
      </c>
      <c r="AJ89" s="15" t="str">
        <f t="shared" si="57"/>
        <v/>
      </c>
      <c r="AK89" s="15" t="str">
        <f t="shared" si="58"/>
        <v/>
      </c>
      <c r="AL89" s="15" t="str">
        <f t="shared" si="59"/>
        <v/>
      </c>
      <c r="AM89" s="5">
        <f t="shared" si="60"/>
        <v>0</v>
      </c>
    </row>
    <row r="90" spans="1:39">
      <c r="A90" s="52"/>
      <c r="B90" s="52"/>
      <c r="C90" s="104"/>
      <c r="D90" s="104"/>
      <c r="E90" s="104"/>
      <c r="F90" s="82"/>
      <c r="G90" s="81"/>
      <c r="H90" s="81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97" t="e">
        <f t="shared" si="41"/>
        <v>#DIV/0!</v>
      </c>
      <c r="U90" s="4">
        <f t="shared" ca="1" si="42"/>
        <v>41899</v>
      </c>
      <c r="V90" s="4">
        <f t="shared" ca="1" si="43"/>
        <v>-41539</v>
      </c>
      <c r="W90" s="4" t="e">
        <f t="shared" ca="1" si="44"/>
        <v>#NUM!</v>
      </c>
      <c r="X90" s="13" t="e">
        <f t="shared" ca="1" si="45"/>
        <v>#NUM!</v>
      </c>
      <c r="Y90" s="5" t="e">
        <f t="shared" si="46"/>
        <v>#DIV/0!</v>
      </c>
      <c r="Z90" s="15" t="str">
        <f t="shared" si="47"/>
        <v/>
      </c>
      <c r="AA90" s="15" t="str">
        <f t="shared" si="48"/>
        <v/>
      </c>
      <c r="AB90" s="15" t="str">
        <f t="shared" si="49"/>
        <v/>
      </c>
      <c r="AC90" s="15" t="str">
        <f t="shared" si="50"/>
        <v/>
      </c>
      <c r="AD90" s="15" t="str">
        <f t="shared" si="51"/>
        <v/>
      </c>
      <c r="AE90" s="15" t="str">
        <f t="shared" si="52"/>
        <v/>
      </c>
      <c r="AF90" s="15" t="str">
        <f t="shared" si="53"/>
        <v/>
      </c>
      <c r="AG90" s="15" t="str">
        <f t="shared" si="54"/>
        <v/>
      </c>
      <c r="AH90" s="15" t="str">
        <f t="shared" si="55"/>
        <v/>
      </c>
      <c r="AI90" s="15" t="str">
        <f t="shared" si="56"/>
        <v/>
      </c>
      <c r="AJ90" s="15" t="str">
        <f t="shared" si="57"/>
        <v/>
      </c>
      <c r="AK90" s="15" t="str">
        <f t="shared" si="58"/>
        <v/>
      </c>
      <c r="AL90" s="15" t="str">
        <f t="shared" si="59"/>
        <v/>
      </c>
      <c r="AM90" s="5">
        <f t="shared" si="60"/>
        <v>0</v>
      </c>
    </row>
    <row r="91" spans="1:39">
      <c r="A91" s="52"/>
      <c r="B91" s="52"/>
      <c r="C91" s="104"/>
      <c r="D91" s="104"/>
      <c r="E91" s="104"/>
      <c r="F91" s="82"/>
      <c r="G91" s="81"/>
      <c r="H91" s="81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97" t="e">
        <f t="shared" si="41"/>
        <v>#DIV/0!</v>
      </c>
      <c r="U91" s="4">
        <f t="shared" ca="1" si="42"/>
        <v>41899</v>
      </c>
      <c r="V91" s="4">
        <f t="shared" ca="1" si="43"/>
        <v>-41539</v>
      </c>
      <c r="W91" s="4" t="e">
        <f t="shared" ca="1" si="44"/>
        <v>#NUM!</v>
      </c>
      <c r="X91" s="13" t="e">
        <f t="shared" ca="1" si="45"/>
        <v>#NUM!</v>
      </c>
      <c r="Y91" s="5" t="e">
        <f t="shared" si="46"/>
        <v>#DIV/0!</v>
      </c>
      <c r="Z91" s="15" t="str">
        <f t="shared" si="47"/>
        <v/>
      </c>
      <c r="AA91" s="15" t="str">
        <f t="shared" si="48"/>
        <v/>
      </c>
      <c r="AB91" s="15" t="str">
        <f t="shared" si="49"/>
        <v/>
      </c>
      <c r="AC91" s="15" t="str">
        <f t="shared" si="50"/>
        <v/>
      </c>
      <c r="AD91" s="15" t="str">
        <f t="shared" si="51"/>
        <v/>
      </c>
      <c r="AE91" s="15" t="str">
        <f t="shared" si="52"/>
        <v/>
      </c>
      <c r="AF91" s="15" t="str">
        <f t="shared" si="53"/>
        <v/>
      </c>
      <c r="AG91" s="15" t="str">
        <f t="shared" si="54"/>
        <v/>
      </c>
      <c r="AH91" s="15" t="str">
        <f t="shared" si="55"/>
        <v/>
      </c>
      <c r="AI91" s="15" t="str">
        <f t="shared" si="56"/>
        <v/>
      </c>
      <c r="AJ91" s="15" t="str">
        <f t="shared" si="57"/>
        <v/>
      </c>
      <c r="AK91" s="15" t="str">
        <f t="shared" si="58"/>
        <v/>
      </c>
      <c r="AL91" s="15" t="str">
        <f t="shared" si="59"/>
        <v/>
      </c>
      <c r="AM91" s="5">
        <f t="shared" si="60"/>
        <v>0</v>
      </c>
    </row>
    <row r="92" spans="1:39">
      <c r="A92" s="52"/>
      <c r="B92" s="52"/>
      <c r="C92" s="104"/>
      <c r="D92" s="104"/>
      <c r="E92" s="104"/>
      <c r="F92" s="82"/>
      <c r="G92" s="81"/>
      <c r="H92" s="81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97" t="e">
        <f t="shared" si="41"/>
        <v>#DIV/0!</v>
      </c>
      <c r="U92" s="4">
        <f t="shared" ca="1" si="42"/>
        <v>41899</v>
      </c>
      <c r="V92" s="4">
        <f t="shared" ca="1" si="43"/>
        <v>-41539</v>
      </c>
      <c r="W92" s="4" t="e">
        <f t="shared" ca="1" si="44"/>
        <v>#NUM!</v>
      </c>
      <c r="X92" s="13" t="e">
        <f t="shared" ca="1" si="45"/>
        <v>#NUM!</v>
      </c>
      <c r="Y92" s="5" t="e">
        <f t="shared" si="46"/>
        <v>#DIV/0!</v>
      </c>
      <c r="Z92" s="15" t="str">
        <f t="shared" si="47"/>
        <v/>
      </c>
      <c r="AA92" s="15" t="str">
        <f t="shared" si="48"/>
        <v/>
      </c>
      <c r="AB92" s="15" t="str">
        <f t="shared" si="49"/>
        <v/>
      </c>
      <c r="AC92" s="15" t="str">
        <f t="shared" si="50"/>
        <v/>
      </c>
      <c r="AD92" s="15" t="str">
        <f t="shared" si="51"/>
        <v/>
      </c>
      <c r="AE92" s="15" t="str">
        <f t="shared" si="52"/>
        <v/>
      </c>
      <c r="AF92" s="15" t="str">
        <f t="shared" si="53"/>
        <v/>
      </c>
      <c r="AG92" s="15" t="str">
        <f t="shared" si="54"/>
        <v/>
      </c>
      <c r="AH92" s="15" t="str">
        <f t="shared" si="55"/>
        <v/>
      </c>
      <c r="AI92" s="15" t="str">
        <f t="shared" si="56"/>
        <v/>
      </c>
      <c r="AJ92" s="15" t="str">
        <f t="shared" si="57"/>
        <v/>
      </c>
      <c r="AK92" s="15" t="str">
        <f t="shared" si="58"/>
        <v/>
      </c>
      <c r="AL92" s="15" t="str">
        <f t="shared" si="59"/>
        <v/>
      </c>
      <c r="AM92" s="5">
        <f t="shared" si="60"/>
        <v>0</v>
      </c>
    </row>
    <row r="93" spans="1:39">
      <c r="A93" s="52"/>
      <c r="B93" s="52"/>
      <c r="C93" s="104"/>
      <c r="D93" s="104"/>
      <c r="E93" s="104"/>
      <c r="F93" s="82"/>
      <c r="G93" s="81"/>
      <c r="H93" s="81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97" t="e">
        <f t="shared" si="41"/>
        <v>#DIV/0!</v>
      </c>
      <c r="U93" s="4">
        <f t="shared" ca="1" si="42"/>
        <v>41899</v>
      </c>
      <c r="V93" s="4">
        <f t="shared" ca="1" si="43"/>
        <v>-41539</v>
      </c>
      <c r="W93" s="4" t="e">
        <f t="shared" ca="1" si="44"/>
        <v>#NUM!</v>
      </c>
      <c r="X93" s="13" t="e">
        <f t="shared" ca="1" si="45"/>
        <v>#NUM!</v>
      </c>
      <c r="Y93" s="5" t="e">
        <f t="shared" si="46"/>
        <v>#DIV/0!</v>
      </c>
      <c r="Z93" s="15" t="str">
        <f t="shared" si="47"/>
        <v/>
      </c>
      <c r="AA93" s="15" t="str">
        <f t="shared" si="48"/>
        <v/>
      </c>
      <c r="AB93" s="15" t="str">
        <f t="shared" si="49"/>
        <v/>
      </c>
      <c r="AC93" s="15" t="str">
        <f t="shared" si="50"/>
        <v/>
      </c>
      <c r="AD93" s="15" t="str">
        <f t="shared" si="51"/>
        <v/>
      </c>
      <c r="AE93" s="15" t="str">
        <f t="shared" si="52"/>
        <v/>
      </c>
      <c r="AF93" s="15" t="str">
        <f t="shared" si="53"/>
        <v/>
      </c>
      <c r="AG93" s="15" t="str">
        <f t="shared" si="54"/>
        <v/>
      </c>
      <c r="AH93" s="15" t="str">
        <f t="shared" si="55"/>
        <v/>
      </c>
      <c r="AI93" s="15" t="str">
        <f t="shared" si="56"/>
        <v/>
      </c>
      <c r="AJ93" s="15" t="str">
        <f t="shared" si="57"/>
        <v/>
      </c>
      <c r="AK93" s="15" t="str">
        <f t="shared" si="58"/>
        <v/>
      </c>
      <c r="AL93" s="15" t="str">
        <f t="shared" si="59"/>
        <v/>
      </c>
      <c r="AM93" s="5">
        <f t="shared" si="60"/>
        <v>0</v>
      </c>
    </row>
    <row r="94" spans="1:39">
      <c r="A94" s="52"/>
      <c r="B94" s="52"/>
      <c r="C94" s="104"/>
      <c r="D94" s="104"/>
      <c r="E94" s="104"/>
      <c r="F94" s="82"/>
      <c r="G94" s="81"/>
      <c r="H94" s="81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97" t="e">
        <f t="shared" si="41"/>
        <v>#DIV/0!</v>
      </c>
      <c r="U94" s="4">
        <f t="shared" ca="1" si="42"/>
        <v>41899</v>
      </c>
      <c r="V94" s="4">
        <f t="shared" ca="1" si="43"/>
        <v>-41539</v>
      </c>
      <c r="W94" s="4" t="e">
        <f t="shared" ca="1" si="44"/>
        <v>#NUM!</v>
      </c>
      <c r="X94" s="13" t="e">
        <f t="shared" ca="1" si="45"/>
        <v>#NUM!</v>
      </c>
      <c r="Y94" s="5" t="e">
        <f t="shared" si="46"/>
        <v>#DIV/0!</v>
      </c>
      <c r="Z94" s="15" t="str">
        <f t="shared" si="47"/>
        <v/>
      </c>
      <c r="AA94" s="15" t="str">
        <f t="shared" si="48"/>
        <v/>
      </c>
      <c r="AB94" s="15" t="str">
        <f t="shared" si="49"/>
        <v/>
      </c>
      <c r="AC94" s="15" t="str">
        <f t="shared" si="50"/>
        <v/>
      </c>
      <c r="AD94" s="15" t="str">
        <f t="shared" si="51"/>
        <v/>
      </c>
      <c r="AE94" s="15" t="str">
        <f t="shared" si="52"/>
        <v/>
      </c>
      <c r="AF94" s="15" t="str">
        <f t="shared" si="53"/>
        <v/>
      </c>
      <c r="AG94" s="15" t="str">
        <f t="shared" si="54"/>
        <v/>
      </c>
      <c r="AH94" s="15" t="str">
        <f t="shared" si="55"/>
        <v/>
      </c>
      <c r="AI94" s="15" t="str">
        <f t="shared" si="56"/>
        <v/>
      </c>
      <c r="AJ94" s="15" t="str">
        <f t="shared" si="57"/>
        <v/>
      </c>
      <c r="AK94" s="15" t="str">
        <f t="shared" si="58"/>
        <v/>
      </c>
      <c r="AL94" s="15" t="str">
        <f t="shared" si="59"/>
        <v/>
      </c>
      <c r="AM94" s="5">
        <f t="shared" si="60"/>
        <v>0</v>
      </c>
    </row>
    <row r="95" spans="1:39">
      <c r="A95" s="52"/>
      <c r="B95" s="52"/>
      <c r="C95" s="104"/>
      <c r="D95" s="104"/>
      <c r="E95" s="104"/>
      <c r="F95" s="82"/>
      <c r="G95" s="81"/>
      <c r="H95" s="81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97" t="e">
        <f t="shared" si="41"/>
        <v>#DIV/0!</v>
      </c>
      <c r="U95" s="4">
        <f t="shared" ca="1" si="42"/>
        <v>41899</v>
      </c>
      <c r="V95" s="4">
        <f t="shared" ca="1" si="43"/>
        <v>-41539</v>
      </c>
      <c r="W95" s="4" t="e">
        <f t="shared" ca="1" si="44"/>
        <v>#NUM!</v>
      </c>
      <c r="X95" s="13" t="e">
        <f t="shared" ca="1" si="45"/>
        <v>#NUM!</v>
      </c>
      <c r="Y95" s="5" t="e">
        <f t="shared" si="46"/>
        <v>#DIV/0!</v>
      </c>
      <c r="Z95" s="15" t="str">
        <f t="shared" si="47"/>
        <v/>
      </c>
      <c r="AA95" s="15" t="str">
        <f t="shared" si="48"/>
        <v/>
      </c>
      <c r="AB95" s="15" t="str">
        <f t="shared" si="49"/>
        <v/>
      </c>
      <c r="AC95" s="15" t="str">
        <f t="shared" si="50"/>
        <v/>
      </c>
      <c r="AD95" s="15" t="str">
        <f t="shared" si="51"/>
        <v/>
      </c>
      <c r="AE95" s="15" t="str">
        <f t="shared" si="52"/>
        <v/>
      </c>
      <c r="AF95" s="15" t="str">
        <f t="shared" si="53"/>
        <v/>
      </c>
      <c r="AG95" s="15" t="str">
        <f t="shared" si="54"/>
        <v/>
      </c>
      <c r="AH95" s="15" t="str">
        <f t="shared" si="55"/>
        <v/>
      </c>
      <c r="AI95" s="15" t="str">
        <f t="shared" si="56"/>
        <v/>
      </c>
      <c r="AJ95" s="15" t="str">
        <f t="shared" si="57"/>
        <v/>
      </c>
      <c r="AK95" s="15" t="str">
        <f t="shared" si="58"/>
        <v/>
      </c>
      <c r="AL95" s="15" t="str">
        <f t="shared" si="59"/>
        <v/>
      </c>
      <c r="AM95" s="5">
        <f t="shared" si="60"/>
        <v>0</v>
      </c>
    </row>
    <row r="96" spans="1:39">
      <c r="A96" s="52"/>
      <c r="B96" s="52"/>
      <c r="C96" s="104"/>
      <c r="D96" s="104"/>
      <c r="E96" s="104"/>
      <c r="F96" s="82"/>
      <c r="G96" s="81"/>
      <c r="H96" s="81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97" t="e">
        <f t="shared" si="41"/>
        <v>#DIV/0!</v>
      </c>
      <c r="U96" s="4">
        <f t="shared" ca="1" si="42"/>
        <v>41899</v>
      </c>
      <c r="V96" s="4">
        <f t="shared" ca="1" si="43"/>
        <v>-41539</v>
      </c>
      <c r="W96" s="4" t="e">
        <f t="shared" ca="1" si="44"/>
        <v>#NUM!</v>
      </c>
      <c r="X96" s="13" t="e">
        <f t="shared" ca="1" si="45"/>
        <v>#NUM!</v>
      </c>
      <c r="Y96" s="5" t="e">
        <f t="shared" si="46"/>
        <v>#DIV/0!</v>
      </c>
      <c r="Z96" s="15" t="str">
        <f t="shared" si="47"/>
        <v/>
      </c>
      <c r="AA96" s="15" t="str">
        <f t="shared" si="48"/>
        <v/>
      </c>
      <c r="AB96" s="15" t="str">
        <f t="shared" si="49"/>
        <v/>
      </c>
      <c r="AC96" s="15" t="str">
        <f t="shared" si="50"/>
        <v/>
      </c>
      <c r="AD96" s="15" t="str">
        <f t="shared" si="51"/>
        <v/>
      </c>
      <c r="AE96" s="15" t="str">
        <f t="shared" si="52"/>
        <v/>
      </c>
      <c r="AF96" s="15" t="str">
        <f t="shared" si="53"/>
        <v/>
      </c>
      <c r="AG96" s="15" t="str">
        <f t="shared" si="54"/>
        <v/>
      </c>
      <c r="AH96" s="15" t="str">
        <f t="shared" si="55"/>
        <v/>
      </c>
      <c r="AI96" s="15" t="str">
        <f t="shared" si="56"/>
        <v/>
      </c>
      <c r="AJ96" s="15" t="str">
        <f t="shared" si="57"/>
        <v/>
      </c>
      <c r="AK96" s="15" t="str">
        <f t="shared" si="58"/>
        <v/>
      </c>
      <c r="AL96" s="15" t="str">
        <f t="shared" si="59"/>
        <v/>
      </c>
      <c r="AM96" s="5">
        <f t="shared" si="60"/>
        <v>0</v>
      </c>
    </row>
    <row r="97" spans="1:39">
      <c r="A97" s="52"/>
      <c r="B97" s="52"/>
      <c r="C97" s="104"/>
      <c r="D97" s="104"/>
      <c r="E97" s="104"/>
      <c r="F97" s="82"/>
      <c r="G97" s="81"/>
      <c r="H97" s="81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97" t="e">
        <f t="shared" si="41"/>
        <v>#DIV/0!</v>
      </c>
      <c r="U97" s="4">
        <f t="shared" ca="1" si="42"/>
        <v>41899</v>
      </c>
      <c r="V97" s="4">
        <f t="shared" ca="1" si="43"/>
        <v>-41539</v>
      </c>
      <c r="W97" s="4" t="e">
        <f t="shared" ca="1" si="44"/>
        <v>#NUM!</v>
      </c>
      <c r="X97" s="13" t="e">
        <f t="shared" ca="1" si="45"/>
        <v>#NUM!</v>
      </c>
      <c r="Y97" s="5" t="e">
        <f t="shared" si="46"/>
        <v>#DIV/0!</v>
      </c>
      <c r="Z97" s="15" t="str">
        <f t="shared" si="47"/>
        <v/>
      </c>
      <c r="AA97" s="15" t="str">
        <f t="shared" si="48"/>
        <v/>
      </c>
      <c r="AB97" s="15" t="str">
        <f t="shared" si="49"/>
        <v/>
      </c>
      <c r="AC97" s="15" t="str">
        <f t="shared" si="50"/>
        <v/>
      </c>
      <c r="AD97" s="15" t="str">
        <f t="shared" si="51"/>
        <v/>
      </c>
      <c r="AE97" s="15" t="str">
        <f t="shared" si="52"/>
        <v/>
      </c>
      <c r="AF97" s="15" t="str">
        <f t="shared" si="53"/>
        <v/>
      </c>
      <c r="AG97" s="15" t="str">
        <f t="shared" si="54"/>
        <v/>
      </c>
      <c r="AH97" s="15" t="str">
        <f t="shared" si="55"/>
        <v/>
      </c>
      <c r="AI97" s="15" t="str">
        <f t="shared" si="56"/>
        <v/>
      </c>
      <c r="AJ97" s="15" t="str">
        <f t="shared" si="57"/>
        <v/>
      </c>
      <c r="AK97" s="15" t="str">
        <f t="shared" si="58"/>
        <v/>
      </c>
      <c r="AL97" s="15" t="str">
        <f t="shared" si="59"/>
        <v/>
      </c>
      <c r="AM97" s="5">
        <f t="shared" si="60"/>
        <v>0</v>
      </c>
    </row>
    <row r="98" spans="1:39">
      <c r="A98" s="52"/>
      <c r="B98" s="52"/>
      <c r="C98" s="104"/>
      <c r="D98" s="104"/>
      <c r="E98" s="104"/>
      <c r="F98" s="82"/>
      <c r="G98" s="81"/>
      <c r="H98" s="81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97" t="e">
        <f t="shared" si="41"/>
        <v>#DIV/0!</v>
      </c>
      <c r="U98" s="4">
        <f t="shared" ca="1" si="42"/>
        <v>41899</v>
      </c>
      <c r="V98" s="4">
        <f t="shared" ca="1" si="43"/>
        <v>-41539</v>
      </c>
      <c r="W98" s="4" t="e">
        <f t="shared" ca="1" si="44"/>
        <v>#NUM!</v>
      </c>
      <c r="X98" s="13" t="e">
        <f t="shared" ca="1" si="45"/>
        <v>#NUM!</v>
      </c>
      <c r="Y98" s="5" t="e">
        <f t="shared" si="46"/>
        <v>#DIV/0!</v>
      </c>
      <c r="Z98" s="15" t="str">
        <f t="shared" si="47"/>
        <v/>
      </c>
      <c r="AA98" s="15" t="str">
        <f t="shared" si="48"/>
        <v/>
      </c>
      <c r="AB98" s="15" t="str">
        <f t="shared" si="49"/>
        <v/>
      </c>
      <c r="AC98" s="15" t="str">
        <f t="shared" si="50"/>
        <v/>
      </c>
      <c r="AD98" s="15" t="str">
        <f t="shared" si="51"/>
        <v/>
      </c>
      <c r="AE98" s="15" t="str">
        <f t="shared" si="52"/>
        <v/>
      </c>
      <c r="AF98" s="15" t="str">
        <f t="shared" si="53"/>
        <v/>
      </c>
      <c r="AG98" s="15" t="str">
        <f t="shared" si="54"/>
        <v/>
      </c>
      <c r="AH98" s="15" t="str">
        <f t="shared" si="55"/>
        <v/>
      </c>
      <c r="AI98" s="15" t="str">
        <f t="shared" si="56"/>
        <v/>
      </c>
      <c r="AJ98" s="15" t="str">
        <f t="shared" si="57"/>
        <v/>
      </c>
      <c r="AK98" s="15" t="str">
        <f t="shared" si="58"/>
        <v/>
      </c>
      <c r="AL98" s="15" t="str">
        <f t="shared" si="59"/>
        <v/>
      </c>
      <c r="AM98" s="5">
        <f t="shared" si="60"/>
        <v>0</v>
      </c>
    </row>
    <row r="99" spans="1:39">
      <c r="A99" s="52"/>
      <c r="B99" s="52"/>
      <c r="C99" s="104"/>
      <c r="D99" s="104"/>
      <c r="E99" s="104"/>
      <c r="F99" s="82"/>
      <c r="G99" s="81"/>
      <c r="H99" s="81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97" t="e">
        <f t="shared" si="41"/>
        <v>#DIV/0!</v>
      </c>
      <c r="U99" s="4">
        <f t="shared" ca="1" si="42"/>
        <v>41899</v>
      </c>
      <c r="V99" s="4">
        <f t="shared" ca="1" si="43"/>
        <v>-41539</v>
      </c>
      <c r="W99" s="4" t="e">
        <f t="shared" ca="1" si="44"/>
        <v>#NUM!</v>
      </c>
      <c r="X99" s="13" t="e">
        <f t="shared" ca="1" si="45"/>
        <v>#NUM!</v>
      </c>
      <c r="Y99" s="5" t="e">
        <f t="shared" si="46"/>
        <v>#DIV/0!</v>
      </c>
      <c r="Z99" s="15" t="str">
        <f t="shared" si="47"/>
        <v/>
      </c>
      <c r="AA99" s="15" t="str">
        <f t="shared" si="48"/>
        <v/>
      </c>
      <c r="AB99" s="15" t="str">
        <f t="shared" si="49"/>
        <v/>
      </c>
      <c r="AC99" s="15" t="str">
        <f t="shared" si="50"/>
        <v/>
      </c>
      <c r="AD99" s="15" t="str">
        <f t="shared" si="51"/>
        <v/>
      </c>
      <c r="AE99" s="15" t="str">
        <f t="shared" si="52"/>
        <v/>
      </c>
      <c r="AF99" s="15" t="str">
        <f t="shared" si="53"/>
        <v/>
      </c>
      <c r="AG99" s="15" t="str">
        <f t="shared" si="54"/>
        <v/>
      </c>
      <c r="AH99" s="15" t="str">
        <f t="shared" si="55"/>
        <v/>
      </c>
      <c r="AI99" s="15" t="str">
        <f t="shared" si="56"/>
        <v/>
      </c>
      <c r="AJ99" s="15" t="str">
        <f t="shared" si="57"/>
        <v/>
      </c>
      <c r="AK99" s="15" t="str">
        <f t="shared" si="58"/>
        <v/>
      </c>
      <c r="AL99" s="15" t="str">
        <f t="shared" si="59"/>
        <v/>
      </c>
      <c r="AM99" s="5">
        <f t="shared" si="60"/>
        <v>0</v>
      </c>
    </row>
    <row r="100" spans="1:39">
      <c r="A100" s="52"/>
      <c r="B100" s="52"/>
      <c r="C100" s="104"/>
      <c r="D100" s="104"/>
      <c r="E100" s="104"/>
      <c r="F100" s="82"/>
      <c r="G100" s="81"/>
      <c r="H100" s="81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97" t="e">
        <f t="shared" ref="T100:T103" si="61">AVERAGE(F100:S100)</f>
        <v>#DIV/0!</v>
      </c>
      <c r="U100" s="4">
        <f t="shared" ref="U100:U103" ca="1" si="62">IF(DAYS360(TODAY(),DATE(E100+2,D100,C100))&gt;=720,0,360-V100)</f>
        <v>41899</v>
      </c>
      <c r="V100" s="4">
        <f t="shared" ref="V100:V103" ca="1" si="63">IF(DAYS360(TODAY(),DATE(E100+1,D100,C100))&lt;=360,DAYS360(TODAY(),DATE(E100+1,D100,C100)),360-W100)</f>
        <v>-41539</v>
      </c>
      <c r="W100" s="4" t="e">
        <f t="shared" ca="1" si="44"/>
        <v>#NUM!</v>
      </c>
      <c r="X100" s="13" t="e">
        <f t="shared" ref="X100:X103" ca="1" si="64">(F100/360*U100)+(G100/360*V100)+(H100/360*W100)</f>
        <v>#NUM!</v>
      </c>
      <c r="Y100" s="5" t="e">
        <f t="shared" ref="Y100:Y103" si="65">IF(T100=0,0,IF(X100&lt;0,IF(X100&lt;0,((X100/T100)-1)*-1,(X100/T100)-1),IF(T100&lt;0,ABS((X100/T100)-1),(X100/T100)-1)))</f>
        <v>#DIV/0!</v>
      </c>
      <c r="Z100" s="15" t="str">
        <f t="shared" si="47"/>
        <v/>
      </c>
      <c r="AA100" s="15" t="str">
        <f t="shared" si="48"/>
        <v/>
      </c>
      <c r="AB100" s="15" t="str">
        <f t="shared" si="49"/>
        <v/>
      </c>
      <c r="AC100" s="15" t="str">
        <f t="shared" si="50"/>
        <v/>
      </c>
      <c r="AD100" s="15" t="str">
        <f t="shared" si="51"/>
        <v/>
      </c>
      <c r="AE100" s="15" t="str">
        <f t="shared" si="52"/>
        <v/>
      </c>
      <c r="AF100" s="15" t="str">
        <f t="shared" si="53"/>
        <v/>
      </c>
      <c r="AG100" s="15" t="str">
        <f t="shared" si="54"/>
        <v/>
      </c>
      <c r="AH100" s="15" t="str">
        <f t="shared" si="55"/>
        <v/>
      </c>
      <c r="AI100" s="15" t="str">
        <f t="shared" si="56"/>
        <v/>
      </c>
      <c r="AJ100" s="15" t="str">
        <f t="shared" si="57"/>
        <v/>
      </c>
      <c r="AK100" s="15" t="str">
        <f t="shared" si="58"/>
        <v/>
      </c>
      <c r="AL100" s="15" t="str">
        <f t="shared" si="59"/>
        <v/>
      </c>
      <c r="AM100" s="5">
        <f t="shared" ref="AM100:AM103" si="66">MIN(Z100:AL100)</f>
        <v>0</v>
      </c>
    </row>
    <row r="101" spans="1:39">
      <c r="A101" s="52"/>
      <c r="B101" s="52"/>
      <c r="C101" s="104"/>
      <c r="D101" s="104"/>
      <c r="E101" s="104"/>
      <c r="F101" s="82"/>
      <c r="G101" s="81"/>
      <c r="H101" s="81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97" t="e">
        <f t="shared" si="61"/>
        <v>#DIV/0!</v>
      </c>
      <c r="U101" s="4">
        <f t="shared" ca="1" si="62"/>
        <v>41899</v>
      </c>
      <c r="V101" s="4">
        <f t="shared" ca="1" si="63"/>
        <v>-41539</v>
      </c>
      <c r="W101" s="4" t="e">
        <f t="shared" ca="1" si="44"/>
        <v>#NUM!</v>
      </c>
      <c r="X101" s="13" t="e">
        <f t="shared" ca="1" si="64"/>
        <v>#NUM!</v>
      </c>
      <c r="Y101" s="5" t="e">
        <f t="shared" si="65"/>
        <v>#DIV/0!</v>
      </c>
      <c r="Z101" s="15" t="str">
        <f t="shared" si="47"/>
        <v/>
      </c>
      <c r="AA101" s="15" t="str">
        <f t="shared" si="48"/>
        <v/>
      </c>
      <c r="AB101" s="15" t="str">
        <f t="shared" si="49"/>
        <v/>
      </c>
      <c r="AC101" s="15" t="str">
        <f t="shared" si="50"/>
        <v/>
      </c>
      <c r="AD101" s="15" t="str">
        <f t="shared" si="51"/>
        <v/>
      </c>
      <c r="AE101" s="15" t="str">
        <f t="shared" si="52"/>
        <v/>
      </c>
      <c r="AF101" s="15" t="str">
        <f t="shared" si="53"/>
        <v/>
      </c>
      <c r="AG101" s="15" t="str">
        <f t="shared" si="54"/>
        <v/>
      </c>
      <c r="AH101" s="15" t="str">
        <f t="shared" si="55"/>
        <v/>
      </c>
      <c r="AI101" s="15" t="str">
        <f t="shared" si="56"/>
        <v/>
      </c>
      <c r="AJ101" s="15" t="str">
        <f t="shared" si="57"/>
        <v/>
      </c>
      <c r="AK101" s="15" t="str">
        <f t="shared" si="58"/>
        <v/>
      </c>
      <c r="AL101" s="15" t="str">
        <f t="shared" si="59"/>
        <v/>
      </c>
      <c r="AM101" s="5">
        <f t="shared" si="66"/>
        <v>0</v>
      </c>
    </row>
    <row r="102" spans="1:39">
      <c r="A102" s="52"/>
      <c r="B102" s="52"/>
      <c r="C102" s="104"/>
      <c r="D102" s="104"/>
      <c r="E102" s="104"/>
      <c r="F102" s="82"/>
      <c r="G102" s="81"/>
      <c r="H102" s="81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97" t="e">
        <f t="shared" si="61"/>
        <v>#DIV/0!</v>
      </c>
      <c r="U102" s="4">
        <f t="shared" ca="1" si="62"/>
        <v>41899</v>
      </c>
      <c r="V102" s="4">
        <f t="shared" ca="1" si="63"/>
        <v>-41539</v>
      </c>
      <c r="W102" s="4" t="e">
        <f t="shared" ca="1" si="44"/>
        <v>#NUM!</v>
      </c>
      <c r="X102" s="13" t="e">
        <f t="shared" ca="1" si="64"/>
        <v>#NUM!</v>
      </c>
      <c r="Y102" s="5" t="e">
        <f t="shared" si="65"/>
        <v>#DIV/0!</v>
      </c>
      <c r="Z102" s="15" t="str">
        <f t="shared" si="47"/>
        <v/>
      </c>
      <c r="AA102" s="15" t="str">
        <f t="shared" si="48"/>
        <v/>
      </c>
      <c r="AB102" s="15" t="str">
        <f t="shared" si="49"/>
        <v/>
      </c>
      <c r="AC102" s="15" t="str">
        <f t="shared" si="50"/>
        <v/>
      </c>
      <c r="AD102" s="15" t="str">
        <f t="shared" si="51"/>
        <v/>
      </c>
      <c r="AE102" s="15" t="str">
        <f t="shared" si="52"/>
        <v/>
      </c>
      <c r="AF102" s="15" t="str">
        <f t="shared" si="53"/>
        <v/>
      </c>
      <c r="AG102" s="15" t="str">
        <f t="shared" si="54"/>
        <v/>
      </c>
      <c r="AH102" s="15" t="str">
        <f t="shared" si="55"/>
        <v/>
      </c>
      <c r="AI102" s="15" t="str">
        <f t="shared" si="56"/>
        <v/>
      </c>
      <c r="AJ102" s="15" t="str">
        <f t="shared" si="57"/>
        <v/>
      </c>
      <c r="AK102" s="15" t="str">
        <f t="shared" si="58"/>
        <v/>
      </c>
      <c r="AL102" s="15" t="str">
        <f t="shared" si="59"/>
        <v/>
      </c>
      <c r="AM102" s="5">
        <f t="shared" si="66"/>
        <v>0</v>
      </c>
    </row>
    <row r="103" spans="1:39">
      <c r="A103" s="52"/>
      <c r="B103" s="52"/>
      <c r="C103" s="104"/>
      <c r="D103" s="104"/>
      <c r="E103" s="104"/>
      <c r="F103" s="82"/>
      <c r="G103" s="81"/>
      <c r="H103" s="81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97" t="e">
        <f t="shared" si="61"/>
        <v>#DIV/0!</v>
      </c>
      <c r="U103" s="4">
        <f t="shared" ca="1" si="62"/>
        <v>41899</v>
      </c>
      <c r="V103" s="4">
        <f t="shared" ca="1" si="63"/>
        <v>-41539</v>
      </c>
      <c r="W103" s="4" t="e">
        <f t="shared" ca="1" si="44"/>
        <v>#NUM!</v>
      </c>
      <c r="X103" s="13" t="e">
        <f t="shared" ca="1" si="64"/>
        <v>#NUM!</v>
      </c>
      <c r="Y103" s="5" t="e">
        <f t="shared" si="65"/>
        <v>#DIV/0!</v>
      </c>
      <c r="Z103" s="15" t="str">
        <f t="shared" si="47"/>
        <v/>
      </c>
      <c r="AA103" s="15" t="str">
        <f t="shared" si="48"/>
        <v/>
      </c>
      <c r="AB103" s="15" t="str">
        <f t="shared" si="49"/>
        <v/>
      </c>
      <c r="AC103" s="15" t="str">
        <f t="shared" si="50"/>
        <v/>
      </c>
      <c r="AD103" s="15" t="str">
        <f t="shared" si="51"/>
        <v/>
      </c>
      <c r="AE103" s="15" t="str">
        <f t="shared" si="52"/>
        <v/>
      </c>
      <c r="AF103" s="15" t="str">
        <f t="shared" si="53"/>
        <v/>
      </c>
      <c r="AG103" s="15" t="str">
        <f t="shared" si="54"/>
        <v/>
      </c>
      <c r="AH103" s="15" t="str">
        <f t="shared" si="55"/>
        <v/>
      </c>
      <c r="AI103" s="15" t="str">
        <f t="shared" si="56"/>
        <v/>
      </c>
      <c r="AJ103" s="15" t="str">
        <f t="shared" si="57"/>
        <v/>
      </c>
      <c r="AK103" s="15" t="str">
        <f t="shared" si="58"/>
        <v/>
      </c>
      <c r="AL103" s="15" t="str">
        <f t="shared" si="59"/>
        <v/>
      </c>
      <c r="AM103" s="5">
        <f t="shared" si="66"/>
        <v>0</v>
      </c>
    </row>
  </sheetData>
  <autoFilter ref="A3:AM103">
    <sortState ref="A4:AM103">
      <sortCondition ref="B3:B103"/>
    </sortState>
  </autoFilter>
  <mergeCells count="3">
    <mergeCell ref="U1:W1"/>
    <mergeCell ref="Z1:AL1"/>
    <mergeCell ref="C2:E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4.85546875" customWidth="1"/>
    <col min="4" max="4" width="14.42578125" customWidth="1"/>
    <col min="5" max="12" width="14.85546875" customWidth="1"/>
    <col min="13" max="13" width="15.85546875" customWidth="1"/>
    <col min="14" max="14" width="15.42578125" bestFit="1" customWidth="1"/>
    <col min="15" max="15" width="14.85546875" bestFit="1" customWidth="1"/>
    <col min="16" max="16" width="14.42578125" customWidth="1"/>
    <col min="17" max="24" width="14.85546875" customWidth="1"/>
    <col min="25" max="25" width="15.85546875" customWidth="1"/>
    <col min="26" max="26" width="18" customWidth="1"/>
    <col min="27" max="27" width="33.42578125" customWidth="1"/>
    <col min="28" max="28" width="14.42578125" customWidth="1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10" t="s">
        <v>117</v>
      </c>
      <c r="P1" s="110"/>
      <c r="Q1" s="110"/>
      <c r="R1" s="110"/>
      <c r="S1" s="110"/>
      <c r="T1" s="110"/>
      <c r="U1" s="110"/>
      <c r="V1" s="110"/>
      <c r="W1" s="110"/>
      <c r="X1" s="110"/>
      <c r="Y1" s="95"/>
    </row>
    <row r="2" spans="1:28">
      <c r="A2" s="1"/>
      <c r="B2" s="1"/>
      <c r="C2" s="1">
        <v>2016</v>
      </c>
      <c r="D2" s="1">
        <v>2015</v>
      </c>
      <c r="E2" s="1">
        <v>2014</v>
      </c>
      <c r="F2" s="1">
        <v>2013</v>
      </c>
      <c r="G2" s="1">
        <v>2012</v>
      </c>
      <c r="H2" s="1">
        <v>2011</v>
      </c>
      <c r="I2" s="1">
        <v>2010</v>
      </c>
      <c r="J2" s="1">
        <v>2009</v>
      </c>
      <c r="K2" s="1">
        <v>2008</v>
      </c>
      <c r="L2" s="1">
        <v>2007</v>
      </c>
      <c r="M2" s="1">
        <v>2006</v>
      </c>
      <c r="N2" s="1">
        <v>2005</v>
      </c>
      <c r="O2" s="1">
        <f t="shared" ref="O2:Y2" si="0">C2</f>
        <v>2016</v>
      </c>
      <c r="P2" s="1">
        <f t="shared" si="0"/>
        <v>2015</v>
      </c>
      <c r="Q2" s="1">
        <f t="shared" si="0"/>
        <v>2014</v>
      </c>
      <c r="R2" s="1">
        <f t="shared" si="0"/>
        <v>2013</v>
      </c>
      <c r="S2" s="1">
        <f t="shared" si="0"/>
        <v>2012</v>
      </c>
      <c r="T2" s="1">
        <f t="shared" si="0"/>
        <v>2011</v>
      </c>
      <c r="U2" s="1">
        <f t="shared" si="0"/>
        <v>2010</v>
      </c>
      <c r="V2" s="1">
        <f t="shared" si="0"/>
        <v>2009</v>
      </c>
      <c r="W2" s="1">
        <f t="shared" si="0"/>
        <v>2008</v>
      </c>
      <c r="X2" s="1">
        <f t="shared" si="0"/>
        <v>2007</v>
      </c>
      <c r="Y2" s="1">
        <f t="shared" si="0"/>
        <v>2006</v>
      </c>
    </row>
    <row r="3" spans="1:28">
      <c r="A3" s="1" t="s">
        <v>0</v>
      </c>
      <c r="B3" s="1" t="s">
        <v>1</v>
      </c>
      <c r="C3" s="1" t="s">
        <v>164</v>
      </c>
      <c r="D3" s="1" t="s">
        <v>96</v>
      </c>
      <c r="E3" s="1" t="s">
        <v>97</v>
      </c>
      <c r="F3" s="1" t="s">
        <v>98</v>
      </c>
      <c r="G3" s="1" t="s">
        <v>99</v>
      </c>
      <c r="H3" s="1" t="s">
        <v>100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105</v>
      </c>
      <c r="N3" s="1" t="s">
        <v>176</v>
      </c>
      <c r="O3" s="1" t="s">
        <v>164</v>
      </c>
      <c r="P3" s="1" t="s">
        <v>96</v>
      </c>
      <c r="Q3" s="1" t="s">
        <v>97</v>
      </c>
      <c r="R3" s="1" t="s">
        <v>98</v>
      </c>
      <c r="S3" s="1" t="s">
        <v>99</v>
      </c>
      <c r="T3" s="1" t="s">
        <v>100</v>
      </c>
      <c r="U3" s="1" t="s">
        <v>101</v>
      </c>
      <c r="V3" s="1" t="s">
        <v>102</v>
      </c>
      <c r="W3" s="1" t="s">
        <v>103</v>
      </c>
      <c r="X3" s="1" t="s">
        <v>104</v>
      </c>
      <c r="Y3" s="1" t="s">
        <v>105</v>
      </c>
      <c r="Z3" s="1" t="s">
        <v>115</v>
      </c>
      <c r="AA3" s="1" t="s">
        <v>116</v>
      </c>
      <c r="AB3" s="8" t="s">
        <v>147</v>
      </c>
    </row>
    <row r="4" spans="1:28">
      <c r="A4" t="s">
        <v>78</v>
      </c>
      <c r="B4" t="s">
        <v>159</v>
      </c>
      <c r="C4" s="59"/>
      <c r="D4" s="6">
        <v>91.78</v>
      </c>
      <c r="E4" s="6">
        <v>91.66</v>
      </c>
      <c r="F4" s="6">
        <v>91.75</v>
      </c>
      <c r="G4" s="6">
        <v>91.74</v>
      </c>
      <c r="H4" s="6">
        <v>91.25</v>
      </c>
      <c r="I4" s="6">
        <v>92.2</v>
      </c>
      <c r="J4" s="6">
        <v>94.6</v>
      </c>
      <c r="K4" s="6">
        <v>96.9</v>
      </c>
      <c r="L4" s="6">
        <v>100.8</v>
      </c>
      <c r="M4" s="6">
        <v>104</v>
      </c>
      <c r="N4" s="6">
        <v>106.4</v>
      </c>
      <c r="O4" s="15" t="str">
        <f t="shared" ref="O4:O35" si="1">IF(C4&lt;&gt;"",IF(D4&lt;&gt;"",(C4/D4)-1,""),"")</f>
        <v/>
      </c>
      <c r="P4" s="15">
        <f t="shared" ref="P4:P35" si="2">IF(D4&lt;&gt;"",IF(E4&lt;&gt;"",(D4/E4)-1,""),"")</f>
        <v>1.3091861226270929E-3</v>
      </c>
      <c r="Q4" s="15">
        <f t="shared" ref="Q4:Q35" si="3">IF(E4&lt;&gt;"",IF(F4&lt;&gt;"",(E4/F4)-1,""),"")</f>
        <v>-9.8092643051772566E-4</v>
      </c>
      <c r="R4" s="15">
        <f t="shared" ref="R4:R35" si="4">IF(F4&lt;&gt;"",IF(G4&lt;&gt;"",(F4/G4)-1,""),"")</f>
        <v>1.0900370612598742E-4</v>
      </c>
      <c r="S4" s="15">
        <f t="shared" ref="S4:S35" si="5">IF(G4&lt;&gt;"",IF(H4&lt;&gt;"",(G4/H4)-1,""),"")</f>
        <v>5.3698630136986836E-3</v>
      </c>
      <c r="T4" s="15">
        <f t="shared" ref="T4:T35" si="6">IF(H4&lt;&gt;"",IF(I4&lt;&gt;"",(H4/I4)-1,""),"")</f>
        <v>-1.0303687635574876E-2</v>
      </c>
      <c r="U4" s="15">
        <f t="shared" ref="U4:U35" si="7">IF(I4&lt;&gt;"",IF(J4&lt;&gt;"",(I4/J4)-1,""),"")</f>
        <v>-2.5369978858350906E-2</v>
      </c>
      <c r="V4" s="15">
        <f t="shared" ref="V4:V35" si="8">IF(J4&lt;&gt;"",IF(K4&lt;&gt;"",(J4/K4)-1,""),"")</f>
        <v>-2.3735810113519218E-2</v>
      </c>
      <c r="W4" s="15">
        <f t="shared" ref="W4:W35" si="9">IF(K4&lt;&gt;"",IF(L4&lt;&gt;"",(K4/L4)-1,""),"")</f>
        <v>-3.8690476190476053E-2</v>
      </c>
      <c r="X4" s="15">
        <f t="shared" ref="X4:X35" si="10">IF(L4&lt;&gt;"",IF(M4&lt;&gt;"",(L4/M4)-1,""),"")</f>
        <v>-3.0769230769230771E-2</v>
      </c>
      <c r="Y4" s="15">
        <f t="shared" ref="Y4:Y35" si="11">IF(M4&lt;&gt;"",IF(N4&lt;&gt;"",(M4/N4)-1,""),"")</f>
        <v>-2.2556390977443663E-2</v>
      </c>
      <c r="Z4" s="5">
        <f t="shared" ref="Z4:Z35" si="12">AVERAGE(O4:Y4)</f>
        <v>-1.4561844813266145E-2</v>
      </c>
      <c r="AA4" s="5">
        <f t="shared" ref="AA4:AA35" si="13">IF(Z4=0,0,IF(Z4&lt;0,IF(C4&lt;&gt;"",(O4/Z4)-1,(P4/Z4)-1),IF(C4&lt;&gt;"",IF(O4&lt;0,((O4/Z4)-1)*-1,-99.99999),IF(P4&lt;0,((P4/Z4)-1)*-1,-99.99999))))</f>
        <v>-1.0899052379293588</v>
      </c>
      <c r="AB4" s="5">
        <f t="shared" ref="AB4:AB35" si="14">IF(C4&lt;&gt;"",O4,P4)</f>
        <v>1.3091861226270929E-3</v>
      </c>
    </row>
    <row r="5" spans="1:28">
      <c r="A5" t="s">
        <v>2</v>
      </c>
      <c r="B5" t="s">
        <v>3</v>
      </c>
      <c r="C5" s="59"/>
      <c r="D5" s="6">
        <v>2374</v>
      </c>
      <c r="E5" s="6">
        <v>2399</v>
      </c>
      <c r="F5" s="6">
        <v>2426</v>
      </c>
      <c r="G5" s="6">
        <v>2706</v>
      </c>
      <c r="H5" s="6">
        <v>2746</v>
      </c>
      <c r="I5" s="6">
        <v>2638</v>
      </c>
      <c r="J5" s="6">
        <v>2638</v>
      </c>
      <c r="K5" s="6">
        <v>2644</v>
      </c>
      <c r="L5" s="6">
        <v>2729</v>
      </c>
      <c r="M5" s="6">
        <v>2729</v>
      </c>
      <c r="N5" s="6">
        <v>2739</v>
      </c>
      <c r="O5" s="15" t="str">
        <f t="shared" si="1"/>
        <v/>
      </c>
      <c r="P5" s="15">
        <f t="shared" si="2"/>
        <v>-1.0421008753647376E-2</v>
      </c>
      <c r="Q5" s="15">
        <f t="shared" si="3"/>
        <v>-1.1129431162407277E-2</v>
      </c>
      <c r="R5" s="15">
        <f t="shared" si="4"/>
        <v>-0.10347376201034741</v>
      </c>
      <c r="S5" s="15">
        <f t="shared" si="5"/>
        <v>-1.4566642388929352E-2</v>
      </c>
      <c r="T5" s="15">
        <f t="shared" si="6"/>
        <v>4.0940106141015953E-2</v>
      </c>
      <c r="U5" s="15">
        <f t="shared" si="7"/>
        <v>0</v>
      </c>
      <c r="V5" s="15">
        <f t="shared" si="8"/>
        <v>-2.2692889561271024E-3</v>
      </c>
      <c r="W5" s="15">
        <f t="shared" si="9"/>
        <v>-3.1146940271161605E-2</v>
      </c>
      <c r="X5" s="15">
        <f t="shared" si="10"/>
        <v>0</v>
      </c>
      <c r="Y5" s="15">
        <f t="shared" si="11"/>
        <v>-3.6509675063891578E-3</v>
      </c>
      <c r="Z5" s="5">
        <f t="shared" si="12"/>
        <v>-1.3571793490799334E-2</v>
      </c>
      <c r="AA5" s="5">
        <f t="shared" si="13"/>
        <v>-0.23215684347746346</v>
      </c>
      <c r="AB5" s="5">
        <f t="shared" si="14"/>
        <v>-1.0421008753647376E-2</v>
      </c>
    </row>
    <row r="6" spans="1:28">
      <c r="A6" t="s">
        <v>4</v>
      </c>
      <c r="B6" t="s">
        <v>5</v>
      </c>
      <c r="C6" s="59"/>
      <c r="D6" s="6">
        <v>862.56</v>
      </c>
      <c r="E6" s="6">
        <v>862.56</v>
      </c>
      <c r="F6" s="6">
        <v>862.56</v>
      </c>
      <c r="G6" s="6">
        <v>862.56</v>
      </c>
      <c r="H6" s="6">
        <v>862.56</v>
      </c>
      <c r="I6" s="6">
        <v>862.56</v>
      </c>
      <c r="J6" s="6">
        <v>862.56</v>
      </c>
      <c r="K6" s="6">
        <v>862.56</v>
      </c>
      <c r="L6" s="6">
        <v>862.6</v>
      </c>
      <c r="M6" s="6">
        <v>862.6</v>
      </c>
      <c r="N6" s="6">
        <v>862.6</v>
      </c>
      <c r="O6" s="15" t="str">
        <f t="shared" si="1"/>
        <v/>
      </c>
      <c r="P6" s="15">
        <f t="shared" si="2"/>
        <v>0</v>
      </c>
      <c r="Q6" s="15">
        <f t="shared" si="3"/>
        <v>0</v>
      </c>
      <c r="R6" s="15">
        <f t="shared" si="4"/>
        <v>0</v>
      </c>
      <c r="S6" s="15">
        <f t="shared" si="5"/>
        <v>0</v>
      </c>
      <c r="T6" s="15">
        <f t="shared" si="6"/>
        <v>0</v>
      </c>
      <c r="U6" s="15">
        <f t="shared" si="7"/>
        <v>0</v>
      </c>
      <c r="V6" s="15">
        <f t="shared" si="8"/>
        <v>0</v>
      </c>
      <c r="W6" s="15">
        <f t="shared" si="9"/>
        <v>-4.6371435196035371E-5</v>
      </c>
      <c r="X6" s="15">
        <f t="shared" si="10"/>
        <v>0</v>
      </c>
      <c r="Y6" s="15">
        <f t="shared" si="11"/>
        <v>0</v>
      </c>
      <c r="Z6" s="5">
        <f t="shared" si="12"/>
        <v>-4.6371435196035373E-6</v>
      </c>
      <c r="AA6" s="5">
        <f t="shared" si="13"/>
        <v>-1</v>
      </c>
      <c r="AB6" s="5">
        <f t="shared" si="14"/>
        <v>0</v>
      </c>
    </row>
    <row r="7" spans="1:28">
      <c r="A7" t="s">
        <v>6</v>
      </c>
      <c r="B7" t="s">
        <v>7</v>
      </c>
      <c r="C7" s="59"/>
      <c r="D7" s="6">
        <v>3188</v>
      </c>
      <c r="E7" s="6">
        <v>3225</v>
      </c>
      <c r="F7" s="6">
        <v>3225</v>
      </c>
      <c r="G7" s="6">
        <v>3225</v>
      </c>
      <c r="H7" s="6">
        <v>3300</v>
      </c>
      <c r="I7" s="6">
        <v>3465</v>
      </c>
      <c r="J7" s="6">
        <v>3650</v>
      </c>
      <c r="K7" s="6">
        <v>3830</v>
      </c>
      <c r="L7" s="6">
        <v>3931</v>
      </c>
      <c r="M7" s="6">
        <v>4007</v>
      </c>
      <c r="N7" s="6">
        <v>4035</v>
      </c>
      <c r="O7" s="15" t="str">
        <f t="shared" si="1"/>
        <v/>
      </c>
      <c r="P7" s="15">
        <f t="shared" si="2"/>
        <v>-1.1472868217054288E-2</v>
      </c>
      <c r="Q7" s="15">
        <f t="shared" si="3"/>
        <v>0</v>
      </c>
      <c r="R7" s="15">
        <f t="shared" si="4"/>
        <v>0</v>
      </c>
      <c r="S7" s="15">
        <f t="shared" si="5"/>
        <v>-2.2727272727272707E-2</v>
      </c>
      <c r="T7" s="15">
        <f t="shared" si="6"/>
        <v>-4.7619047619047672E-2</v>
      </c>
      <c r="U7" s="15">
        <f t="shared" si="7"/>
        <v>-5.0684931506849273E-2</v>
      </c>
      <c r="V7" s="15">
        <f t="shared" si="8"/>
        <v>-4.6997389033942572E-2</v>
      </c>
      <c r="W7" s="15">
        <f t="shared" si="9"/>
        <v>-2.5693207835156495E-2</v>
      </c>
      <c r="X7" s="15">
        <f t="shared" si="10"/>
        <v>-1.8966808085849718E-2</v>
      </c>
      <c r="Y7" s="15">
        <f t="shared" si="11"/>
        <v>-6.9392812887236754E-3</v>
      </c>
      <c r="Z7" s="5">
        <f t="shared" si="12"/>
        <v>-2.311008063138964E-2</v>
      </c>
      <c r="AA7" s="5">
        <f t="shared" si="13"/>
        <v>-0.50355568203985057</v>
      </c>
      <c r="AB7" s="5">
        <f t="shared" si="14"/>
        <v>-1.1472868217054288E-2</v>
      </c>
    </row>
    <row r="8" spans="1:28">
      <c r="A8" t="s">
        <v>8</v>
      </c>
      <c r="B8" t="s">
        <v>9</v>
      </c>
      <c r="C8" s="59"/>
      <c r="D8" s="6">
        <v>252</v>
      </c>
      <c r="E8" s="6">
        <v>252</v>
      </c>
      <c r="F8" s="6">
        <v>252</v>
      </c>
      <c r="G8" s="6">
        <v>252</v>
      </c>
      <c r="H8" s="6">
        <v>252</v>
      </c>
      <c r="I8" s="6">
        <v>252</v>
      </c>
      <c r="J8" s="6">
        <v>252</v>
      </c>
      <c r="K8" s="6">
        <v>252</v>
      </c>
      <c r="L8" s="6">
        <v>252</v>
      </c>
      <c r="M8" s="6">
        <v>252</v>
      </c>
      <c r="N8" s="6">
        <v>252</v>
      </c>
      <c r="O8" s="15" t="str">
        <f t="shared" si="1"/>
        <v/>
      </c>
      <c r="P8" s="15">
        <f t="shared" si="2"/>
        <v>0</v>
      </c>
      <c r="Q8" s="15">
        <f t="shared" si="3"/>
        <v>0</v>
      </c>
      <c r="R8" s="15">
        <f t="shared" si="4"/>
        <v>0</v>
      </c>
      <c r="S8" s="15">
        <f t="shared" si="5"/>
        <v>0</v>
      </c>
      <c r="T8" s="15">
        <f t="shared" si="6"/>
        <v>0</v>
      </c>
      <c r="U8" s="15">
        <f t="shared" si="7"/>
        <v>0</v>
      </c>
      <c r="V8" s="15">
        <f t="shared" si="8"/>
        <v>0</v>
      </c>
      <c r="W8" s="15">
        <f t="shared" si="9"/>
        <v>0</v>
      </c>
      <c r="X8" s="15">
        <f t="shared" si="10"/>
        <v>0</v>
      </c>
      <c r="Y8" s="15">
        <f t="shared" si="11"/>
        <v>0</v>
      </c>
      <c r="Z8" s="5">
        <f t="shared" si="12"/>
        <v>0</v>
      </c>
      <c r="AA8" s="5">
        <f t="shared" si="13"/>
        <v>0</v>
      </c>
      <c r="AB8" s="5">
        <f t="shared" si="14"/>
        <v>0</v>
      </c>
    </row>
    <row r="9" spans="1:28">
      <c r="A9" t="s">
        <v>10</v>
      </c>
      <c r="B9" t="s">
        <v>11</v>
      </c>
      <c r="C9" s="59"/>
      <c r="D9" s="6">
        <v>1213</v>
      </c>
      <c r="E9" s="6">
        <v>1211</v>
      </c>
      <c r="F9" s="6">
        <v>1209</v>
      </c>
      <c r="G9" s="6">
        <v>1209</v>
      </c>
      <c r="H9" s="6">
        <v>1209</v>
      </c>
      <c r="I9" s="6">
        <v>1209</v>
      </c>
      <c r="J9" s="6">
        <v>1209</v>
      </c>
      <c r="K9" s="6">
        <v>1209</v>
      </c>
      <c r="L9" s="6">
        <v>1208</v>
      </c>
      <c r="M9" s="6">
        <v>1202</v>
      </c>
      <c r="N9" s="6">
        <v>1193</v>
      </c>
      <c r="O9" s="15" t="str">
        <f t="shared" si="1"/>
        <v/>
      </c>
      <c r="P9" s="15">
        <f t="shared" si="2"/>
        <v>1.6515276630884035E-3</v>
      </c>
      <c r="Q9" s="15">
        <f t="shared" si="3"/>
        <v>1.6542597187758634E-3</v>
      </c>
      <c r="R9" s="15">
        <f t="shared" si="4"/>
        <v>0</v>
      </c>
      <c r="S9" s="15">
        <f t="shared" si="5"/>
        <v>0</v>
      </c>
      <c r="T9" s="15">
        <f t="shared" si="6"/>
        <v>0</v>
      </c>
      <c r="U9" s="15">
        <f t="shared" si="7"/>
        <v>0</v>
      </c>
      <c r="V9" s="15">
        <f t="shared" si="8"/>
        <v>0</v>
      </c>
      <c r="W9" s="15">
        <f t="shared" si="9"/>
        <v>8.2781456953640031E-4</v>
      </c>
      <c r="X9" s="15">
        <f t="shared" si="10"/>
        <v>4.991680532445919E-3</v>
      </c>
      <c r="Y9" s="15">
        <f t="shared" si="11"/>
        <v>7.5440067057837012E-3</v>
      </c>
      <c r="Z9" s="5">
        <f t="shared" si="12"/>
        <v>1.6669289189630287E-3</v>
      </c>
      <c r="AA9" s="5">
        <f t="shared" si="13"/>
        <v>-99.999989999999997</v>
      </c>
      <c r="AB9" s="5">
        <f t="shared" si="14"/>
        <v>1.6515276630884035E-3</v>
      </c>
    </row>
    <row r="10" spans="1:28">
      <c r="A10" t="s">
        <v>12</v>
      </c>
      <c r="B10" t="s">
        <v>13</v>
      </c>
      <c r="C10" s="59"/>
      <c r="D10" s="6">
        <v>4607</v>
      </c>
      <c r="E10" s="6">
        <v>4536</v>
      </c>
      <c r="F10" s="6">
        <v>4451</v>
      </c>
      <c r="G10" s="6">
        <v>4321</v>
      </c>
      <c r="H10" s="6">
        <v>4321</v>
      </c>
      <c r="I10" s="6">
        <v>4321</v>
      </c>
      <c r="J10" s="6">
        <v>4361</v>
      </c>
      <c r="K10" s="6">
        <v>4361</v>
      </c>
      <c r="L10" s="6">
        <v>4361</v>
      </c>
      <c r="M10" s="6">
        <v>4361</v>
      </c>
      <c r="N10" s="6">
        <v>4198</v>
      </c>
      <c r="O10" s="15" t="str">
        <f t="shared" si="1"/>
        <v/>
      </c>
      <c r="P10" s="15">
        <f t="shared" si="2"/>
        <v>1.5652557319223881E-2</v>
      </c>
      <c r="Q10" s="15">
        <f t="shared" si="3"/>
        <v>1.9096832172545541E-2</v>
      </c>
      <c r="R10" s="15">
        <f t="shared" si="4"/>
        <v>3.0085628326776304E-2</v>
      </c>
      <c r="S10" s="15">
        <f t="shared" si="5"/>
        <v>0</v>
      </c>
      <c r="T10" s="15">
        <f t="shared" si="6"/>
        <v>0</v>
      </c>
      <c r="U10" s="15">
        <f t="shared" si="7"/>
        <v>-9.1722082091263424E-3</v>
      </c>
      <c r="V10" s="15">
        <f t="shared" si="8"/>
        <v>0</v>
      </c>
      <c r="W10" s="15">
        <f t="shared" si="9"/>
        <v>0</v>
      </c>
      <c r="X10" s="15">
        <f t="shared" si="10"/>
        <v>0</v>
      </c>
      <c r="Y10" s="15">
        <f t="shared" si="11"/>
        <v>3.8828013339685663E-2</v>
      </c>
      <c r="Z10" s="5">
        <f t="shared" si="12"/>
        <v>9.449082294910505E-3</v>
      </c>
      <c r="AA10" s="5">
        <f t="shared" si="13"/>
        <v>-99.999989999999997</v>
      </c>
      <c r="AB10" s="5">
        <f t="shared" si="14"/>
        <v>1.5652557319223881E-2</v>
      </c>
    </row>
    <row r="11" spans="1:28">
      <c r="A11" s="52" t="s">
        <v>312</v>
      </c>
      <c r="B11" s="52" t="s">
        <v>313</v>
      </c>
      <c r="C11" s="59"/>
      <c r="D11" s="6">
        <v>545.73</v>
      </c>
      <c r="E11" s="6">
        <v>541.53</v>
      </c>
      <c r="F11" s="6">
        <v>539.08000000000004</v>
      </c>
      <c r="G11" s="6">
        <v>534.55999999999995</v>
      </c>
      <c r="H11" s="6">
        <v>489.71</v>
      </c>
      <c r="I11" s="6">
        <v>487.5</v>
      </c>
      <c r="J11" s="6">
        <v>483.6</v>
      </c>
      <c r="K11" s="6">
        <v>483.6</v>
      </c>
      <c r="L11" s="6">
        <v>465.6</v>
      </c>
      <c r="M11" s="6">
        <v>463.2</v>
      </c>
      <c r="N11" s="6">
        <v>456.3</v>
      </c>
      <c r="O11" s="15" t="str">
        <f t="shared" si="1"/>
        <v/>
      </c>
      <c r="P11" s="15">
        <f t="shared" si="2"/>
        <v>7.7558030026039226E-3</v>
      </c>
      <c r="Q11" s="15">
        <f t="shared" si="3"/>
        <v>4.5447799955478096E-3</v>
      </c>
      <c r="R11" s="15">
        <f t="shared" si="4"/>
        <v>8.455552229871488E-3</v>
      </c>
      <c r="S11" s="15">
        <f t="shared" si="5"/>
        <v>9.1584815503052752E-2</v>
      </c>
      <c r="T11" s="15">
        <f t="shared" si="6"/>
        <v>4.5333333333332781E-3</v>
      </c>
      <c r="U11" s="15">
        <f t="shared" si="7"/>
        <v>8.0645161290322509E-3</v>
      </c>
      <c r="V11" s="15">
        <f t="shared" si="8"/>
        <v>0</v>
      </c>
      <c r="W11" s="15">
        <f t="shared" si="9"/>
        <v>3.8659793814433074E-2</v>
      </c>
      <c r="X11" s="15">
        <f t="shared" si="10"/>
        <v>5.1813471502590858E-3</v>
      </c>
      <c r="Y11" s="15">
        <f t="shared" si="11"/>
        <v>1.512163050624582E-2</v>
      </c>
      <c r="Z11" s="5">
        <f t="shared" si="12"/>
        <v>1.8390157166437947E-2</v>
      </c>
      <c r="AA11" s="5">
        <f t="shared" si="13"/>
        <v>-99.999989999999997</v>
      </c>
      <c r="AB11" s="5">
        <f t="shared" si="14"/>
        <v>7.7558030026039226E-3</v>
      </c>
    </row>
    <row r="12" spans="1:28">
      <c r="A12" t="s">
        <v>14</v>
      </c>
      <c r="B12" t="s">
        <v>15</v>
      </c>
      <c r="C12" s="59"/>
      <c r="D12" s="6">
        <v>1229</v>
      </c>
      <c r="E12" s="6">
        <v>1229</v>
      </c>
      <c r="F12" s="6">
        <v>1229</v>
      </c>
      <c r="G12" s="6">
        <v>1229</v>
      </c>
      <c r="H12" s="6">
        <v>1228</v>
      </c>
      <c r="I12" s="6">
        <v>1227</v>
      </c>
      <c r="J12" s="6">
        <v>1226</v>
      </c>
      <c r="K12" s="6">
        <v>1226</v>
      </c>
      <c r="L12" s="6">
        <v>1246</v>
      </c>
      <c r="M12" s="6">
        <v>1268</v>
      </c>
      <c r="N12" s="6">
        <v>1266</v>
      </c>
      <c r="O12" s="15" t="str">
        <f t="shared" si="1"/>
        <v/>
      </c>
      <c r="P12" s="15">
        <f t="shared" si="2"/>
        <v>0</v>
      </c>
      <c r="Q12" s="15">
        <f t="shared" si="3"/>
        <v>0</v>
      </c>
      <c r="R12" s="15">
        <f t="shared" si="4"/>
        <v>0</v>
      </c>
      <c r="S12" s="15">
        <f t="shared" si="5"/>
        <v>8.143322475568926E-4</v>
      </c>
      <c r="T12" s="15">
        <f t="shared" si="6"/>
        <v>8.1499592502032314E-4</v>
      </c>
      <c r="U12" s="15">
        <f t="shared" si="7"/>
        <v>8.1566068515503964E-4</v>
      </c>
      <c r="V12" s="15">
        <f t="shared" si="8"/>
        <v>0</v>
      </c>
      <c r="W12" s="15">
        <f t="shared" si="9"/>
        <v>-1.6051364365971099E-2</v>
      </c>
      <c r="X12" s="15">
        <f t="shared" si="10"/>
        <v>-1.7350157728706628E-2</v>
      </c>
      <c r="Y12" s="15">
        <f t="shared" si="11"/>
        <v>1.5797788309637184E-3</v>
      </c>
      <c r="Z12" s="5">
        <f t="shared" si="12"/>
        <v>-2.9376754405981754E-3</v>
      </c>
      <c r="AA12" s="5">
        <f t="shared" si="13"/>
        <v>-1</v>
      </c>
      <c r="AB12" s="5">
        <f t="shared" si="14"/>
        <v>0</v>
      </c>
    </row>
    <row r="13" spans="1:28">
      <c r="A13" t="s">
        <v>16</v>
      </c>
      <c r="B13" t="s">
        <v>17</v>
      </c>
      <c r="C13" s="59"/>
      <c r="D13" s="6">
        <v>881</v>
      </c>
      <c r="E13" s="6">
        <v>881</v>
      </c>
      <c r="F13" s="6">
        <v>881</v>
      </c>
      <c r="G13" s="6">
        <v>881</v>
      </c>
      <c r="H13" s="6">
        <v>914.2</v>
      </c>
      <c r="I13" s="6">
        <v>914.2</v>
      </c>
      <c r="J13" s="6">
        <v>914.2</v>
      </c>
      <c r="K13" s="6">
        <v>914.2</v>
      </c>
      <c r="L13" s="6">
        <v>914.2</v>
      </c>
      <c r="M13" s="6">
        <v>891</v>
      </c>
      <c r="N13" s="6">
        <v>891</v>
      </c>
      <c r="O13" s="15" t="str">
        <f t="shared" si="1"/>
        <v/>
      </c>
      <c r="P13" s="15">
        <f t="shared" si="2"/>
        <v>0</v>
      </c>
      <c r="Q13" s="15">
        <f t="shared" si="3"/>
        <v>0</v>
      </c>
      <c r="R13" s="15">
        <f t="shared" si="4"/>
        <v>0</v>
      </c>
      <c r="S13" s="15">
        <f t="shared" si="5"/>
        <v>-3.6315904616057826E-2</v>
      </c>
      <c r="T13" s="15">
        <f t="shared" si="6"/>
        <v>0</v>
      </c>
      <c r="U13" s="15">
        <f t="shared" si="7"/>
        <v>0</v>
      </c>
      <c r="V13" s="15">
        <f t="shared" si="8"/>
        <v>0</v>
      </c>
      <c r="W13" s="15">
        <f t="shared" si="9"/>
        <v>0</v>
      </c>
      <c r="X13" s="15">
        <f t="shared" si="10"/>
        <v>2.6038159371492675E-2</v>
      </c>
      <c r="Y13" s="15">
        <f t="shared" si="11"/>
        <v>0</v>
      </c>
      <c r="Z13" s="5">
        <f t="shared" si="12"/>
        <v>-1.0277745244565151E-3</v>
      </c>
      <c r="AA13" s="5">
        <f t="shared" si="13"/>
        <v>-1</v>
      </c>
      <c r="AB13" s="5">
        <f t="shared" si="14"/>
        <v>0</v>
      </c>
    </row>
    <row r="14" spans="1:28">
      <c r="A14" t="s">
        <v>18</v>
      </c>
      <c r="B14" t="s">
        <v>19</v>
      </c>
      <c r="C14" s="59"/>
      <c r="D14" s="6">
        <v>457</v>
      </c>
      <c r="E14" s="6">
        <v>457</v>
      </c>
      <c r="F14" s="6">
        <v>456.5</v>
      </c>
      <c r="G14" s="6">
        <v>455.95</v>
      </c>
      <c r="H14" s="6">
        <v>455.3</v>
      </c>
      <c r="I14" s="6">
        <v>454.5</v>
      </c>
      <c r="J14" s="6">
        <v>453.9</v>
      </c>
      <c r="K14" s="6">
        <v>453.05</v>
      </c>
      <c r="L14" s="6">
        <v>450.2</v>
      </c>
      <c r="M14" s="6">
        <v>432.2</v>
      </c>
      <c r="N14" s="6">
        <v>406</v>
      </c>
      <c r="O14" s="15" t="str">
        <f t="shared" si="1"/>
        <v/>
      </c>
      <c r="P14" s="15">
        <f t="shared" si="2"/>
        <v>0</v>
      </c>
      <c r="Q14" s="15">
        <f t="shared" si="3"/>
        <v>1.0952902519167917E-3</v>
      </c>
      <c r="R14" s="15">
        <f t="shared" si="4"/>
        <v>1.2062726176116367E-3</v>
      </c>
      <c r="S14" s="15">
        <f t="shared" si="5"/>
        <v>1.4276301339775088E-3</v>
      </c>
      <c r="T14" s="15">
        <f t="shared" si="6"/>
        <v>1.7601760176018111E-3</v>
      </c>
      <c r="U14" s="15">
        <f t="shared" si="7"/>
        <v>1.3218770654330747E-3</v>
      </c>
      <c r="V14" s="15">
        <f t="shared" si="8"/>
        <v>1.8761726078797558E-3</v>
      </c>
      <c r="W14" s="15">
        <f t="shared" si="9"/>
        <v>6.3305197689915715E-3</v>
      </c>
      <c r="X14" s="15">
        <f t="shared" si="10"/>
        <v>4.1647385469689935E-2</v>
      </c>
      <c r="Y14" s="15">
        <f t="shared" si="11"/>
        <v>6.4532019704433452E-2</v>
      </c>
      <c r="Z14" s="5">
        <f t="shared" si="12"/>
        <v>1.2119734363753553E-2</v>
      </c>
      <c r="AA14" s="5">
        <f t="shared" si="13"/>
        <v>-99.999989999999997</v>
      </c>
      <c r="AB14" s="5">
        <f t="shared" si="14"/>
        <v>0</v>
      </c>
    </row>
    <row r="15" spans="1:28">
      <c r="A15" t="s">
        <v>20</v>
      </c>
      <c r="B15" t="s">
        <v>21</v>
      </c>
      <c r="C15" s="59"/>
      <c r="D15" s="6">
        <v>166.84</v>
      </c>
      <c r="E15" s="6">
        <v>172.94</v>
      </c>
      <c r="F15" s="6">
        <v>179.34</v>
      </c>
      <c r="G15" s="6">
        <v>179.34</v>
      </c>
      <c r="H15" s="6">
        <v>179.3</v>
      </c>
      <c r="I15" s="6">
        <v>188.5</v>
      </c>
      <c r="J15" s="6">
        <v>197.4</v>
      </c>
      <c r="K15" s="6">
        <v>206.4</v>
      </c>
      <c r="L15" s="6">
        <v>217.9</v>
      </c>
      <c r="M15" s="6">
        <v>229.6</v>
      </c>
      <c r="N15" s="6">
        <v>229.6</v>
      </c>
      <c r="O15" s="15" t="str">
        <f t="shared" si="1"/>
        <v/>
      </c>
      <c r="P15" s="15">
        <f t="shared" si="2"/>
        <v>-3.5272348791488328E-2</v>
      </c>
      <c r="Q15" s="15">
        <f t="shared" si="3"/>
        <v>-3.5686405709824953E-2</v>
      </c>
      <c r="R15" s="15">
        <f t="shared" si="4"/>
        <v>0</v>
      </c>
      <c r="S15" s="15">
        <f t="shared" si="5"/>
        <v>2.2308979364193959E-4</v>
      </c>
      <c r="T15" s="15">
        <f t="shared" si="6"/>
        <v>-4.8806366047745353E-2</v>
      </c>
      <c r="U15" s="15">
        <f t="shared" si="7"/>
        <v>-4.5086119554204718E-2</v>
      </c>
      <c r="V15" s="15">
        <f t="shared" si="8"/>
        <v>-4.3604651162790664E-2</v>
      </c>
      <c r="W15" s="15">
        <f t="shared" si="9"/>
        <v>-5.2776502983019724E-2</v>
      </c>
      <c r="X15" s="15">
        <f t="shared" si="10"/>
        <v>-5.0958188153310102E-2</v>
      </c>
      <c r="Y15" s="15">
        <f t="shared" si="11"/>
        <v>0</v>
      </c>
      <c r="Z15" s="5">
        <f t="shared" si="12"/>
        <v>-3.119674926087419E-2</v>
      </c>
      <c r="AA15" s="5">
        <f t="shared" si="13"/>
        <v>0.13064180169969197</v>
      </c>
      <c r="AB15" s="5">
        <f t="shared" si="14"/>
        <v>-3.5272348791488328E-2</v>
      </c>
    </row>
    <row r="16" spans="1:28">
      <c r="A16" t="s">
        <v>22</v>
      </c>
      <c r="B16" t="s">
        <v>23</v>
      </c>
      <c r="C16" s="59"/>
      <c r="D16" s="6">
        <v>918.5</v>
      </c>
      <c r="E16" s="6">
        <v>918.5</v>
      </c>
      <c r="F16" s="6">
        <v>918.5</v>
      </c>
      <c r="G16" s="6">
        <v>918.5</v>
      </c>
      <c r="H16" s="6">
        <v>918.5</v>
      </c>
      <c r="I16" s="6">
        <v>918.5</v>
      </c>
      <c r="J16" s="6">
        <v>918.5</v>
      </c>
      <c r="K16" s="6">
        <v>918.5</v>
      </c>
      <c r="L16" s="6">
        <v>956.4</v>
      </c>
      <c r="M16" s="6">
        <v>999.4</v>
      </c>
      <c r="N16" s="6">
        <v>1029</v>
      </c>
      <c r="O16" s="15" t="str">
        <f t="shared" si="1"/>
        <v/>
      </c>
      <c r="P16" s="15">
        <f t="shared" si="2"/>
        <v>0</v>
      </c>
      <c r="Q16" s="15">
        <f t="shared" si="3"/>
        <v>0</v>
      </c>
      <c r="R16" s="15">
        <f t="shared" si="4"/>
        <v>0</v>
      </c>
      <c r="S16" s="15">
        <f t="shared" si="5"/>
        <v>0</v>
      </c>
      <c r="T16" s="15">
        <f t="shared" si="6"/>
        <v>0</v>
      </c>
      <c r="U16" s="15">
        <f t="shared" si="7"/>
        <v>0</v>
      </c>
      <c r="V16" s="15">
        <f t="shared" si="8"/>
        <v>0</v>
      </c>
      <c r="W16" s="15">
        <f t="shared" si="9"/>
        <v>-3.9627770807193596E-2</v>
      </c>
      <c r="X16" s="15">
        <f t="shared" si="10"/>
        <v>-4.3025815489293628E-2</v>
      </c>
      <c r="Y16" s="15">
        <f t="shared" si="11"/>
        <v>-2.8765792031098192E-2</v>
      </c>
      <c r="Z16" s="5">
        <f t="shared" si="12"/>
        <v>-1.1141937832758542E-2</v>
      </c>
      <c r="AA16" s="5">
        <f t="shared" si="13"/>
        <v>-1</v>
      </c>
      <c r="AB16" s="5">
        <f t="shared" si="14"/>
        <v>0</v>
      </c>
    </row>
    <row r="17" spans="1:28">
      <c r="A17" t="s">
        <v>24</v>
      </c>
      <c r="B17" t="s">
        <v>25</v>
      </c>
      <c r="C17" s="59"/>
      <c r="D17" s="6">
        <v>826.95</v>
      </c>
      <c r="E17" s="6">
        <v>826.95</v>
      </c>
      <c r="F17" s="6">
        <v>826.95</v>
      </c>
      <c r="G17" s="6">
        <v>826.95</v>
      </c>
      <c r="H17" s="6">
        <v>826.95</v>
      </c>
      <c r="I17" s="6">
        <v>826.9</v>
      </c>
      <c r="J17" s="6">
        <v>826.9</v>
      </c>
      <c r="K17" s="6">
        <v>764.3</v>
      </c>
      <c r="L17" s="6">
        <v>764.3</v>
      </c>
      <c r="M17" s="6">
        <v>764.3</v>
      </c>
      <c r="N17" s="6">
        <v>730.3</v>
      </c>
      <c r="O17" s="15" t="str">
        <f t="shared" si="1"/>
        <v/>
      </c>
      <c r="P17" s="15">
        <f t="shared" si="2"/>
        <v>0</v>
      </c>
      <c r="Q17" s="15">
        <f t="shared" si="3"/>
        <v>0</v>
      </c>
      <c r="R17" s="15">
        <f t="shared" si="4"/>
        <v>0</v>
      </c>
      <c r="S17" s="15">
        <f t="shared" si="5"/>
        <v>0</v>
      </c>
      <c r="T17" s="15">
        <f t="shared" si="6"/>
        <v>6.0466803724734675E-5</v>
      </c>
      <c r="U17" s="15">
        <f t="shared" si="7"/>
        <v>0</v>
      </c>
      <c r="V17" s="15">
        <f t="shared" si="8"/>
        <v>8.1905011121287563E-2</v>
      </c>
      <c r="W17" s="15">
        <f t="shared" si="9"/>
        <v>0</v>
      </c>
      <c r="X17" s="15">
        <f t="shared" si="10"/>
        <v>0</v>
      </c>
      <c r="Y17" s="15">
        <f t="shared" si="11"/>
        <v>4.655620977680397E-2</v>
      </c>
      <c r="Z17" s="5">
        <f t="shared" si="12"/>
        <v>1.2852168770181627E-2</v>
      </c>
      <c r="AA17" s="5">
        <f t="shared" si="13"/>
        <v>-99.999989999999997</v>
      </c>
      <c r="AB17" s="5">
        <f t="shared" si="14"/>
        <v>0</v>
      </c>
    </row>
    <row r="18" spans="1:28">
      <c r="A18" s="52" t="s">
        <v>268</v>
      </c>
      <c r="B18" s="52" t="s">
        <v>274</v>
      </c>
      <c r="C18" s="59"/>
      <c r="D18" s="6">
        <v>2600</v>
      </c>
      <c r="E18" s="6">
        <v>2650</v>
      </c>
      <c r="F18" s="6">
        <v>2750</v>
      </c>
      <c r="G18" s="6">
        <v>2800</v>
      </c>
      <c r="H18" s="6">
        <v>2780</v>
      </c>
      <c r="I18" s="6">
        <v>2860</v>
      </c>
      <c r="J18" s="6">
        <v>2940</v>
      </c>
      <c r="K18" s="6">
        <v>3040</v>
      </c>
      <c r="L18" s="6"/>
      <c r="M18" s="6"/>
      <c r="N18" s="6"/>
      <c r="O18" s="15" t="str">
        <f t="shared" si="1"/>
        <v/>
      </c>
      <c r="P18" s="15">
        <f t="shared" si="2"/>
        <v>-1.8867924528301883E-2</v>
      </c>
      <c r="Q18" s="15">
        <f t="shared" si="3"/>
        <v>-3.6363636363636376E-2</v>
      </c>
      <c r="R18" s="15">
        <f t="shared" si="4"/>
        <v>-1.7857142857142905E-2</v>
      </c>
      <c r="S18" s="15">
        <f t="shared" si="5"/>
        <v>7.194244604316502E-3</v>
      </c>
      <c r="T18" s="15">
        <f t="shared" si="6"/>
        <v>-2.7972027972028024E-2</v>
      </c>
      <c r="U18" s="15">
        <f t="shared" si="7"/>
        <v>-2.7210884353741527E-2</v>
      </c>
      <c r="V18" s="15">
        <f t="shared" si="8"/>
        <v>-3.289473684210531E-2</v>
      </c>
      <c r="W18" s="15" t="str">
        <f t="shared" si="9"/>
        <v/>
      </c>
      <c r="X18" s="15" t="str">
        <f t="shared" si="10"/>
        <v/>
      </c>
      <c r="Y18" s="15" t="str">
        <f t="shared" si="11"/>
        <v/>
      </c>
      <c r="Z18" s="5">
        <f t="shared" si="12"/>
        <v>-2.1996015473234216E-2</v>
      </c>
      <c r="AA18" s="5">
        <f t="shared" si="13"/>
        <v>-0.14221170869509259</v>
      </c>
      <c r="AB18" s="5">
        <f t="shared" si="14"/>
        <v>-1.8867924528301883E-2</v>
      </c>
    </row>
    <row r="19" spans="1:28">
      <c r="A19" t="s">
        <v>26</v>
      </c>
      <c r="B19" t="s">
        <v>27</v>
      </c>
      <c r="C19" s="59"/>
      <c r="D19" s="6">
        <v>4975</v>
      </c>
      <c r="E19" s="6">
        <v>4657</v>
      </c>
      <c r="F19" s="6">
        <v>4551</v>
      </c>
      <c r="G19" s="6">
        <v>4551</v>
      </c>
      <c r="H19" s="6">
        <v>4511</v>
      </c>
      <c r="I19" s="6">
        <v>4522</v>
      </c>
      <c r="J19" s="6">
        <v>4553</v>
      </c>
      <c r="K19" s="6">
        <v>4705</v>
      </c>
      <c r="L19" s="6">
        <v>4774</v>
      </c>
      <c r="M19" s="6">
        <v>4921</v>
      </c>
      <c r="N19" s="6">
        <v>4921</v>
      </c>
      <c r="O19" s="15" t="str">
        <f t="shared" si="1"/>
        <v/>
      </c>
      <c r="P19" s="15">
        <f t="shared" si="2"/>
        <v>6.8284303199484642E-2</v>
      </c>
      <c r="Q19" s="15">
        <f t="shared" si="3"/>
        <v>2.3291584267194132E-2</v>
      </c>
      <c r="R19" s="15">
        <f t="shared" si="4"/>
        <v>0</v>
      </c>
      <c r="S19" s="15">
        <f t="shared" si="5"/>
        <v>8.8672134781644374E-3</v>
      </c>
      <c r="T19" s="15">
        <f t="shared" si="6"/>
        <v>-2.4325519681557273E-3</v>
      </c>
      <c r="U19" s="15">
        <f t="shared" si="7"/>
        <v>-6.8086975620470502E-3</v>
      </c>
      <c r="V19" s="15">
        <f t="shared" si="8"/>
        <v>-3.2306057385759868E-2</v>
      </c>
      <c r="W19" s="15">
        <f t="shared" si="9"/>
        <v>-1.4453288646837037E-2</v>
      </c>
      <c r="X19" s="15">
        <f t="shared" si="10"/>
        <v>-2.9871977240398251E-2</v>
      </c>
      <c r="Y19" s="15">
        <f t="shared" si="11"/>
        <v>0</v>
      </c>
      <c r="Z19" s="5">
        <f t="shared" si="12"/>
        <v>1.4570528141645278E-3</v>
      </c>
      <c r="AA19" s="5">
        <f t="shared" si="13"/>
        <v>-99.999989999999997</v>
      </c>
      <c r="AB19" s="5">
        <f t="shared" si="14"/>
        <v>6.8284303199484642E-2</v>
      </c>
    </row>
    <row r="20" spans="1:28">
      <c r="A20" t="s">
        <v>81</v>
      </c>
      <c r="B20" t="s">
        <v>189</v>
      </c>
      <c r="C20" s="59"/>
      <c r="D20" s="6">
        <v>562.98</v>
      </c>
      <c r="E20" s="6">
        <v>561.23</v>
      </c>
      <c r="F20" s="6">
        <v>605.9</v>
      </c>
      <c r="G20" s="6">
        <v>608.80999999999995</v>
      </c>
      <c r="H20" s="6">
        <v>602.98</v>
      </c>
      <c r="I20" s="6">
        <v>601</v>
      </c>
      <c r="J20" s="6">
        <v>599</v>
      </c>
      <c r="K20" s="6">
        <v>602.4</v>
      </c>
      <c r="L20" s="6">
        <v>618</v>
      </c>
      <c r="M20" s="6">
        <v>639.6</v>
      </c>
      <c r="N20" s="6">
        <v>658.8</v>
      </c>
      <c r="O20" s="15" t="str">
        <f t="shared" si="1"/>
        <v/>
      </c>
      <c r="P20" s="15">
        <f t="shared" si="2"/>
        <v>3.1181512036062564E-3</v>
      </c>
      <c r="Q20" s="15">
        <f t="shared" si="3"/>
        <v>-7.3725037134840687E-2</v>
      </c>
      <c r="R20" s="15">
        <f t="shared" si="4"/>
        <v>-4.7798163630689006E-3</v>
      </c>
      <c r="S20" s="15">
        <f t="shared" si="5"/>
        <v>9.668645726226277E-3</v>
      </c>
      <c r="T20" s="15">
        <f t="shared" si="6"/>
        <v>3.294509151414271E-3</v>
      </c>
      <c r="U20" s="15">
        <f t="shared" si="7"/>
        <v>3.3388981636059967E-3</v>
      </c>
      <c r="V20" s="15">
        <f t="shared" si="8"/>
        <v>-5.6440903054448821E-3</v>
      </c>
      <c r="W20" s="15">
        <f t="shared" si="9"/>
        <v>-2.5242718446601975E-2</v>
      </c>
      <c r="X20" s="15">
        <f t="shared" si="10"/>
        <v>-3.3771106941838713E-2</v>
      </c>
      <c r="Y20" s="15">
        <f t="shared" si="11"/>
        <v>-2.914389799635686E-2</v>
      </c>
      <c r="Z20" s="5">
        <f t="shared" si="12"/>
        <v>-1.5288646294329921E-2</v>
      </c>
      <c r="AA20" s="5">
        <f t="shared" si="13"/>
        <v>-1.2039520794435987</v>
      </c>
      <c r="AB20" s="5">
        <f t="shared" si="14"/>
        <v>3.1181512036062564E-3</v>
      </c>
    </row>
    <row r="21" spans="1:28">
      <c r="A21" t="s">
        <v>82</v>
      </c>
      <c r="B21" t="s">
        <v>190</v>
      </c>
      <c r="C21" s="59"/>
      <c r="D21" s="6">
        <v>1306</v>
      </c>
      <c r="E21" s="6">
        <v>1319</v>
      </c>
      <c r="F21" s="6">
        <v>1324</v>
      </c>
      <c r="G21" s="6">
        <v>1326</v>
      </c>
      <c r="H21" s="6">
        <v>1341</v>
      </c>
      <c r="I21" s="6">
        <v>1311</v>
      </c>
      <c r="J21" s="6">
        <v>1319</v>
      </c>
      <c r="K21" s="6">
        <v>1316</v>
      </c>
      <c r="L21" s="6">
        <v>1366</v>
      </c>
      <c r="M21" s="6">
        <v>1359</v>
      </c>
      <c r="N21" s="6">
        <v>1396</v>
      </c>
      <c r="O21" s="15" t="str">
        <f t="shared" si="1"/>
        <v/>
      </c>
      <c r="P21" s="15">
        <f t="shared" si="2"/>
        <v>-9.8559514783926883E-3</v>
      </c>
      <c r="Q21" s="15">
        <f t="shared" si="3"/>
        <v>-3.7764350453172169E-3</v>
      </c>
      <c r="R21" s="15">
        <f t="shared" si="4"/>
        <v>-1.5082956259426794E-3</v>
      </c>
      <c r="S21" s="15">
        <f t="shared" si="5"/>
        <v>-1.1185682326621871E-2</v>
      </c>
      <c r="T21" s="15">
        <f t="shared" si="6"/>
        <v>2.2883295194507935E-2</v>
      </c>
      <c r="U21" s="15">
        <f t="shared" si="7"/>
        <v>-6.0652009097801329E-3</v>
      </c>
      <c r="V21" s="15">
        <f t="shared" si="8"/>
        <v>2.2796352583587254E-3</v>
      </c>
      <c r="W21" s="15">
        <f t="shared" si="9"/>
        <v>-3.6603221083455373E-2</v>
      </c>
      <c r="X21" s="15">
        <f t="shared" si="10"/>
        <v>5.1508462104488117E-3</v>
      </c>
      <c r="Y21" s="15">
        <f t="shared" si="11"/>
        <v>-2.6504297994269344E-2</v>
      </c>
      <c r="Z21" s="5">
        <f t="shared" si="12"/>
        <v>-6.5185307800463832E-3</v>
      </c>
      <c r="AA21" s="5">
        <f t="shared" si="13"/>
        <v>0.51198971224656198</v>
      </c>
      <c r="AB21" s="5">
        <f t="shared" si="14"/>
        <v>-9.8559514783926883E-3</v>
      </c>
    </row>
    <row r="22" spans="1:28">
      <c r="A22" t="s">
        <v>28</v>
      </c>
      <c r="B22" t="s">
        <v>29</v>
      </c>
      <c r="C22" s="59"/>
      <c r="D22" s="6">
        <v>615.23</v>
      </c>
      <c r="E22" s="6">
        <v>600.08000000000004</v>
      </c>
      <c r="F22" s="6">
        <v>586.41999999999996</v>
      </c>
      <c r="G22" s="6">
        <v>593.33000000000004</v>
      </c>
      <c r="H22" s="6">
        <v>600.64</v>
      </c>
      <c r="I22" s="6">
        <v>616.23</v>
      </c>
      <c r="J22" s="6">
        <v>613.48</v>
      </c>
      <c r="K22" s="6">
        <v>513.79999999999995</v>
      </c>
      <c r="L22" s="6">
        <v>512.79999999999995</v>
      </c>
      <c r="M22" s="6">
        <v>521.79999999999995</v>
      </c>
      <c r="N22" s="6">
        <v>528.4</v>
      </c>
      <c r="O22" s="15" t="str">
        <f t="shared" si="1"/>
        <v/>
      </c>
      <c r="P22" s="15">
        <f t="shared" si="2"/>
        <v>2.5246633782162409E-2</v>
      </c>
      <c r="Q22" s="15">
        <f t="shared" si="3"/>
        <v>2.3293884928890618E-2</v>
      </c>
      <c r="R22" s="15">
        <f t="shared" si="4"/>
        <v>-1.1646132843443069E-2</v>
      </c>
      <c r="S22" s="15">
        <f t="shared" si="5"/>
        <v>-1.2170351624933295E-2</v>
      </c>
      <c r="T22" s="15">
        <f t="shared" si="6"/>
        <v>-2.5298995504925204E-2</v>
      </c>
      <c r="U22" s="15">
        <f t="shared" si="7"/>
        <v>4.4826237204147468E-3</v>
      </c>
      <c r="V22" s="15">
        <f t="shared" si="8"/>
        <v>0.19400544959128085</v>
      </c>
      <c r="W22" s="15">
        <f t="shared" si="9"/>
        <v>1.9500780031200815E-3</v>
      </c>
      <c r="X22" s="15">
        <f t="shared" si="10"/>
        <v>-1.7247987734764325E-2</v>
      </c>
      <c r="Y22" s="15">
        <f t="shared" si="11"/>
        <v>-1.249053747161244E-2</v>
      </c>
      <c r="Z22" s="5">
        <f t="shared" si="12"/>
        <v>1.7012466484619036E-2</v>
      </c>
      <c r="AA22" s="5">
        <f t="shared" si="13"/>
        <v>-99.999989999999997</v>
      </c>
      <c r="AB22" s="5">
        <f t="shared" si="14"/>
        <v>2.5246633782162409E-2</v>
      </c>
    </row>
    <row r="23" spans="1:28">
      <c r="A23" t="s">
        <v>30</v>
      </c>
      <c r="B23" t="s">
        <v>31</v>
      </c>
      <c r="C23" s="59"/>
      <c r="D23" s="6">
        <v>2027</v>
      </c>
      <c r="E23" s="6">
        <v>2027</v>
      </c>
      <c r="F23" s="6">
        <v>2026</v>
      </c>
      <c r="G23" s="6">
        <v>2026</v>
      </c>
      <c r="H23" s="6">
        <v>2026</v>
      </c>
      <c r="I23" s="6">
        <v>2026</v>
      </c>
      <c r="J23" s="6">
        <v>2025</v>
      </c>
      <c r="K23" s="6">
        <v>2025</v>
      </c>
      <c r="L23" s="6">
        <v>2025</v>
      </c>
      <c r="M23" s="6"/>
      <c r="N23" s="6"/>
      <c r="O23" s="15" t="str">
        <f t="shared" si="1"/>
        <v/>
      </c>
      <c r="P23" s="15">
        <f t="shared" si="2"/>
        <v>0</v>
      </c>
      <c r="Q23" s="15">
        <f t="shared" si="3"/>
        <v>4.9358341559724295E-4</v>
      </c>
      <c r="R23" s="15">
        <f t="shared" si="4"/>
        <v>0</v>
      </c>
      <c r="S23" s="15">
        <f t="shared" si="5"/>
        <v>0</v>
      </c>
      <c r="T23" s="15">
        <f t="shared" si="6"/>
        <v>0</v>
      </c>
      <c r="U23" s="15">
        <f t="shared" si="7"/>
        <v>4.9382716049373165E-4</v>
      </c>
      <c r="V23" s="15">
        <f t="shared" si="8"/>
        <v>0</v>
      </c>
      <c r="W23" s="15">
        <f t="shared" si="9"/>
        <v>0</v>
      </c>
      <c r="X23" s="15" t="str">
        <f t="shared" si="10"/>
        <v/>
      </c>
      <c r="Y23" s="15" t="str">
        <f t="shared" si="11"/>
        <v/>
      </c>
      <c r="Z23" s="5">
        <f t="shared" si="12"/>
        <v>1.2342632201137183E-4</v>
      </c>
      <c r="AA23" s="5">
        <f t="shared" si="13"/>
        <v>-99.999989999999997</v>
      </c>
      <c r="AB23" s="5">
        <f t="shared" si="14"/>
        <v>0</v>
      </c>
    </row>
    <row r="24" spans="1:28">
      <c r="A24" t="s">
        <v>32</v>
      </c>
      <c r="B24" t="s">
        <v>33</v>
      </c>
      <c r="C24" s="59"/>
      <c r="D24" s="6">
        <v>1036</v>
      </c>
      <c r="E24" s="6">
        <v>1036</v>
      </c>
      <c r="F24" s="6">
        <v>1068</v>
      </c>
      <c r="G24" s="6">
        <v>1068</v>
      </c>
      <c r="H24" s="6">
        <v>1068</v>
      </c>
      <c r="I24" s="6">
        <v>1068</v>
      </c>
      <c r="J24" s="6">
        <v>1068</v>
      </c>
      <c r="K24" s="6">
        <v>1068</v>
      </c>
      <c r="L24" s="79"/>
      <c r="M24" s="6"/>
      <c r="N24" s="6"/>
      <c r="O24" s="15" t="str">
        <f t="shared" si="1"/>
        <v/>
      </c>
      <c r="P24" s="15">
        <f t="shared" si="2"/>
        <v>0</v>
      </c>
      <c r="Q24" s="15">
        <f t="shared" si="3"/>
        <v>-2.9962546816479363E-2</v>
      </c>
      <c r="R24" s="15">
        <f t="shared" si="4"/>
        <v>0</v>
      </c>
      <c r="S24" s="15">
        <f t="shared" si="5"/>
        <v>0</v>
      </c>
      <c r="T24" s="15">
        <f t="shared" si="6"/>
        <v>0</v>
      </c>
      <c r="U24" s="15">
        <f t="shared" si="7"/>
        <v>0</v>
      </c>
      <c r="V24" s="15">
        <f t="shared" si="8"/>
        <v>0</v>
      </c>
      <c r="W24" s="15" t="str">
        <f t="shared" si="9"/>
        <v/>
      </c>
      <c r="X24" s="15" t="str">
        <f t="shared" si="10"/>
        <v/>
      </c>
      <c r="Y24" s="15" t="str">
        <f t="shared" si="11"/>
        <v/>
      </c>
      <c r="Z24" s="5">
        <f t="shared" si="12"/>
        <v>-4.2803638309256231E-3</v>
      </c>
      <c r="AA24" s="5">
        <f t="shared" si="13"/>
        <v>-1</v>
      </c>
      <c r="AB24" s="5">
        <f t="shared" si="14"/>
        <v>0</v>
      </c>
    </row>
    <row r="25" spans="1:28">
      <c r="A25" t="s">
        <v>34</v>
      </c>
      <c r="B25" t="s">
        <v>35</v>
      </c>
      <c r="C25" s="59"/>
      <c r="D25" s="6">
        <v>28813</v>
      </c>
      <c r="E25" s="6">
        <v>28812</v>
      </c>
      <c r="F25" s="79"/>
      <c r="G25" s="79"/>
      <c r="H25" s="79"/>
      <c r="I25" s="79"/>
      <c r="J25" s="79"/>
      <c r="K25" s="79"/>
      <c r="L25" s="79"/>
      <c r="M25" s="79"/>
      <c r="N25" s="79"/>
      <c r="O25" s="15" t="str">
        <f t="shared" si="1"/>
        <v/>
      </c>
      <c r="P25" s="15">
        <f t="shared" si="2"/>
        <v>3.4707760655283693E-5</v>
      </c>
      <c r="Q25" s="15" t="str">
        <f t="shared" si="3"/>
        <v/>
      </c>
      <c r="R25" s="15" t="str">
        <f t="shared" si="4"/>
        <v/>
      </c>
      <c r="S25" s="15" t="str">
        <f t="shared" si="5"/>
        <v/>
      </c>
      <c r="T25" s="15" t="str">
        <f t="shared" si="6"/>
        <v/>
      </c>
      <c r="U25" s="15" t="str">
        <f t="shared" si="7"/>
        <v/>
      </c>
      <c r="V25" s="15" t="str">
        <f t="shared" si="8"/>
        <v/>
      </c>
      <c r="W25" s="15" t="str">
        <f t="shared" si="9"/>
        <v/>
      </c>
      <c r="X25" s="15" t="str">
        <f t="shared" si="10"/>
        <v/>
      </c>
      <c r="Y25" s="15" t="str">
        <f t="shared" si="11"/>
        <v/>
      </c>
      <c r="Z25" s="5">
        <f t="shared" si="12"/>
        <v>3.4707760655283693E-5</v>
      </c>
      <c r="AA25" s="5">
        <f t="shared" si="13"/>
        <v>-99.999989999999997</v>
      </c>
      <c r="AB25" s="5">
        <f t="shared" si="14"/>
        <v>3.4707760655283693E-5</v>
      </c>
    </row>
    <row r="26" spans="1:28">
      <c r="A26" s="52" t="s">
        <v>277</v>
      </c>
      <c r="B26" s="52" t="s">
        <v>278</v>
      </c>
      <c r="C26" s="59"/>
      <c r="D26" s="6">
        <v>650.04</v>
      </c>
      <c r="E26" s="6">
        <v>656.56</v>
      </c>
      <c r="F26" s="6">
        <v>666.36</v>
      </c>
      <c r="G26" s="6">
        <v>676.6</v>
      </c>
      <c r="H26" s="6">
        <v>690.1</v>
      </c>
      <c r="I26" s="6">
        <v>696.4</v>
      </c>
      <c r="J26" s="6"/>
      <c r="K26" s="6"/>
      <c r="L26" s="6"/>
      <c r="M26" s="6"/>
      <c r="N26" s="6"/>
      <c r="O26" s="15" t="str">
        <f t="shared" si="1"/>
        <v/>
      </c>
      <c r="P26" s="15">
        <f t="shared" si="2"/>
        <v>-9.930547093944142E-3</v>
      </c>
      <c r="Q26" s="15">
        <f t="shared" si="3"/>
        <v>-1.470676511195157E-2</v>
      </c>
      <c r="R26" s="15">
        <f t="shared" si="4"/>
        <v>-1.5134496009459042E-2</v>
      </c>
      <c r="S26" s="15">
        <f t="shared" si="5"/>
        <v>-1.9562382263440092E-2</v>
      </c>
      <c r="T26" s="15">
        <f t="shared" si="6"/>
        <v>-9.0465249856404029E-3</v>
      </c>
      <c r="U26" s="15" t="str">
        <f t="shared" si="7"/>
        <v/>
      </c>
      <c r="V26" s="15" t="str">
        <f t="shared" si="8"/>
        <v/>
      </c>
      <c r="W26" s="15" t="str">
        <f t="shared" si="9"/>
        <v/>
      </c>
      <c r="X26" s="15" t="str">
        <f t="shared" si="10"/>
        <v/>
      </c>
      <c r="Y26" s="15" t="str">
        <f t="shared" si="11"/>
        <v/>
      </c>
      <c r="Z26" s="5">
        <f t="shared" si="12"/>
        <v>-1.367614309288705E-2</v>
      </c>
      <c r="AA26" s="5">
        <f t="shared" si="13"/>
        <v>-0.27387809366304372</v>
      </c>
      <c r="AB26" s="5">
        <f t="shared" si="14"/>
        <v>-9.930547093944142E-3</v>
      </c>
    </row>
    <row r="27" spans="1:28">
      <c r="A27" t="s">
        <v>36</v>
      </c>
      <c r="B27" t="s">
        <v>37</v>
      </c>
      <c r="C27" s="59"/>
      <c r="D27" s="6">
        <v>3000</v>
      </c>
      <c r="E27" s="6">
        <v>3000</v>
      </c>
      <c r="F27" s="6">
        <v>3000</v>
      </c>
      <c r="G27" s="6">
        <v>3000</v>
      </c>
      <c r="H27" s="6">
        <v>3000</v>
      </c>
      <c r="I27" s="6">
        <v>3000</v>
      </c>
      <c r="J27" s="6">
        <v>3000</v>
      </c>
      <c r="K27" s="6">
        <v>3000</v>
      </c>
      <c r="L27" s="6">
        <v>3000</v>
      </c>
      <c r="M27" s="6">
        <v>3000</v>
      </c>
      <c r="N27" s="6">
        <v>3000</v>
      </c>
      <c r="O27" s="15" t="str">
        <f t="shared" si="1"/>
        <v/>
      </c>
      <c r="P27" s="15">
        <f t="shared" si="2"/>
        <v>0</v>
      </c>
      <c r="Q27" s="15">
        <f t="shared" si="3"/>
        <v>0</v>
      </c>
      <c r="R27" s="15">
        <f t="shared" si="4"/>
        <v>0</v>
      </c>
      <c r="S27" s="15">
        <f t="shared" si="5"/>
        <v>0</v>
      </c>
      <c r="T27" s="15">
        <f t="shared" si="6"/>
        <v>0</v>
      </c>
      <c r="U27" s="15">
        <f t="shared" si="7"/>
        <v>0</v>
      </c>
      <c r="V27" s="15">
        <f t="shared" si="8"/>
        <v>0</v>
      </c>
      <c r="W27" s="15">
        <f t="shared" si="9"/>
        <v>0</v>
      </c>
      <c r="X27" s="15">
        <f t="shared" si="10"/>
        <v>0</v>
      </c>
      <c r="Y27" s="15">
        <f t="shared" si="11"/>
        <v>0</v>
      </c>
      <c r="Z27" s="5">
        <f t="shared" si="12"/>
        <v>0</v>
      </c>
      <c r="AA27" s="5">
        <f t="shared" si="13"/>
        <v>0</v>
      </c>
      <c r="AB27" s="5">
        <f t="shared" si="14"/>
        <v>0</v>
      </c>
    </row>
    <row r="28" spans="1:28">
      <c r="A28" t="s">
        <v>38</v>
      </c>
      <c r="B28" t="s">
        <v>39</v>
      </c>
      <c r="C28" s="59"/>
      <c r="D28" s="6">
        <v>6145</v>
      </c>
      <c r="E28" s="6">
        <v>5187</v>
      </c>
      <c r="F28" s="6">
        <v>5226</v>
      </c>
      <c r="G28" s="6">
        <v>5581</v>
      </c>
      <c r="H28" s="6">
        <v>5927</v>
      </c>
      <c r="I28" s="6">
        <v>5911</v>
      </c>
      <c r="J28" s="6">
        <v>5902</v>
      </c>
      <c r="K28" s="6">
        <v>5893</v>
      </c>
      <c r="L28" s="6">
        <v>6044</v>
      </c>
      <c r="M28" s="6">
        <v>6239</v>
      </c>
      <c r="N28" s="79"/>
      <c r="O28" s="15" t="str">
        <f t="shared" si="1"/>
        <v/>
      </c>
      <c r="P28" s="15">
        <f t="shared" si="2"/>
        <v>0.18469250048197416</v>
      </c>
      <c r="Q28" s="15">
        <f t="shared" si="3"/>
        <v>-7.4626865671642006E-3</v>
      </c>
      <c r="R28" s="15">
        <f t="shared" si="4"/>
        <v>-6.3608672280953238E-2</v>
      </c>
      <c r="S28" s="15">
        <f t="shared" si="5"/>
        <v>-5.8376919183398046E-2</v>
      </c>
      <c r="T28" s="15">
        <f t="shared" si="6"/>
        <v>2.7068177973270657E-3</v>
      </c>
      <c r="U28" s="15">
        <f t="shared" si="7"/>
        <v>1.5249068112503927E-3</v>
      </c>
      <c r="V28" s="15">
        <f t="shared" si="8"/>
        <v>1.5272357033768724E-3</v>
      </c>
      <c r="W28" s="15">
        <f t="shared" si="9"/>
        <v>-2.4983454665784222E-2</v>
      </c>
      <c r="X28" s="15">
        <f t="shared" si="10"/>
        <v>-3.125500881551535E-2</v>
      </c>
      <c r="Y28" s="15" t="str">
        <f t="shared" si="11"/>
        <v/>
      </c>
      <c r="Z28" s="5">
        <f t="shared" si="12"/>
        <v>5.2941325345704871E-4</v>
      </c>
      <c r="AA28" s="5">
        <f t="shared" si="13"/>
        <v>-99.999989999999997</v>
      </c>
      <c r="AB28" s="5">
        <f t="shared" si="14"/>
        <v>0.18469250048197416</v>
      </c>
    </row>
    <row r="29" spans="1:28">
      <c r="A29" s="52" t="s">
        <v>318</v>
      </c>
      <c r="B29" s="52" t="s">
        <v>319</v>
      </c>
      <c r="C29" s="59"/>
      <c r="D29" s="6">
        <v>687.35</v>
      </c>
      <c r="E29" s="6">
        <v>680.17</v>
      </c>
      <c r="F29" s="6">
        <v>671.66</v>
      </c>
      <c r="G29" s="6">
        <v>659.96</v>
      </c>
      <c r="H29" s="6">
        <v>649.79</v>
      </c>
      <c r="I29" s="6">
        <v>642.6</v>
      </c>
      <c r="J29" s="6">
        <v>635.6</v>
      </c>
      <c r="K29" s="6">
        <v>630.20000000000005</v>
      </c>
      <c r="L29" s="6">
        <v>625.79999999999995</v>
      </c>
      <c r="M29" s="6">
        <v>618</v>
      </c>
      <c r="N29" s="6">
        <v>586</v>
      </c>
      <c r="O29" s="15" t="str">
        <f t="shared" si="1"/>
        <v/>
      </c>
      <c r="P29" s="15">
        <f t="shared" si="2"/>
        <v>1.0556184483291098E-2</v>
      </c>
      <c r="Q29" s="15">
        <f t="shared" si="3"/>
        <v>1.2670100943930063E-2</v>
      </c>
      <c r="R29" s="15">
        <f t="shared" si="4"/>
        <v>1.7728347172555781E-2</v>
      </c>
      <c r="S29" s="15">
        <f t="shared" si="5"/>
        <v>1.5651210391049553E-2</v>
      </c>
      <c r="T29" s="15">
        <f t="shared" si="6"/>
        <v>1.118892001244931E-2</v>
      </c>
      <c r="U29" s="15">
        <f t="shared" si="7"/>
        <v>1.1013215859030812E-2</v>
      </c>
      <c r="V29" s="15">
        <f t="shared" si="8"/>
        <v>8.5687083465566527E-3</v>
      </c>
      <c r="W29" s="15">
        <f t="shared" si="9"/>
        <v>7.0310003195910298E-3</v>
      </c>
      <c r="X29" s="15">
        <f t="shared" si="10"/>
        <v>1.2621359223300876E-2</v>
      </c>
      <c r="Y29" s="15">
        <f t="shared" si="11"/>
        <v>5.4607508532423132E-2</v>
      </c>
      <c r="Z29" s="5">
        <f t="shared" si="12"/>
        <v>1.6163655528417829E-2</v>
      </c>
      <c r="AA29" s="5">
        <f t="shared" si="13"/>
        <v>-99.999989999999997</v>
      </c>
      <c r="AB29" s="5">
        <f t="shared" si="14"/>
        <v>1.0556184483291098E-2</v>
      </c>
    </row>
    <row r="30" spans="1:28">
      <c r="A30" t="s">
        <v>91</v>
      </c>
      <c r="B30" t="s">
        <v>194</v>
      </c>
      <c r="C30" s="59"/>
      <c r="D30" s="6">
        <v>169.04</v>
      </c>
      <c r="E30" s="6">
        <v>164.79</v>
      </c>
      <c r="F30" s="6">
        <v>166.59</v>
      </c>
      <c r="G30" s="6">
        <v>168.88</v>
      </c>
      <c r="H30" s="6">
        <v>138.46</v>
      </c>
      <c r="I30" s="6">
        <v>131.19999999999999</v>
      </c>
      <c r="J30" s="6"/>
      <c r="K30" s="6"/>
      <c r="L30" s="6"/>
      <c r="M30" s="6"/>
      <c r="N30" s="6"/>
      <c r="O30" s="15" t="str">
        <f t="shared" si="1"/>
        <v/>
      </c>
      <c r="P30" s="15">
        <f t="shared" si="2"/>
        <v>2.5790399902906769E-2</v>
      </c>
      <c r="Q30" s="15">
        <f t="shared" si="3"/>
        <v>-1.0804970286331761E-2</v>
      </c>
      <c r="R30" s="15">
        <f t="shared" si="4"/>
        <v>-1.3559924206537177E-2</v>
      </c>
      <c r="S30" s="15">
        <f t="shared" si="5"/>
        <v>0.21970244113823467</v>
      </c>
      <c r="T30" s="15">
        <f t="shared" si="6"/>
        <v>5.5335365853658613E-2</v>
      </c>
      <c r="U30" s="15" t="str">
        <f t="shared" si="7"/>
        <v/>
      </c>
      <c r="V30" s="15" t="str">
        <f t="shared" si="8"/>
        <v/>
      </c>
      <c r="W30" s="15" t="str">
        <f t="shared" si="9"/>
        <v/>
      </c>
      <c r="X30" s="15" t="str">
        <f t="shared" si="10"/>
        <v/>
      </c>
      <c r="Y30" s="15" t="str">
        <f t="shared" si="11"/>
        <v/>
      </c>
      <c r="Z30" s="5">
        <f t="shared" si="12"/>
        <v>5.5292662480386223E-2</v>
      </c>
      <c r="AA30" s="5">
        <f t="shared" si="13"/>
        <v>-99.999989999999997</v>
      </c>
      <c r="AB30" s="5">
        <f t="shared" si="14"/>
        <v>2.5790399902906769E-2</v>
      </c>
    </row>
    <row r="31" spans="1:28">
      <c r="A31" s="52" t="s">
        <v>267</v>
      </c>
      <c r="B31" s="52" t="s">
        <v>273</v>
      </c>
      <c r="C31" s="59"/>
      <c r="D31" s="6">
        <v>1101</v>
      </c>
      <c r="E31" s="6">
        <v>1140</v>
      </c>
      <c r="F31" s="6">
        <v>1180</v>
      </c>
      <c r="G31" s="6">
        <v>1231</v>
      </c>
      <c r="H31" s="6">
        <v>1298</v>
      </c>
      <c r="I31" s="6">
        <v>1363</v>
      </c>
      <c r="J31" s="6">
        <v>1391</v>
      </c>
      <c r="K31" s="6">
        <v>1439</v>
      </c>
      <c r="L31" s="6">
        <v>1437</v>
      </c>
      <c r="M31" s="79"/>
      <c r="N31" s="79"/>
      <c r="O31" s="15" t="str">
        <f t="shared" si="1"/>
        <v/>
      </c>
      <c r="P31" s="15">
        <f t="shared" si="2"/>
        <v>-3.4210526315789469E-2</v>
      </c>
      <c r="Q31" s="15">
        <f t="shared" si="3"/>
        <v>-3.3898305084745783E-2</v>
      </c>
      <c r="R31" s="15">
        <f t="shared" si="4"/>
        <v>-4.1429731925264002E-2</v>
      </c>
      <c r="S31" s="15">
        <f t="shared" si="5"/>
        <v>-5.1617873651771951E-2</v>
      </c>
      <c r="T31" s="15">
        <f t="shared" si="6"/>
        <v>-4.7688921496698455E-2</v>
      </c>
      <c r="U31" s="15">
        <f t="shared" si="7"/>
        <v>-2.0129403306973437E-2</v>
      </c>
      <c r="V31" s="15">
        <f t="shared" si="8"/>
        <v>-3.3356497567755383E-2</v>
      </c>
      <c r="W31" s="15">
        <f t="shared" si="9"/>
        <v>1.3917884481557952E-3</v>
      </c>
      <c r="X31" s="15" t="str">
        <f t="shared" si="10"/>
        <v/>
      </c>
      <c r="Y31" s="15" t="str">
        <f t="shared" si="11"/>
        <v/>
      </c>
      <c r="Z31" s="5">
        <f t="shared" si="12"/>
        <v>-3.2617433862605336E-2</v>
      </c>
      <c r="AA31" s="5">
        <f t="shared" si="13"/>
        <v>4.8841747020772042E-2</v>
      </c>
      <c r="AB31" s="5">
        <f t="shared" si="14"/>
        <v>-3.4210526315789469E-2</v>
      </c>
    </row>
    <row r="32" spans="1:28">
      <c r="A32" s="52" t="s">
        <v>279</v>
      </c>
      <c r="B32" s="52" t="s">
        <v>280</v>
      </c>
      <c r="C32" s="59"/>
      <c r="D32" s="6">
        <v>5085</v>
      </c>
      <c r="E32" s="6">
        <v>5107</v>
      </c>
      <c r="F32" s="6">
        <v>5389</v>
      </c>
      <c r="G32" s="6">
        <v>5298</v>
      </c>
      <c r="H32" s="6">
        <v>5435</v>
      </c>
      <c r="I32" s="6">
        <v>5655</v>
      </c>
      <c r="J32" s="6">
        <v>5785</v>
      </c>
      <c r="K32" s="6">
        <v>5893</v>
      </c>
      <c r="L32" s="6">
        <v>6059</v>
      </c>
      <c r="M32" s="6">
        <v>6059</v>
      </c>
      <c r="N32" s="6">
        <v>6331</v>
      </c>
      <c r="O32" s="15" t="str">
        <f t="shared" si="1"/>
        <v/>
      </c>
      <c r="P32" s="15">
        <f t="shared" si="2"/>
        <v>-4.3078128059526044E-3</v>
      </c>
      <c r="Q32" s="15">
        <f t="shared" si="3"/>
        <v>-5.2328817962516205E-2</v>
      </c>
      <c r="R32" s="15">
        <f t="shared" si="4"/>
        <v>1.7176292940732418E-2</v>
      </c>
      <c r="S32" s="15">
        <f t="shared" si="5"/>
        <v>-2.520699172033114E-2</v>
      </c>
      <c r="T32" s="15">
        <f t="shared" si="6"/>
        <v>-3.89036251105217E-2</v>
      </c>
      <c r="U32" s="15">
        <f t="shared" si="7"/>
        <v>-2.2471910112359605E-2</v>
      </c>
      <c r="V32" s="15">
        <f t="shared" si="8"/>
        <v>-1.8326828440522691E-2</v>
      </c>
      <c r="W32" s="15">
        <f t="shared" si="9"/>
        <v>-2.7397260273972601E-2</v>
      </c>
      <c r="X32" s="15">
        <f t="shared" si="10"/>
        <v>0</v>
      </c>
      <c r="Y32" s="15">
        <f t="shared" si="11"/>
        <v>-4.2963196967303774E-2</v>
      </c>
      <c r="Z32" s="5">
        <f t="shared" si="12"/>
        <v>-2.1473015045274789E-2</v>
      </c>
      <c r="AA32" s="5">
        <f t="shared" si="13"/>
        <v>-0.79938481871922529</v>
      </c>
      <c r="AB32" s="5">
        <f t="shared" si="14"/>
        <v>-4.3078128059526044E-3</v>
      </c>
    </row>
    <row r="33" spans="1:28">
      <c r="A33" t="s">
        <v>40</v>
      </c>
      <c r="B33" t="s">
        <v>41</v>
      </c>
      <c r="C33" s="59"/>
      <c r="D33" s="6">
        <v>4349</v>
      </c>
      <c r="E33" s="6">
        <v>4366</v>
      </c>
      <c r="F33" s="6">
        <v>4402</v>
      </c>
      <c r="G33" s="6">
        <v>4469</v>
      </c>
      <c r="H33" s="6">
        <v>4526</v>
      </c>
      <c r="I33" s="6">
        <v>4584</v>
      </c>
      <c r="J33" s="6">
        <v>4606</v>
      </c>
      <c r="K33" s="6">
        <v>4624</v>
      </c>
      <c r="L33" s="6">
        <v>4636</v>
      </c>
      <c r="M33" s="6">
        <v>4636</v>
      </c>
      <c r="N33" s="6">
        <v>4738</v>
      </c>
      <c r="O33" s="15" t="str">
        <f t="shared" si="1"/>
        <v/>
      </c>
      <c r="P33" s="15">
        <f t="shared" si="2"/>
        <v>-3.8937242327072852E-3</v>
      </c>
      <c r="Q33" s="15">
        <f t="shared" si="3"/>
        <v>-8.1781008632439978E-3</v>
      </c>
      <c r="R33" s="15">
        <f t="shared" si="4"/>
        <v>-1.4992168270306583E-2</v>
      </c>
      <c r="S33" s="15">
        <f t="shared" si="5"/>
        <v>-1.2593901900132543E-2</v>
      </c>
      <c r="T33" s="15">
        <f t="shared" si="6"/>
        <v>-1.265270506108207E-2</v>
      </c>
      <c r="U33" s="15">
        <f t="shared" si="7"/>
        <v>-4.7763786365609961E-3</v>
      </c>
      <c r="V33" s="15">
        <f t="shared" si="8"/>
        <v>-3.8927335640138727E-3</v>
      </c>
      <c r="W33" s="15">
        <f t="shared" si="9"/>
        <v>-2.5884383088869978E-3</v>
      </c>
      <c r="X33" s="15">
        <f t="shared" si="10"/>
        <v>0</v>
      </c>
      <c r="Y33" s="15">
        <f t="shared" si="11"/>
        <v>-2.1528070915998287E-2</v>
      </c>
      <c r="Z33" s="5">
        <f t="shared" si="12"/>
        <v>-8.509622175293264E-3</v>
      </c>
      <c r="AA33" s="5">
        <f t="shared" si="13"/>
        <v>-0.5424327716908186</v>
      </c>
      <c r="AB33" s="5">
        <f t="shared" si="14"/>
        <v>-3.8937242327072852E-3</v>
      </c>
    </row>
    <row r="34" spans="1:28">
      <c r="A34" t="s">
        <v>42</v>
      </c>
      <c r="B34" t="s">
        <v>43</v>
      </c>
      <c r="C34" s="59"/>
      <c r="D34" s="6">
        <v>892.74</v>
      </c>
      <c r="E34" s="6">
        <v>907.08</v>
      </c>
      <c r="F34" s="6">
        <v>918.94</v>
      </c>
      <c r="G34" s="6">
        <v>935.39</v>
      </c>
      <c r="H34" s="6">
        <v>959.2</v>
      </c>
      <c r="I34" s="6">
        <v>987.8</v>
      </c>
      <c r="J34" s="6">
        <v>987.4</v>
      </c>
      <c r="K34" s="6">
        <v>1003</v>
      </c>
      <c r="L34" s="6">
        <v>1018</v>
      </c>
      <c r="M34" s="6">
        <v>1025</v>
      </c>
      <c r="N34" s="6">
        <v>1032</v>
      </c>
      <c r="O34" s="15" t="str">
        <f t="shared" si="1"/>
        <v/>
      </c>
      <c r="P34" s="15">
        <f t="shared" si="2"/>
        <v>-1.5808969440402221E-2</v>
      </c>
      <c r="Q34" s="15">
        <f t="shared" si="3"/>
        <v>-1.290617450540843E-2</v>
      </c>
      <c r="R34" s="15">
        <f t="shared" si="4"/>
        <v>-1.7586247447588632E-2</v>
      </c>
      <c r="S34" s="15">
        <f t="shared" si="5"/>
        <v>-2.4822768974145148E-2</v>
      </c>
      <c r="T34" s="15">
        <f t="shared" si="6"/>
        <v>-2.8953229398663627E-2</v>
      </c>
      <c r="U34" s="15">
        <f t="shared" si="7"/>
        <v>4.0510431436091565E-4</v>
      </c>
      <c r="V34" s="15">
        <f t="shared" si="8"/>
        <v>-1.555333998005981E-2</v>
      </c>
      <c r="W34" s="15">
        <f t="shared" si="9"/>
        <v>-1.4734774066797685E-2</v>
      </c>
      <c r="X34" s="15">
        <f t="shared" si="10"/>
        <v>-6.8292682926829329E-3</v>
      </c>
      <c r="Y34" s="15">
        <f t="shared" si="11"/>
        <v>-6.7829457364341206E-3</v>
      </c>
      <c r="Z34" s="5">
        <f t="shared" si="12"/>
        <v>-1.4357261352782169E-2</v>
      </c>
      <c r="AA34" s="5">
        <f t="shared" si="13"/>
        <v>0.10111316162248007</v>
      </c>
      <c r="AB34" s="5">
        <f t="shared" si="14"/>
        <v>-1.5808969440402221E-2</v>
      </c>
    </row>
    <row r="35" spans="1:28">
      <c r="A35" t="s">
        <v>44</v>
      </c>
      <c r="B35" t="s">
        <v>45</v>
      </c>
      <c r="C35" s="59"/>
      <c r="D35" s="6">
        <v>9379</v>
      </c>
      <c r="E35" s="6">
        <v>10057</v>
      </c>
      <c r="F35" s="6">
        <v>10061</v>
      </c>
      <c r="G35" s="6">
        <v>10406</v>
      </c>
      <c r="H35" s="6">
        <v>10573</v>
      </c>
      <c r="I35" s="6">
        <v>10615</v>
      </c>
      <c r="J35" s="6">
        <v>10663</v>
      </c>
      <c r="K35" s="6">
        <v>10537</v>
      </c>
      <c r="L35" s="6">
        <v>9988</v>
      </c>
      <c r="M35" s="6">
        <v>10277</v>
      </c>
      <c r="N35" s="6">
        <v>10484</v>
      </c>
      <c r="O35" s="15" t="str">
        <f t="shared" si="1"/>
        <v/>
      </c>
      <c r="P35" s="15">
        <f t="shared" si="2"/>
        <v>-6.7415730337078705E-2</v>
      </c>
      <c r="Q35" s="15">
        <f t="shared" si="3"/>
        <v>-3.9757479375812643E-4</v>
      </c>
      <c r="R35" s="15">
        <f t="shared" si="4"/>
        <v>-3.3153949644435854E-2</v>
      </c>
      <c r="S35" s="15">
        <f t="shared" si="5"/>
        <v>-1.5794949399413616E-2</v>
      </c>
      <c r="T35" s="15">
        <f t="shared" si="6"/>
        <v>-3.9566650965614514E-3</v>
      </c>
      <c r="U35" s="15">
        <f t="shared" si="7"/>
        <v>-4.5015474069211026E-3</v>
      </c>
      <c r="V35" s="15">
        <f t="shared" si="8"/>
        <v>1.1957862769289118E-2</v>
      </c>
      <c r="W35" s="15">
        <f t="shared" si="9"/>
        <v>5.4965959150981236E-2</v>
      </c>
      <c r="X35" s="15">
        <f t="shared" si="10"/>
        <v>-2.8121046998151211E-2</v>
      </c>
      <c r="Y35" s="15">
        <f t="shared" si="11"/>
        <v>-1.9744372376955366E-2</v>
      </c>
      <c r="Z35" s="5">
        <f t="shared" si="12"/>
        <v>-1.0616201413300507E-2</v>
      </c>
      <c r="AA35" s="5">
        <f t="shared" si="13"/>
        <v>5.3502685859573944</v>
      </c>
      <c r="AB35" s="5">
        <f t="shared" si="14"/>
        <v>-6.7415730337078705E-2</v>
      </c>
    </row>
    <row r="36" spans="1:28">
      <c r="A36" t="s">
        <v>46</v>
      </c>
      <c r="B36" t="s">
        <v>47</v>
      </c>
      <c r="C36" s="59"/>
      <c r="D36" s="6">
        <v>970.11</v>
      </c>
      <c r="E36" s="6">
        <v>990.52</v>
      </c>
      <c r="F36" s="6">
        <v>1054</v>
      </c>
      <c r="G36" s="6">
        <v>1117</v>
      </c>
      <c r="H36" s="6">
        <v>1163</v>
      </c>
      <c r="I36" s="6">
        <v>1220</v>
      </c>
      <c r="J36" s="6">
        <v>1305</v>
      </c>
      <c r="K36" s="6">
        <v>1339</v>
      </c>
      <c r="L36" s="6">
        <v>1385</v>
      </c>
      <c r="M36" s="6">
        <v>1507</v>
      </c>
      <c r="N36" s="6">
        <v>1574</v>
      </c>
      <c r="O36" s="15" t="str">
        <f t="shared" ref="O36:O67" si="15">IF(C36&lt;&gt;"",IF(D36&lt;&gt;"",(C36/D36)-1,""),"")</f>
        <v/>
      </c>
      <c r="P36" s="15">
        <f t="shared" ref="P36:P67" si="16">IF(D36&lt;&gt;"",IF(E36&lt;&gt;"",(D36/E36)-1,""),"")</f>
        <v>-2.0605338610023005E-2</v>
      </c>
      <c r="Q36" s="15">
        <f t="shared" ref="Q36:Q67" si="17">IF(E36&lt;&gt;"",IF(F36&lt;&gt;"",(E36/F36)-1,""),"")</f>
        <v>-6.0227703984819803E-2</v>
      </c>
      <c r="R36" s="15">
        <f t="shared" ref="R36:R67" si="18">IF(F36&lt;&gt;"",IF(G36&lt;&gt;"",(F36/G36)-1,""),"")</f>
        <v>-5.6401074306177246E-2</v>
      </c>
      <c r="S36" s="15">
        <f t="shared" ref="S36:S67" si="19">IF(G36&lt;&gt;"",IF(H36&lt;&gt;"",(G36/H36)-1,""),"")</f>
        <v>-3.9552880481513286E-2</v>
      </c>
      <c r="T36" s="15">
        <f t="shared" ref="T36:T67" si="20">IF(H36&lt;&gt;"",IF(I36&lt;&gt;"",(H36/I36)-1,""),"")</f>
        <v>-4.672131147540981E-2</v>
      </c>
      <c r="U36" s="15">
        <f t="shared" ref="U36:U67" si="21">IF(I36&lt;&gt;"",IF(J36&lt;&gt;"",(I36/J36)-1,""),"")</f>
        <v>-6.5134099616858232E-2</v>
      </c>
      <c r="V36" s="15">
        <f t="shared" ref="V36:V67" si="22">IF(J36&lt;&gt;"",IF(K36&lt;&gt;"",(J36/K36)-1,""),"")</f>
        <v>-2.5392083644510843E-2</v>
      </c>
      <c r="W36" s="15">
        <f t="shared" ref="W36:W67" si="23">IF(K36&lt;&gt;"",IF(L36&lt;&gt;"",(K36/L36)-1,""),"")</f>
        <v>-3.3212996389891725E-2</v>
      </c>
      <c r="X36" s="15">
        <f t="shared" ref="X36:X67" si="24">IF(L36&lt;&gt;"",IF(M36&lt;&gt;"",(L36/M36)-1,""),"")</f>
        <v>-8.095554080955536E-2</v>
      </c>
      <c r="Y36" s="15">
        <f t="shared" ref="Y36:Y67" si="25">IF(M36&lt;&gt;"",IF(N36&lt;&gt;"",(M36/N36)-1,""),"")</f>
        <v>-4.2566709021600979E-2</v>
      </c>
      <c r="Z36" s="5">
        <f t="shared" ref="Z36:Z67" si="26">AVERAGE(O36:Y36)</f>
        <v>-4.7076973834036029E-2</v>
      </c>
      <c r="AA36" s="5">
        <f t="shared" ref="AA36:AA67" si="27">IF(Z36=0,0,IF(Z36&lt;0,IF(C36&lt;&gt;"",(O36/Z36)-1,(P36/Z36)-1),IF(C36&lt;&gt;"",IF(O36&lt;0,((O36/Z36)-1)*-1,-99.99999),IF(P36&lt;0,((P36/Z36)-1)*-1,-99.99999))))</f>
        <v>-0.56230537071765607</v>
      </c>
      <c r="AB36" s="5">
        <f t="shared" ref="AB36:AB67" si="28">IF(C36&lt;&gt;"",O36,P36)</f>
        <v>-2.0605338610023005E-2</v>
      </c>
    </row>
    <row r="37" spans="1:28">
      <c r="A37" t="s">
        <v>48</v>
      </c>
      <c r="B37" t="s">
        <v>49</v>
      </c>
      <c r="C37" s="59"/>
      <c r="D37" s="6">
        <v>2755</v>
      </c>
      <c r="E37" s="6">
        <v>2783</v>
      </c>
      <c r="F37" s="6">
        <v>2821</v>
      </c>
      <c r="G37" s="6">
        <v>2778</v>
      </c>
      <c r="H37" s="6">
        <v>2724</v>
      </c>
      <c r="I37" s="6">
        <v>2738</v>
      </c>
      <c r="J37" s="6">
        <v>2754</v>
      </c>
      <c r="K37" s="6">
        <v>2769</v>
      </c>
      <c r="L37" s="6">
        <v>2840</v>
      </c>
      <c r="M37" s="6">
        <v>2893</v>
      </c>
      <c r="N37" s="6">
        <v>2975</v>
      </c>
      <c r="O37" s="15" t="str">
        <f t="shared" si="15"/>
        <v/>
      </c>
      <c r="P37" s="15">
        <f t="shared" si="16"/>
        <v>-1.0061085159899341E-2</v>
      </c>
      <c r="Q37" s="15">
        <f t="shared" si="17"/>
        <v>-1.3470400567174745E-2</v>
      </c>
      <c r="R37" s="15">
        <f t="shared" si="18"/>
        <v>1.5478761699064147E-2</v>
      </c>
      <c r="S37" s="15">
        <f t="shared" si="19"/>
        <v>1.982378854625555E-2</v>
      </c>
      <c r="T37" s="15">
        <f t="shared" si="20"/>
        <v>-5.1132213294375894E-3</v>
      </c>
      <c r="U37" s="15">
        <f t="shared" si="21"/>
        <v>-5.8097312999273454E-3</v>
      </c>
      <c r="V37" s="15">
        <f t="shared" si="22"/>
        <v>-5.4171180931744667E-3</v>
      </c>
      <c r="W37" s="15">
        <f t="shared" si="23"/>
        <v>-2.5000000000000022E-2</v>
      </c>
      <c r="X37" s="15">
        <f t="shared" si="24"/>
        <v>-1.8320082958866224E-2</v>
      </c>
      <c r="Y37" s="15">
        <f t="shared" si="25"/>
        <v>-2.7563025210084025E-2</v>
      </c>
      <c r="Z37" s="5">
        <f t="shared" si="26"/>
        <v>-7.5452114373244063E-3</v>
      </c>
      <c r="AA37" s="5">
        <f t="shared" si="27"/>
        <v>0.33343979071673102</v>
      </c>
      <c r="AB37" s="5">
        <f t="shared" si="28"/>
        <v>-1.0061085159899341E-2</v>
      </c>
    </row>
    <row r="38" spans="1:28">
      <c r="A38" t="s">
        <v>314</v>
      </c>
      <c r="B38" t="s">
        <v>315</v>
      </c>
      <c r="C38" s="59">
        <v>1214</v>
      </c>
      <c r="D38" s="6">
        <v>1214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15">
        <f t="shared" si="15"/>
        <v>0</v>
      </c>
      <c r="P38" s="15" t="str">
        <f t="shared" si="16"/>
        <v/>
      </c>
      <c r="Q38" s="15" t="str">
        <f t="shared" si="17"/>
        <v/>
      </c>
      <c r="R38" s="15" t="str">
        <f t="shared" si="18"/>
        <v/>
      </c>
      <c r="S38" s="15" t="str">
        <f t="shared" si="19"/>
        <v/>
      </c>
      <c r="T38" s="15" t="str">
        <f t="shared" si="20"/>
        <v/>
      </c>
      <c r="U38" s="15" t="str">
        <f t="shared" si="21"/>
        <v/>
      </c>
      <c r="V38" s="15" t="str">
        <f t="shared" si="22"/>
        <v/>
      </c>
      <c r="W38" s="15" t="str">
        <f t="shared" si="23"/>
        <v/>
      </c>
      <c r="X38" s="15" t="str">
        <f t="shared" si="24"/>
        <v/>
      </c>
      <c r="Y38" s="15" t="str">
        <f t="shared" si="25"/>
        <v/>
      </c>
      <c r="Z38" s="5">
        <f t="shared" si="26"/>
        <v>0</v>
      </c>
      <c r="AA38" s="5">
        <f t="shared" si="27"/>
        <v>0</v>
      </c>
      <c r="AB38" s="5">
        <f t="shared" si="28"/>
        <v>0</v>
      </c>
    </row>
    <row r="39" spans="1:28">
      <c r="A39" t="s">
        <v>50</v>
      </c>
      <c r="B39" t="s">
        <v>51</v>
      </c>
      <c r="C39" s="59"/>
      <c r="D39" s="6">
        <v>906.08</v>
      </c>
      <c r="E39" s="6">
        <v>962.9</v>
      </c>
      <c r="F39" s="6">
        <v>990.4</v>
      </c>
      <c r="G39" s="6">
        <v>1003</v>
      </c>
      <c r="H39" s="6">
        <v>1021</v>
      </c>
      <c r="I39" s="6">
        <v>1054</v>
      </c>
      <c r="J39" s="6">
        <v>1107</v>
      </c>
      <c r="K39" s="6">
        <v>1115</v>
      </c>
      <c r="L39" s="6">
        <v>1165</v>
      </c>
      <c r="M39" s="6">
        <v>1204</v>
      </c>
      <c r="N39" s="6">
        <v>1263</v>
      </c>
      <c r="O39" s="15" t="str">
        <f t="shared" si="15"/>
        <v/>
      </c>
      <c r="P39" s="15">
        <f t="shared" si="16"/>
        <v>-5.9009242912036464E-2</v>
      </c>
      <c r="Q39" s="15">
        <f t="shared" si="17"/>
        <v>-2.7766558966074273E-2</v>
      </c>
      <c r="R39" s="15">
        <f t="shared" si="18"/>
        <v>-1.2562313060817565E-2</v>
      </c>
      <c r="S39" s="15">
        <f t="shared" si="19"/>
        <v>-1.7629774730656189E-2</v>
      </c>
      <c r="T39" s="15">
        <f t="shared" si="20"/>
        <v>-3.1309297912713419E-2</v>
      </c>
      <c r="U39" s="15">
        <f t="shared" si="21"/>
        <v>-4.7877145438121049E-2</v>
      </c>
      <c r="V39" s="15">
        <f t="shared" si="22"/>
        <v>-7.1748878923766357E-3</v>
      </c>
      <c r="W39" s="15">
        <f t="shared" si="23"/>
        <v>-4.2918454935622297E-2</v>
      </c>
      <c r="X39" s="15">
        <f t="shared" si="24"/>
        <v>-3.2392026578073052E-2</v>
      </c>
      <c r="Y39" s="15">
        <f t="shared" si="25"/>
        <v>-4.6714172604908955E-2</v>
      </c>
      <c r="Z39" s="5">
        <f t="shared" si="26"/>
        <v>-3.2535387503139987E-2</v>
      </c>
      <c r="AA39" s="5">
        <f t="shared" si="27"/>
        <v>0.81369417857222337</v>
      </c>
      <c r="AB39" s="5">
        <f t="shared" si="28"/>
        <v>-5.9009242912036464E-2</v>
      </c>
    </row>
    <row r="40" spans="1:28">
      <c r="A40" t="s">
        <v>52</v>
      </c>
      <c r="B40" t="s">
        <v>53</v>
      </c>
      <c r="C40" s="59"/>
      <c r="D40" s="6">
        <v>2781</v>
      </c>
      <c r="E40" s="6">
        <v>2838</v>
      </c>
      <c r="F40" s="6">
        <v>2928</v>
      </c>
      <c r="G40" s="6">
        <v>3027</v>
      </c>
      <c r="H40" s="6">
        <v>3041</v>
      </c>
      <c r="I40" s="6">
        <v>3082</v>
      </c>
      <c r="J40" s="6">
        <v>3108</v>
      </c>
      <c r="K40" s="79"/>
      <c r="L40" s="79"/>
      <c r="M40" s="79"/>
      <c r="N40" s="79"/>
      <c r="O40" s="15" t="str">
        <f t="shared" si="15"/>
        <v/>
      </c>
      <c r="P40" s="15">
        <f t="shared" si="16"/>
        <v>-2.0084566596194509E-2</v>
      </c>
      <c r="Q40" s="15">
        <f t="shared" si="17"/>
        <v>-3.0737704918032738E-2</v>
      </c>
      <c r="R40" s="15">
        <f t="shared" si="18"/>
        <v>-3.2705649157581784E-2</v>
      </c>
      <c r="S40" s="15">
        <f t="shared" si="19"/>
        <v>-4.6037487668529886E-3</v>
      </c>
      <c r="T40" s="15">
        <f t="shared" si="20"/>
        <v>-1.3303049967553493E-2</v>
      </c>
      <c r="U40" s="15">
        <f t="shared" si="21"/>
        <v>-8.3655083655083118E-3</v>
      </c>
      <c r="V40" s="15" t="str">
        <f t="shared" si="22"/>
        <v/>
      </c>
      <c r="W40" s="15" t="str">
        <f t="shared" si="23"/>
        <v/>
      </c>
      <c r="X40" s="15" t="str">
        <f t="shared" si="24"/>
        <v/>
      </c>
      <c r="Y40" s="15" t="str">
        <f t="shared" si="25"/>
        <v/>
      </c>
      <c r="Z40" s="5">
        <f t="shared" si="26"/>
        <v>-1.830003796195397E-2</v>
      </c>
      <c r="AA40" s="5">
        <f t="shared" si="27"/>
        <v>9.751502362730613E-2</v>
      </c>
      <c r="AB40" s="5">
        <f t="shared" si="28"/>
        <v>-2.0084566596194509E-2</v>
      </c>
    </row>
    <row r="41" spans="1:28">
      <c r="A41" t="s">
        <v>54</v>
      </c>
      <c r="B41" t="s">
        <v>55</v>
      </c>
      <c r="C41" s="59"/>
      <c r="D41" s="6">
        <v>8027</v>
      </c>
      <c r="E41" s="6">
        <v>8239</v>
      </c>
      <c r="F41" s="6">
        <v>8328</v>
      </c>
      <c r="G41" s="6">
        <v>8381</v>
      </c>
      <c r="H41" s="6">
        <v>8376</v>
      </c>
      <c r="I41" s="6">
        <v>8668</v>
      </c>
      <c r="J41" s="6">
        <v>8908</v>
      </c>
      <c r="K41" s="6">
        <v>9151</v>
      </c>
      <c r="L41" s="6">
        <v>9380</v>
      </c>
      <c r="M41" s="6">
        <v>10062</v>
      </c>
      <c r="N41" s="6">
        <v>10710</v>
      </c>
      <c r="O41" s="15" t="str">
        <f t="shared" si="15"/>
        <v/>
      </c>
      <c r="P41" s="15">
        <f t="shared" si="16"/>
        <v>-2.5731278067726682E-2</v>
      </c>
      <c r="Q41" s="15">
        <f t="shared" si="17"/>
        <v>-1.0686839577329521E-2</v>
      </c>
      <c r="R41" s="15">
        <f t="shared" si="18"/>
        <v>-6.3238277055244208E-3</v>
      </c>
      <c r="S41" s="15">
        <f t="shared" si="19"/>
        <v>5.9694364851958781E-4</v>
      </c>
      <c r="T41" s="15">
        <f t="shared" si="20"/>
        <v>-3.3687125057683454E-2</v>
      </c>
      <c r="U41" s="15">
        <f t="shared" si="21"/>
        <v>-2.6942074539739513E-2</v>
      </c>
      <c r="V41" s="15">
        <f t="shared" si="22"/>
        <v>-2.6554474920773674E-2</v>
      </c>
      <c r="W41" s="15">
        <f t="shared" si="23"/>
        <v>-2.4413646055437055E-2</v>
      </c>
      <c r="X41" s="15">
        <f t="shared" si="24"/>
        <v>-6.7779765454184071E-2</v>
      </c>
      <c r="Y41" s="15">
        <f t="shared" si="25"/>
        <v>-6.0504201680672276E-2</v>
      </c>
      <c r="Z41" s="5">
        <f t="shared" si="26"/>
        <v>-2.8202628941055109E-2</v>
      </c>
      <c r="AA41" s="5">
        <f t="shared" si="27"/>
        <v>-8.762838664770134E-2</v>
      </c>
      <c r="AB41" s="5">
        <f t="shared" si="28"/>
        <v>-2.5731278067726682E-2</v>
      </c>
    </row>
    <row r="42" spans="1:28">
      <c r="A42" t="s">
        <v>56</v>
      </c>
      <c r="B42" t="s">
        <v>57</v>
      </c>
      <c r="C42" s="59"/>
      <c r="D42" s="6">
        <v>1580</v>
      </c>
      <c r="E42" s="6">
        <v>1664</v>
      </c>
      <c r="F42" s="6">
        <v>1705</v>
      </c>
      <c r="G42" s="6">
        <v>1778</v>
      </c>
      <c r="H42" s="6">
        <v>1768</v>
      </c>
      <c r="I42" s="6">
        <v>1749</v>
      </c>
      <c r="J42" s="6">
        <v>1478</v>
      </c>
      <c r="K42" s="6">
        <v>1469</v>
      </c>
      <c r="L42" s="6">
        <v>1534</v>
      </c>
      <c r="M42" s="6">
        <v>1636</v>
      </c>
      <c r="N42" s="6">
        <v>1670</v>
      </c>
      <c r="O42" s="15" t="str">
        <f t="shared" si="15"/>
        <v/>
      </c>
      <c r="P42" s="15">
        <f t="shared" si="16"/>
        <v>-5.0480769230769273E-2</v>
      </c>
      <c r="Q42" s="15">
        <f t="shared" si="17"/>
        <v>-2.404692082111437E-2</v>
      </c>
      <c r="R42" s="15">
        <f t="shared" si="18"/>
        <v>-4.1057367829021363E-2</v>
      </c>
      <c r="S42" s="15">
        <f t="shared" si="19"/>
        <v>5.6561085972850478E-3</v>
      </c>
      <c r="T42" s="15">
        <f t="shared" si="20"/>
        <v>1.0863350485992074E-2</v>
      </c>
      <c r="U42" s="15">
        <f t="shared" si="21"/>
        <v>0.18335588633288236</v>
      </c>
      <c r="V42" s="15">
        <f t="shared" si="22"/>
        <v>6.1266167460858334E-3</v>
      </c>
      <c r="W42" s="15">
        <f t="shared" si="23"/>
        <v>-4.2372881355932202E-2</v>
      </c>
      <c r="X42" s="15">
        <f t="shared" si="24"/>
        <v>-6.2347188264058717E-2</v>
      </c>
      <c r="Y42" s="15">
        <f t="shared" si="25"/>
        <v>-2.0359281437125731E-2</v>
      </c>
      <c r="Z42" s="5">
        <f t="shared" si="26"/>
        <v>-3.4662446775776345E-3</v>
      </c>
      <c r="AA42" s="5">
        <f t="shared" si="27"/>
        <v>13.563533139284177</v>
      </c>
      <c r="AB42" s="5">
        <f t="shared" si="28"/>
        <v>-5.0480769230769273E-2</v>
      </c>
    </row>
    <row r="43" spans="1:28">
      <c r="A43" t="s">
        <v>58</v>
      </c>
      <c r="B43" t="s">
        <v>59</v>
      </c>
      <c r="C43" s="59"/>
      <c r="D43" s="6">
        <v>467.9</v>
      </c>
      <c r="E43" s="6">
        <v>485.26</v>
      </c>
      <c r="F43" s="6">
        <v>529.03</v>
      </c>
      <c r="G43" s="6">
        <v>534.37</v>
      </c>
      <c r="H43" s="6">
        <v>535.29999999999995</v>
      </c>
      <c r="I43" s="6">
        <v>540.4</v>
      </c>
      <c r="J43" s="6">
        <v>545.9</v>
      </c>
      <c r="K43" s="6">
        <v>548.6</v>
      </c>
      <c r="L43" s="6">
        <v>545.6</v>
      </c>
      <c r="M43" s="6">
        <v>543.20000000000005</v>
      </c>
      <c r="N43" s="6">
        <v>536.4</v>
      </c>
      <c r="O43" s="15" t="str">
        <f t="shared" si="15"/>
        <v/>
      </c>
      <c r="P43" s="15">
        <f t="shared" si="16"/>
        <v>-3.5774636277459582E-2</v>
      </c>
      <c r="Q43" s="15">
        <f t="shared" si="17"/>
        <v>-8.2736328752622712E-2</v>
      </c>
      <c r="R43" s="15">
        <f t="shared" si="18"/>
        <v>-9.9930759586055462E-3</v>
      </c>
      <c r="S43" s="15">
        <f t="shared" si="19"/>
        <v>-1.7373435456752295E-3</v>
      </c>
      <c r="T43" s="15">
        <f t="shared" si="20"/>
        <v>-9.4374537379718904E-3</v>
      </c>
      <c r="U43" s="15">
        <f t="shared" si="21"/>
        <v>-1.0075105330646594E-2</v>
      </c>
      <c r="V43" s="15">
        <f t="shared" si="22"/>
        <v>-4.921618665694627E-3</v>
      </c>
      <c r="W43" s="15">
        <f t="shared" si="23"/>
        <v>5.4985337243402821E-3</v>
      </c>
      <c r="X43" s="15">
        <f t="shared" si="24"/>
        <v>4.4182621502208974E-3</v>
      </c>
      <c r="Y43" s="15">
        <f t="shared" si="25"/>
        <v>1.2677106636838298E-2</v>
      </c>
      <c r="Z43" s="5">
        <f t="shared" si="26"/>
        <v>-1.320816597572767E-2</v>
      </c>
      <c r="AA43" s="5">
        <f t="shared" si="27"/>
        <v>1.7085241314503294</v>
      </c>
      <c r="AB43" s="5">
        <f t="shared" si="28"/>
        <v>-3.5774636277459582E-2</v>
      </c>
    </row>
    <row r="44" spans="1:28">
      <c r="A44" t="s">
        <v>60</v>
      </c>
      <c r="B44" t="s">
        <v>61</v>
      </c>
      <c r="C44" s="59"/>
      <c r="D44" s="6">
        <v>4343</v>
      </c>
      <c r="E44" s="6">
        <v>4464</v>
      </c>
      <c r="F44" s="6">
        <v>4646</v>
      </c>
      <c r="G44" s="6">
        <v>4905</v>
      </c>
      <c r="H44" s="6">
        <v>5068</v>
      </c>
      <c r="I44" s="6">
        <v>5026</v>
      </c>
      <c r="J44" s="6">
        <v>5007</v>
      </c>
      <c r="K44" s="6">
        <v>5150</v>
      </c>
      <c r="L44" s="6">
        <v>5107</v>
      </c>
      <c r="M44" s="6">
        <v>5232</v>
      </c>
      <c r="N44" s="6">
        <v>5145</v>
      </c>
      <c r="O44" s="15" t="str">
        <f t="shared" si="15"/>
        <v/>
      </c>
      <c r="P44" s="15">
        <f t="shared" si="16"/>
        <v>-2.7105734767025047E-2</v>
      </c>
      <c r="Q44" s="15">
        <f t="shared" si="17"/>
        <v>-3.9173482565647899E-2</v>
      </c>
      <c r="R44" s="15">
        <f t="shared" si="18"/>
        <v>-5.2803261977573901E-2</v>
      </c>
      <c r="S44" s="15">
        <f t="shared" si="19"/>
        <v>-3.2162588792423064E-2</v>
      </c>
      <c r="T44" s="15">
        <f t="shared" si="20"/>
        <v>8.3565459610028814E-3</v>
      </c>
      <c r="U44" s="15">
        <f t="shared" si="21"/>
        <v>3.794687437587374E-3</v>
      </c>
      <c r="V44" s="15">
        <f t="shared" si="22"/>
        <v>-2.7766990291262172E-2</v>
      </c>
      <c r="W44" s="15">
        <f t="shared" si="23"/>
        <v>8.4198159389072824E-3</v>
      </c>
      <c r="X44" s="15">
        <f t="shared" si="24"/>
        <v>-2.3891437308868446E-2</v>
      </c>
      <c r="Y44" s="15">
        <f t="shared" si="25"/>
        <v>1.6909620991253593E-2</v>
      </c>
      <c r="Z44" s="5">
        <f t="shared" si="26"/>
        <v>-1.6542282537404938E-2</v>
      </c>
      <c r="AA44" s="5">
        <f t="shared" si="27"/>
        <v>0.63857283332782711</v>
      </c>
      <c r="AB44" s="5">
        <f t="shared" si="28"/>
        <v>-2.7105734767025047E-2</v>
      </c>
    </row>
    <row r="45" spans="1:28">
      <c r="A45" t="s">
        <v>62</v>
      </c>
      <c r="B45" t="s">
        <v>63</v>
      </c>
      <c r="C45" s="59"/>
      <c r="D45" s="6">
        <v>1445</v>
      </c>
      <c r="E45" s="6">
        <v>1482</v>
      </c>
      <c r="F45" s="6">
        <v>1522</v>
      </c>
      <c r="G45" s="6">
        <v>1543</v>
      </c>
      <c r="H45" s="6">
        <v>1564</v>
      </c>
      <c r="I45" s="6">
        <v>1581</v>
      </c>
      <c r="J45" s="6">
        <v>1565</v>
      </c>
      <c r="K45" s="6">
        <v>1553</v>
      </c>
      <c r="L45" s="6">
        <v>1605</v>
      </c>
      <c r="M45" s="6">
        <v>1638</v>
      </c>
      <c r="N45" s="6">
        <v>1656</v>
      </c>
      <c r="O45" s="15" t="str">
        <f t="shared" si="15"/>
        <v/>
      </c>
      <c r="P45" s="15">
        <f t="shared" si="16"/>
        <v>-2.496626180836703E-2</v>
      </c>
      <c r="Q45" s="15">
        <f t="shared" si="17"/>
        <v>-2.6281208935611033E-2</v>
      </c>
      <c r="R45" s="15">
        <f t="shared" si="18"/>
        <v>-1.3609850939727774E-2</v>
      </c>
      <c r="S45" s="15">
        <f t="shared" si="19"/>
        <v>-1.3427109974424534E-2</v>
      </c>
      <c r="T45" s="15">
        <f t="shared" si="20"/>
        <v>-1.0752688172043001E-2</v>
      </c>
      <c r="U45" s="15">
        <f t="shared" si="21"/>
        <v>1.0223642172523917E-2</v>
      </c>
      <c r="V45" s="15">
        <f t="shared" si="22"/>
        <v>7.726980038634812E-3</v>
      </c>
      <c r="W45" s="15">
        <f t="shared" si="23"/>
        <v>-3.2398753894080978E-2</v>
      </c>
      <c r="X45" s="15">
        <f t="shared" si="24"/>
        <v>-2.0146520146520186E-2</v>
      </c>
      <c r="Y45" s="15">
        <f t="shared" si="25"/>
        <v>-1.0869565217391353E-2</v>
      </c>
      <c r="Z45" s="5">
        <f t="shared" si="26"/>
        <v>-1.3450133687700715E-2</v>
      </c>
      <c r="AA45" s="5">
        <f t="shared" si="27"/>
        <v>0.85620919375671889</v>
      </c>
      <c r="AB45" s="5">
        <f t="shared" si="28"/>
        <v>-2.496626180836703E-2</v>
      </c>
    </row>
    <row r="46" spans="1:28">
      <c r="A46" t="s">
        <v>64</v>
      </c>
      <c r="B46" t="s">
        <v>65</v>
      </c>
      <c r="C46" s="59"/>
      <c r="D46" s="6">
        <v>6175</v>
      </c>
      <c r="E46" s="6">
        <v>6291</v>
      </c>
      <c r="F46" s="6">
        <v>6399</v>
      </c>
      <c r="G46" s="6">
        <v>7276</v>
      </c>
      <c r="H46" s="6">
        <v>7575</v>
      </c>
      <c r="I46" s="6">
        <v>8012</v>
      </c>
      <c r="J46" s="6">
        <v>8070</v>
      </c>
      <c r="K46" s="79"/>
      <c r="L46" s="79"/>
      <c r="M46" s="79"/>
      <c r="N46" s="79"/>
      <c r="O46" s="15" t="str">
        <f t="shared" si="15"/>
        <v/>
      </c>
      <c r="P46" s="15">
        <f t="shared" si="16"/>
        <v>-1.843903989826734E-2</v>
      </c>
      <c r="Q46" s="15">
        <f t="shared" si="17"/>
        <v>-1.6877637130801704E-2</v>
      </c>
      <c r="R46" s="15">
        <f t="shared" si="18"/>
        <v>-0.12053326003298515</v>
      </c>
      <c r="S46" s="15">
        <f t="shared" si="19"/>
        <v>-3.947194719471947E-2</v>
      </c>
      <c r="T46" s="15">
        <f t="shared" si="20"/>
        <v>-5.4543185222166723E-2</v>
      </c>
      <c r="U46" s="15">
        <f t="shared" si="21"/>
        <v>-7.1871127633209575E-3</v>
      </c>
      <c r="V46" s="15" t="str">
        <f t="shared" si="22"/>
        <v/>
      </c>
      <c r="W46" s="15" t="str">
        <f t="shared" si="23"/>
        <v/>
      </c>
      <c r="X46" s="15" t="str">
        <f t="shared" si="24"/>
        <v/>
      </c>
      <c r="Y46" s="15" t="str">
        <f t="shared" si="25"/>
        <v/>
      </c>
      <c r="Z46" s="5">
        <f t="shared" si="26"/>
        <v>-4.2842030373710226E-2</v>
      </c>
      <c r="AA46" s="5">
        <f t="shared" si="27"/>
        <v>-0.56960396747250441</v>
      </c>
      <c r="AB46" s="5">
        <f t="shared" si="28"/>
        <v>-1.843903989826734E-2</v>
      </c>
    </row>
    <row r="47" spans="1:28">
      <c r="A47" t="s">
        <v>66</v>
      </c>
      <c r="B47" t="s">
        <v>67</v>
      </c>
      <c r="C47" s="59"/>
      <c r="D47" s="6">
        <v>1549</v>
      </c>
      <c r="E47" s="6">
        <v>1547</v>
      </c>
      <c r="F47" s="6">
        <v>1589</v>
      </c>
      <c r="G47" s="6">
        <v>1564</v>
      </c>
      <c r="H47" s="6">
        <v>1726</v>
      </c>
      <c r="I47" s="6">
        <v>1802</v>
      </c>
      <c r="J47" s="6">
        <v>1887</v>
      </c>
      <c r="K47" s="6">
        <v>2007</v>
      </c>
      <c r="L47" s="6"/>
      <c r="M47" s="6"/>
      <c r="N47" s="6"/>
      <c r="O47" s="15" t="str">
        <f t="shared" si="15"/>
        <v/>
      </c>
      <c r="P47" s="15">
        <f t="shared" si="16"/>
        <v>1.2928248222365823E-3</v>
      </c>
      <c r="Q47" s="15">
        <f t="shared" si="17"/>
        <v>-2.6431718061673992E-2</v>
      </c>
      <c r="R47" s="15">
        <f t="shared" si="18"/>
        <v>1.5984654731457715E-2</v>
      </c>
      <c r="S47" s="15">
        <f t="shared" si="19"/>
        <v>-9.3858632676709131E-2</v>
      </c>
      <c r="T47" s="15">
        <f t="shared" si="20"/>
        <v>-4.2175360710321907E-2</v>
      </c>
      <c r="U47" s="15">
        <f t="shared" si="21"/>
        <v>-4.5045045045045029E-2</v>
      </c>
      <c r="V47" s="15">
        <f t="shared" si="22"/>
        <v>-5.9790732436472371E-2</v>
      </c>
      <c r="W47" s="15" t="str">
        <f t="shared" si="23"/>
        <v/>
      </c>
      <c r="X47" s="15" t="str">
        <f t="shared" si="24"/>
        <v/>
      </c>
      <c r="Y47" s="15" t="str">
        <f t="shared" si="25"/>
        <v/>
      </c>
      <c r="Z47" s="5">
        <f t="shared" si="26"/>
        <v>-3.5717715625218305E-2</v>
      </c>
      <c r="AA47" s="5">
        <f t="shared" si="27"/>
        <v>-1.0361956188856543</v>
      </c>
      <c r="AB47" s="5">
        <f t="shared" si="28"/>
        <v>1.2928248222365823E-3</v>
      </c>
    </row>
    <row r="48" spans="1:28">
      <c r="A48" t="s">
        <v>68</v>
      </c>
      <c r="B48" t="s">
        <v>69</v>
      </c>
      <c r="C48" s="59"/>
      <c r="D48" s="6">
        <v>2715</v>
      </c>
      <c r="E48" s="6">
        <v>2711</v>
      </c>
      <c r="F48" s="6">
        <v>2742</v>
      </c>
      <c r="G48" s="6">
        <v>2748</v>
      </c>
      <c r="H48" s="6">
        <v>2766</v>
      </c>
      <c r="I48" s="6">
        <v>2844</v>
      </c>
      <c r="J48" s="6">
        <v>2915</v>
      </c>
      <c r="K48" s="6">
        <v>3033</v>
      </c>
      <c r="L48" s="6">
        <v>3132</v>
      </c>
      <c r="M48" s="6">
        <v>3179</v>
      </c>
      <c r="N48" s="79"/>
      <c r="O48" s="15" t="str">
        <f t="shared" si="15"/>
        <v/>
      </c>
      <c r="P48" s="15">
        <f t="shared" si="16"/>
        <v>1.4754703061601315E-3</v>
      </c>
      <c r="Q48" s="15">
        <f t="shared" si="17"/>
        <v>-1.1305616338439073E-2</v>
      </c>
      <c r="R48" s="15">
        <f t="shared" si="18"/>
        <v>-2.1834061135370675E-3</v>
      </c>
      <c r="S48" s="15">
        <f t="shared" si="19"/>
        <v>-6.5075921908893664E-3</v>
      </c>
      <c r="T48" s="15">
        <f t="shared" si="20"/>
        <v>-2.7426160337552741E-2</v>
      </c>
      <c r="U48" s="15">
        <f t="shared" si="21"/>
        <v>-2.4356775300171551E-2</v>
      </c>
      <c r="V48" s="15">
        <f t="shared" si="22"/>
        <v>-3.8905374216946953E-2</v>
      </c>
      <c r="W48" s="15">
        <f t="shared" si="23"/>
        <v>-3.1609195402298895E-2</v>
      </c>
      <c r="X48" s="15">
        <f t="shared" si="24"/>
        <v>-1.478452343504244E-2</v>
      </c>
      <c r="Y48" s="15" t="str">
        <f t="shared" si="25"/>
        <v/>
      </c>
      <c r="Z48" s="5">
        <f t="shared" si="26"/>
        <v>-1.7289241447635328E-2</v>
      </c>
      <c r="AA48" s="5">
        <f t="shared" si="27"/>
        <v>-1.085340372544912</v>
      </c>
      <c r="AB48" s="5">
        <f t="shared" si="28"/>
        <v>1.4754703061601315E-3</v>
      </c>
    </row>
    <row r="49" spans="1:28">
      <c r="A49" t="s">
        <v>70</v>
      </c>
      <c r="B49" t="s">
        <v>71</v>
      </c>
      <c r="C49" s="59"/>
      <c r="D49" s="6">
        <v>4074</v>
      </c>
      <c r="E49" s="6">
        <v>4155</v>
      </c>
      <c r="F49" s="79"/>
      <c r="G49" s="79"/>
      <c r="H49" s="79"/>
      <c r="I49" s="79"/>
      <c r="J49" s="79"/>
      <c r="K49" s="79"/>
      <c r="L49" s="79"/>
      <c r="M49" s="79"/>
      <c r="N49" s="79"/>
      <c r="O49" s="15" t="str">
        <f t="shared" si="15"/>
        <v/>
      </c>
      <c r="P49" s="15">
        <f t="shared" si="16"/>
        <v>-1.9494584837545181E-2</v>
      </c>
      <c r="Q49" s="15" t="str">
        <f t="shared" si="17"/>
        <v/>
      </c>
      <c r="R49" s="15" t="str">
        <f t="shared" si="18"/>
        <v/>
      </c>
      <c r="S49" s="15" t="str">
        <f t="shared" si="19"/>
        <v/>
      </c>
      <c r="T49" s="15" t="str">
        <f t="shared" si="20"/>
        <v/>
      </c>
      <c r="U49" s="15" t="str">
        <f t="shared" si="21"/>
        <v/>
      </c>
      <c r="V49" s="15" t="str">
        <f t="shared" si="22"/>
        <v/>
      </c>
      <c r="W49" s="15" t="str">
        <f t="shared" si="23"/>
        <v/>
      </c>
      <c r="X49" s="15" t="str">
        <f t="shared" si="24"/>
        <v/>
      </c>
      <c r="Y49" s="15" t="str">
        <f t="shared" si="25"/>
        <v/>
      </c>
      <c r="Z49" s="5">
        <f t="shared" si="26"/>
        <v>-1.9494584837545181E-2</v>
      </c>
      <c r="AA49" s="5">
        <f t="shared" si="27"/>
        <v>0</v>
      </c>
      <c r="AB49" s="5">
        <f t="shared" si="28"/>
        <v>-1.9494584837545181E-2</v>
      </c>
    </row>
    <row r="50" spans="1:28">
      <c r="A50" s="52" t="s">
        <v>260</v>
      </c>
      <c r="B50" s="52" t="s">
        <v>265</v>
      </c>
      <c r="C50" s="59"/>
      <c r="D50" s="6">
        <v>2215</v>
      </c>
      <c r="E50" s="6">
        <v>3120</v>
      </c>
      <c r="F50" s="6">
        <v>3120</v>
      </c>
      <c r="G50" s="6">
        <v>3244</v>
      </c>
      <c r="H50" s="6">
        <v>3296</v>
      </c>
      <c r="I50" s="6">
        <v>3340</v>
      </c>
      <c r="J50" s="6"/>
      <c r="K50" s="6"/>
      <c r="L50" s="6"/>
      <c r="M50" s="6"/>
      <c r="N50" s="6"/>
      <c r="O50" s="15" t="str">
        <f t="shared" si="15"/>
        <v/>
      </c>
      <c r="P50" s="15">
        <f t="shared" si="16"/>
        <v>-0.29006410256410253</v>
      </c>
      <c r="Q50" s="15">
        <f t="shared" si="17"/>
        <v>0</v>
      </c>
      <c r="R50" s="15">
        <f t="shared" si="18"/>
        <v>-3.8224414303329235E-2</v>
      </c>
      <c r="S50" s="15">
        <f t="shared" si="19"/>
        <v>-1.5776699029126262E-2</v>
      </c>
      <c r="T50" s="15">
        <f t="shared" si="20"/>
        <v>-1.3173652694610793E-2</v>
      </c>
      <c r="U50" s="15" t="str">
        <f t="shared" si="21"/>
        <v/>
      </c>
      <c r="V50" s="15" t="str">
        <f t="shared" si="22"/>
        <v/>
      </c>
      <c r="W50" s="15" t="str">
        <f t="shared" si="23"/>
        <v/>
      </c>
      <c r="X50" s="15" t="str">
        <f t="shared" si="24"/>
        <v/>
      </c>
      <c r="Y50" s="15" t="str">
        <f t="shared" si="25"/>
        <v/>
      </c>
      <c r="Z50" s="5">
        <f t="shared" si="26"/>
        <v>-7.144777371823377E-2</v>
      </c>
      <c r="AA50" s="5">
        <f t="shared" si="27"/>
        <v>3.0598060298984091</v>
      </c>
      <c r="AB50" s="5">
        <f t="shared" si="28"/>
        <v>-0.29006410256410253</v>
      </c>
    </row>
    <row r="51" spans="1:28">
      <c r="A51" t="s">
        <v>72</v>
      </c>
      <c r="B51" t="s">
        <v>73</v>
      </c>
      <c r="C51" s="6">
        <v>3162</v>
      </c>
      <c r="D51" s="6">
        <v>3228</v>
      </c>
      <c r="E51" s="6">
        <v>3233</v>
      </c>
      <c r="F51" s="6">
        <v>3314</v>
      </c>
      <c r="G51" s="6">
        <v>3418</v>
      </c>
      <c r="H51" s="6">
        <v>3516</v>
      </c>
      <c r="I51" s="6">
        <v>3759</v>
      </c>
      <c r="J51" s="6">
        <v>3925</v>
      </c>
      <c r="K51" s="6">
        <v>3973</v>
      </c>
      <c r="L51" s="6">
        <v>4131</v>
      </c>
      <c r="M51" s="6">
        <v>4165</v>
      </c>
      <c r="N51" s="6">
        <v>4234</v>
      </c>
      <c r="O51" s="15">
        <f t="shared" si="15"/>
        <v>-2.0446096654275103E-2</v>
      </c>
      <c r="P51" s="15">
        <f t="shared" si="16"/>
        <v>-1.5465511908444585E-3</v>
      </c>
      <c r="Q51" s="15">
        <f t="shared" si="17"/>
        <v>-2.4441762220881125E-2</v>
      </c>
      <c r="R51" s="15">
        <f t="shared" si="18"/>
        <v>-3.0427150380339385E-2</v>
      </c>
      <c r="S51" s="15">
        <f t="shared" si="19"/>
        <v>-2.7872582480091057E-2</v>
      </c>
      <c r="T51" s="15">
        <f t="shared" si="20"/>
        <v>-6.464485235434958E-2</v>
      </c>
      <c r="U51" s="15">
        <f t="shared" si="21"/>
        <v>-4.2292993630573261E-2</v>
      </c>
      <c r="V51" s="15">
        <f t="shared" si="22"/>
        <v>-1.2081550465643076E-2</v>
      </c>
      <c r="W51" s="15">
        <f t="shared" si="23"/>
        <v>-3.8247397724521903E-2</v>
      </c>
      <c r="X51" s="15">
        <f t="shared" si="24"/>
        <v>-8.1632653061224358E-3</v>
      </c>
      <c r="Y51" s="15">
        <f t="shared" si="25"/>
        <v>-1.6296646197449194E-2</v>
      </c>
      <c r="Z51" s="5">
        <f t="shared" si="26"/>
        <v>-2.6041895327735508E-2</v>
      </c>
      <c r="AA51" s="5">
        <f t="shared" si="27"/>
        <v>-0.21487678231701857</v>
      </c>
      <c r="AB51" s="5">
        <f t="shared" si="28"/>
        <v>-2.0446096654275103E-2</v>
      </c>
    </row>
    <row r="52" spans="1:28">
      <c r="A52" t="s">
        <v>74</v>
      </c>
      <c r="B52" t="s">
        <v>75</v>
      </c>
      <c r="C52" s="59"/>
      <c r="D52" s="6">
        <v>1608</v>
      </c>
      <c r="E52" s="6">
        <v>1608</v>
      </c>
      <c r="F52" s="6">
        <v>1608</v>
      </c>
      <c r="G52" s="6">
        <v>1607</v>
      </c>
      <c r="H52" s="6">
        <v>1606</v>
      </c>
      <c r="I52" s="6">
        <v>1605</v>
      </c>
      <c r="J52" s="6">
        <v>1604</v>
      </c>
      <c r="K52" s="6">
        <v>1597.9</v>
      </c>
      <c r="L52" s="6">
        <v>1561.1</v>
      </c>
      <c r="M52" s="6">
        <v>1554.7</v>
      </c>
      <c r="N52" s="6">
        <v>1535.5</v>
      </c>
      <c r="O52" s="15" t="str">
        <f t="shared" si="15"/>
        <v/>
      </c>
      <c r="P52" s="15">
        <f t="shared" si="16"/>
        <v>0</v>
      </c>
      <c r="Q52" s="15">
        <f t="shared" si="17"/>
        <v>0</v>
      </c>
      <c r="R52" s="15">
        <f t="shared" si="18"/>
        <v>6.2227753578092404E-4</v>
      </c>
      <c r="S52" s="15">
        <f t="shared" si="19"/>
        <v>6.2266500622665255E-4</v>
      </c>
      <c r="T52" s="15">
        <f t="shared" si="20"/>
        <v>6.2305295950149109E-4</v>
      </c>
      <c r="U52" s="15">
        <f t="shared" si="21"/>
        <v>6.2344139650871711E-4</v>
      </c>
      <c r="V52" s="15">
        <f t="shared" si="22"/>
        <v>3.817510482508224E-3</v>
      </c>
      <c r="W52" s="15">
        <f t="shared" si="23"/>
        <v>2.3573121516879292E-2</v>
      </c>
      <c r="X52" s="15">
        <f t="shared" si="24"/>
        <v>4.1165498166848558E-3</v>
      </c>
      <c r="Y52" s="15">
        <f t="shared" si="25"/>
        <v>1.2504070335395578E-2</v>
      </c>
      <c r="Z52" s="5">
        <f t="shared" si="26"/>
        <v>4.6502689049485735E-3</v>
      </c>
      <c r="AA52" s="5">
        <f t="shared" si="27"/>
        <v>-99.999989999999997</v>
      </c>
      <c r="AB52" s="5">
        <f t="shared" si="28"/>
        <v>0</v>
      </c>
    </row>
    <row r="53" spans="1:28">
      <c r="A53" t="s">
        <v>76</v>
      </c>
      <c r="B53" t="s">
        <v>77</v>
      </c>
      <c r="C53" s="59"/>
      <c r="D53" s="6">
        <v>0.14000000000000001</v>
      </c>
      <c r="E53" s="6">
        <v>0.14000000000000001</v>
      </c>
      <c r="F53" s="6">
        <v>0.14000000000000001</v>
      </c>
      <c r="G53" s="6">
        <v>0.14000000000000001</v>
      </c>
      <c r="H53" s="6">
        <v>0.14000000000000001</v>
      </c>
      <c r="I53" s="6">
        <v>0.14000000000000001</v>
      </c>
      <c r="J53" s="6">
        <v>0.1</v>
      </c>
      <c r="K53" s="6">
        <v>0.1</v>
      </c>
      <c r="L53" s="6">
        <v>0.1</v>
      </c>
      <c r="M53" s="6">
        <v>0.1</v>
      </c>
      <c r="N53" s="6">
        <v>0.1</v>
      </c>
      <c r="O53" s="15" t="str">
        <f t="shared" si="15"/>
        <v/>
      </c>
      <c r="P53" s="15">
        <f t="shared" si="16"/>
        <v>0</v>
      </c>
      <c r="Q53" s="15">
        <f t="shared" si="17"/>
        <v>0</v>
      </c>
      <c r="R53" s="15">
        <f t="shared" si="18"/>
        <v>0</v>
      </c>
      <c r="S53" s="15">
        <f t="shared" si="19"/>
        <v>0</v>
      </c>
      <c r="T53" s="15">
        <f t="shared" si="20"/>
        <v>0</v>
      </c>
      <c r="U53" s="15">
        <f t="shared" si="21"/>
        <v>0.40000000000000013</v>
      </c>
      <c r="V53" s="15">
        <f t="shared" si="22"/>
        <v>0</v>
      </c>
      <c r="W53" s="15">
        <f t="shared" si="23"/>
        <v>0</v>
      </c>
      <c r="X53" s="15">
        <f t="shared" si="24"/>
        <v>0</v>
      </c>
      <c r="Y53" s="15">
        <f t="shared" si="25"/>
        <v>0</v>
      </c>
      <c r="Z53" s="5">
        <f t="shared" si="26"/>
        <v>4.0000000000000015E-2</v>
      </c>
      <c r="AA53" s="5">
        <f t="shared" si="27"/>
        <v>-99.999989999999997</v>
      </c>
      <c r="AB53" s="5">
        <f t="shared" si="28"/>
        <v>0</v>
      </c>
    </row>
    <row r="54" spans="1:28">
      <c r="A54" t="s">
        <v>79</v>
      </c>
      <c r="B54" t="s">
        <v>80</v>
      </c>
      <c r="C54" s="59"/>
      <c r="D54" s="6">
        <v>437.96</v>
      </c>
      <c r="E54" s="6">
        <v>437.96</v>
      </c>
      <c r="F54" s="6">
        <v>437.96</v>
      </c>
      <c r="G54" s="6">
        <v>437.96</v>
      </c>
      <c r="H54" s="6">
        <v>438</v>
      </c>
      <c r="I54" s="6">
        <v>438</v>
      </c>
      <c r="J54" s="6">
        <v>438</v>
      </c>
      <c r="K54" s="6">
        <v>438</v>
      </c>
      <c r="L54" s="6">
        <v>438</v>
      </c>
      <c r="M54" s="6">
        <v>438</v>
      </c>
      <c r="N54" s="6">
        <v>438</v>
      </c>
      <c r="O54" s="15" t="str">
        <f t="shared" si="15"/>
        <v/>
      </c>
      <c r="P54" s="15">
        <f t="shared" si="16"/>
        <v>0</v>
      </c>
      <c r="Q54" s="15">
        <f t="shared" si="17"/>
        <v>0</v>
      </c>
      <c r="R54" s="15">
        <f t="shared" si="18"/>
        <v>0</v>
      </c>
      <c r="S54" s="15">
        <f t="shared" si="19"/>
        <v>-9.1324200913289744E-5</v>
      </c>
      <c r="T54" s="15">
        <f t="shared" si="20"/>
        <v>0</v>
      </c>
      <c r="U54" s="15">
        <f t="shared" si="21"/>
        <v>0</v>
      </c>
      <c r="V54" s="15">
        <f t="shared" si="22"/>
        <v>0</v>
      </c>
      <c r="W54" s="15">
        <f t="shared" si="23"/>
        <v>0</v>
      </c>
      <c r="X54" s="15">
        <f t="shared" si="24"/>
        <v>0</v>
      </c>
      <c r="Y54" s="15">
        <f t="shared" si="25"/>
        <v>0</v>
      </c>
      <c r="Z54" s="5">
        <f t="shared" si="26"/>
        <v>-9.132420091328975E-6</v>
      </c>
      <c r="AA54" s="5">
        <f t="shared" si="27"/>
        <v>-1</v>
      </c>
      <c r="AB54" s="5">
        <f t="shared" si="28"/>
        <v>0</v>
      </c>
    </row>
    <row r="55" spans="1:28">
      <c r="A55" s="52" t="s">
        <v>266</v>
      </c>
      <c r="B55" s="52" t="s">
        <v>270</v>
      </c>
      <c r="C55" s="59"/>
      <c r="D55" s="6">
        <v>185.73</v>
      </c>
      <c r="E55" s="6">
        <v>185.73</v>
      </c>
      <c r="F55" s="6">
        <v>185.65</v>
      </c>
      <c r="G55" s="6">
        <v>185.23</v>
      </c>
      <c r="H55" s="79"/>
      <c r="I55" s="79"/>
      <c r="J55" s="79"/>
      <c r="K55" s="79"/>
      <c r="L55" s="79"/>
      <c r="M55" s="79"/>
      <c r="N55" s="79"/>
      <c r="O55" s="15" t="str">
        <f t="shared" si="15"/>
        <v/>
      </c>
      <c r="P55" s="15">
        <f t="shared" si="16"/>
        <v>0</v>
      </c>
      <c r="Q55" s="15">
        <f t="shared" si="17"/>
        <v>4.3091839482878314E-4</v>
      </c>
      <c r="R55" s="15">
        <f t="shared" si="18"/>
        <v>2.267451276791066E-3</v>
      </c>
      <c r="S55" s="15" t="str">
        <f t="shared" si="19"/>
        <v/>
      </c>
      <c r="T55" s="15" t="str">
        <f t="shared" si="20"/>
        <v/>
      </c>
      <c r="U55" s="15" t="str">
        <f t="shared" si="21"/>
        <v/>
      </c>
      <c r="V55" s="15" t="str">
        <f t="shared" si="22"/>
        <v/>
      </c>
      <c r="W55" s="15" t="str">
        <f t="shared" si="23"/>
        <v/>
      </c>
      <c r="X55" s="15" t="str">
        <f t="shared" si="24"/>
        <v/>
      </c>
      <c r="Y55" s="15" t="str">
        <f t="shared" si="25"/>
        <v/>
      </c>
      <c r="Z55" s="5">
        <f t="shared" si="26"/>
        <v>8.9945655720661633E-4</v>
      </c>
      <c r="AA55" s="5">
        <f t="shared" si="27"/>
        <v>-99.999989999999997</v>
      </c>
      <c r="AB55" s="5">
        <f t="shared" si="28"/>
        <v>0</v>
      </c>
    </row>
    <row r="56" spans="1:28">
      <c r="A56" s="52" t="s">
        <v>320</v>
      </c>
      <c r="B56" s="52" t="s">
        <v>321</v>
      </c>
      <c r="C56" s="59"/>
      <c r="D56" s="6">
        <v>157.13</v>
      </c>
      <c r="E56" s="6">
        <v>157.1</v>
      </c>
      <c r="F56" s="6">
        <v>157.1</v>
      </c>
      <c r="G56" s="6">
        <v>157.1</v>
      </c>
      <c r="H56" s="6">
        <v>157.1</v>
      </c>
      <c r="I56" s="6">
        <v>157.1</v>
      </c>
      <c r="J56" s="6">
        <v>157.1</v>
      </c>
      <c r="K56" s="6"/>
      <c r="L56" s="6"/>
      <c r="M56" s="6"/>
      <c r="N56" s="6"/>
      <c r="O56" s="15" t="str">
        <f t="shared" si="15"/>
        <v/>
      </c>
      <c r="P56" s="15">
        <f t="shared" si="16"/>
        <v>1.9096117122852085E-4</v>
      </c>
      <c r="Q56" s="15">
        <f t="shared" si="17"/>
        <v>0</v>
      </c>
      <c r="R56" s="15">
        <f t="shared" si="18"/>
        <v>0</v>
      </c>
      <c r="S56" s="15">
        <f t="shared" si="19"/>
        <v>0</v>
      </c>
      <c r="T56" s="15">
        <f t="shared" si="20"/>
        <v>0</v>
      </c>
      <c r="U56" s="15">
        <f t="shared" si="21"/>
        <v>0</v>
      </c>
      <c r="V56" s="15" t="str">
        <f t="shared" si="22"/>
        <v/>
      </c>
      <c r="W56" s="15" t="str">
        <f t="shared" si="23"/>
        <v/>
      </c>
      <c r="X56" s="15" t="str">
        <f t="shared" si="24"/>
        <v/>
      </c>
      <c r="Y56" s="15" t="str">
        <f t="shared" si="25"/>
        <v/>
      </c>
      <c r="Z56" s="5">
        <f t="shared" si="26"/>
        <v>3.1826861871420142E-5</v>
      </c>
      <c r="AA56" s="5">
        <f t="shared" si="27"/>
        <v>-99.999989999999997</v>
      </c>
      <c r="AB56" s="5">
        <f t="shared" si="28"/>
        <v>1.9096117122852085E-4</v>
      </c>
    </row>
    <row r="57" spans="1:28">
      <c r="A57" t="s">
        <v>83</v>
      </c>
      <c r="B57" t="s">
        <v>84</v>
      </c>
      <c r="C57" s="59"/>
      <c r="D57" s="6">
        <v>2754</v>
      </c>
      <c r="E57" s="6">
        <v>2754</v>
      </c>
      <c r="F57" s="6">
        <v>2754</v>
      </c>
      <c r="G57" s="6">
        <v>2754</v>
      </c>
      <c r="H57" s="6">
        <v>2754</v>
      </c>
      <c r="I57" s="6">
        <v>2754</v>
      </c>
      <c r="J57" s="6">
        <v>2822</v>
      </c>
      <c r="K57" s="6">
        <v>2803</v>
      </c>
      <c r="L57" s="6">
        <v>2931</v>
      </c>
      <c r="M57" s="6">
        <v>3051</v>
      </c>
      <c r="N57" s="6">
        <v>3060</v>
      </c>
      <c r="O57" s="15" t="str">
        <f t="shared" si="15"/>
        <v/>
      </c>
      <c r="P57" s="15">
        <f t="shared" si="16"/>
        <v>0</v>
      </c>
      <c r="Q57" s="15">
        <f t="shared" si="17"/>
        <v>0</v>
      </c>
      <c r="R57" s="15">
        <f t="shared" si="18"/>
        <v>0</v>
      </c>
      <c r="S57" s="15">
        <f t="shared" si="19"/>
        <v>0</v>
      </c>
      <c r="T57" s="15">
        <f t="shared" si="20"/>
        <v>0</v>
      </c>
      <c r="U57" s="15">
        <f t="shared" si="21"/>
        <v>-2.4096385542168641E-2</v>
      </c>
      <c r="V57" s="15">
        <f t="shared" si="22"/>
        <v>6.7784516589368682E-3</v>
      </c>
      <c r="W57" s="15">
        <f t="shared" si="23"/>
        <v>-4.3671102012964869E-2</v>
      </c>
      <c r="X57" s="15">
        <f t="shared" si="24"/>
        <v>-3.9331366764995046E-2</v>
      </c>
      <c r="Y57" s="15">
        <f t="shared" si="25"/>
        <v>-2.9411764705882248E-3</v>
      </c>
      <c r="Z57" s="5">
        <f t="shared" si="26"/>
        <v>-1.0326157913177991E-2</v>
      </c>
      <c r="AA57" s="5">
        <f t="shared" si="27"/>
        <v>-1</v>
      </c>
      <c r="AB57" s="5">
        <f t="shared" si="28"/>
        <v>0</v>
      </c>
    </row>
    <row r="58" spans="1:28">
      <c r="A58" t="s">
        <v>85</v>
      </c>
      <c r="B58" t="s">
        <v>86</v>
      </c>
      <c r="C58" s="6">
        <v>1620</v>
      </c>
      <c r="D58" s="6">
        <v>1676</v>
      </c>
      <c r="E58" s="6">
        <v>1673</v>
      </c>
      <c r="F58" s="6">
        <v>1670</v>
      </c>
      <c r="G58" s="6">
        <v>1664</v>
      </c>
      <c r="H58" s="6">
        <v>1659</v>
      </c>
      <c r="I58" s="6">
        <v>1641</v>
      </c>
      <c r="J58" s="6">
        <v>1585</v>
      </c>
      <c r="K58" s="6">
        <v>1506</v>
      </c>
      <c r="L58" s="6">
        <v>1506</v>
      </c>
      <c r="M58" s="6"/>
      <c r="N58" s="6"/>
      <c r="O58" s="15">
        <f t="shared" si="15"/>
        <v>-3.3412887828162319E-2</v>
      </c>
      <c r="P58" s="15">
        <f t="shared" si="16"/>
        <v>1.7931858936042211E-3</v>
      </c>
      <c r="Q58" s="15">
        <f t="shared" si="17"/>
        <v>1.796407185628679E-3</v>
      </c>
      <c r="R58" s="15">
        <f t="shared" si="18"/>
        <v>3.6057692307691624E-3</v>
      </c>
      <c r="S58" s="15">
        <f t="shared" si="19"/>
        <v>3.0138637733574392E-3</v>
      </c>
      <c r="T58" s="15">
        <f t="shared" si="20"/>
        <v>1.0968921389396646E-2</v>
      </c>
      <c r="U58" s="15">
        <f t="shared" si="21"/>
        <v>3.5331230283911719E-2</v>
      </c>
      <c r="V58" s="15">
        <f t="shared" si="22"/>
        <v>5.2456839309428904E-2</v>
      </c>
      <c r="W58" s="15">
        <f t="shared" si="23"/>
        <v>0</v>
      </c>
      <c r="X58" s="15" t="str">
        <f t="shared" si="24"/>
        <v/>
      </c>
      <c r="Y58" s="15" t="str">
        <f t="shared" si="25"/>
        <v/>
      </c>
      <c r="Z58" s="5">
        <f t="shared" si="26"/>
        <v>8.3948143597704951E-3</v>
      </c>
      <c r="AA58" s="5">
        <f t="shared" si="27"/>
        <v>4.9801818594444525</v>
      </c>
      <c r="AB58" s="5">
        <f t="shared" si="28"/>
        <v>-3.3412887828162319E-2</v>
      </c>
    </row>
    <row r="59" spans="1:28">
      <c r="A59" t="s">
        <v>87</v>
      </c>
      <c r="B59" t="s">
        <v>88</v>
      </c>
      <c r="C59" s="59"/>
      <c r="D59" s="6">
        <v>736.54</v>
      </c>
      <c r="E59" s="6">
        <v>736.54</v>
      </c>
      <c r="F59" s="6">
        <v>736.54</v>
      </c>
      <c r="G59" s="6">
        <v>734.2</v>
      </c>
      <c r="H59" s="6">
        <v>728.6</v>
      </c>
      <c r="I59" s="6">
        <v>725.9</v>
      </c>
      <c r="J59" s="6">
        <v>722.6</v>
      </c>
      <c r="K59" s="6">
        <v>722.6</v>
      </c>
      <c r="L59" s="6">
        <v>722.4</v>
      </c>
      <c r="M59" s="6"/>
      <c r="N59" s="6"/>
      <c r="O59" s="15" t="str">
        <f t="shared" si="15"/>
        <v/>
      </c>
      <c r="P59" s="15">
        <f t="shared" si="16"/>
        <v>0</v>
      </c>
      <c r="Q59" s="15">
        <f t="shared" si="17"/>
        <v>0</v>
      </c>
      <c r="R59" s="15">
        <f t="shared" si="18"/>
        <v>3.1871424679923432E-3</v>
      </c>
      <c r="S59" s="15">
        <f t="shared" si="19"/>
        <v>7.6859730990941344E-3</v>
      </c>
      <c r="T59" s="15">
        <f t="shared" si="20"/>
        <v>3.7195205951232602E-3</v>
      </c>
      <c r="U59" s="15">
        <f t="shared" si="21"/>
        <v>4.5668419595903398E-3</v>
      </c>
      <c r="V59" s="15">
        <f t="shared" si="22"/>
        <v>0</v>
      </c>
      <c r="W59" s="15">
        <f t="shared" si="23"/>
        <v>2.7685492801787781E-4</v>
      </c>
      <c r="X59" s="15" t="str">
        <f t="shared" si="24"/>
        <v/>
      </c>
      <c r="Y59" s="15" t="str">
        <f t="shared" si="25"/>
        <v/>
      </c>
      <c r="Z59" s="5">
        <f t="shared" si="26"/>
        <v>2.4295416312272444E-3</v>
      </c>
      <c r="AA59" s="5">
        <f t="shared" si="27"/>
        <v>-99.999989999999997</v>
      </c>
      <c r="AB59" s="5">
        <f t="shared" si="28"/>
        <v>0</v>
      </c>
    </row>
    <row r="60" spans="1:28">
      <c r="A60" s="52" t="s">
        <v>252</v>
      </c>
      <c r="B60" s="52" t="s">
        <v>253</v>
      </c>
      <c r="C60" s="59"/>
      <c r="D60" s="6">
        <v>1422</v>
      </c>
      <c r="E60" s="6">
        <v>999</v>
      </c>
      <c r="F60" s="6">
        <v>1016</v>
      </c>
      <c r="G60" s="6">
        <v>1037</v>
      </c>
      <c r="H60" s="6">
        <v>1070</v>
      </c>
      <c r="I60" s="6">
        <v>1097</v>
      </c>
      <c r="J60" s="6">
        <v>1119</v>
      </c>
      <c r="K60" s="6">
        <v>1125</v>
      </c>
      <c r="L60" s="6">
        <v>1143</v>
      </c>
      <c r="M60" s="6">
        <v>1155</v>
      </c>
      <c r="N60" s="6">
        <v>1210</v>
      </c>
      <c r="O60" s="15" t="str">
        <f t="shared" si="15"/>
        <v/>
      </c>
      <c r="P60" s="15">
        <f t="shared" si="16"/>
        <v>0.42342342342342332</v>
      </c>
      <c r="Q60" s="15">
        <f t="shared" si="17"/>
        <v>-1.6732283464566899E-2</v>
      </c>
      <c r="R60" s="15">
        <f t="shared" si="18"/>
        <v>-2.0250723240115676E-2</v>
      </c>
      <c r="S60" s="15">
        <f t="shared" si="19"/>
        <v>-3.084112149532714E-2</v>
      </c>
      <c r="T60" s="15">
        <f t="shared" si="20"/>
        <v>-2.4612579762990028E-2</v>
      </c>
      <c r="U60" s="15">
        <f t="shared" si="21"/>
        <v>-1.966041108132266E-2</v>
      </c>
      <c r="V60" s="15">
        <f t="shared" si="22"/>
        <v>-5.3333333333333011E-3</v>
      </c>
      <c r="W60" s="15">
        <f t="shared" si="23"/>
        <v>-1.5748031496062964E-2</v>
      </c>
      <c r="X60" s="15">
        <f t="shared" si="24"/>
        <v>-1.0389610389610393E-2</v>
      </c>
      <c r="Y60" s="15">
        <f t="shared" si="25"/>
        <v>-4.5454545454545414E-2</v>
      </c>
      <c r="Z60" s="5">
        <f t="shared" si="26"/>
        <v>2.3440078370554885E-2</v>
      </c>
      <c r="AA60" s="5">
        <f t="shared" si="27"/>
        <v>-99.999989999999997</v>
      </c>
      <c r="AB60" s="5">
        <f t="shared" si="28"/>
        <v>0.42342342342342332</v>
      </c>
    </row>
    <row r="61" spans="1:28">
      <c r="A61" t="s">
        <v>89</v>
      </c>
      <c r="B61" t="s">
        <v>90</v>
      </c>
      <c r="C61" s="59"/>
      <c r="D61" s="6">
        <v>1960</v>
      </c>
      <c r="E61" s="6">
        <v>1972</v>
      </c>
      <c r="F61" s="6">
        <v>1993</v>
      </c>
      <c r="G61" s="6">
        <v>2010</v>
      </c>
      <c r="H61" s="6">
        <v>2046</v>
      </c>
      <c r="I61" s="6">
        <v>2089</v>
      </c>
      <c r="J61" s="6">
        <v>2081</v>
      </c>
      <c r="K61" s="6">
        <v>2061</v>
      </c>
      <c r="L61" s="6">
        <v>2108</v>
      </c>
      <c r="M61" s="6">
        <v>2097</v>
      </c>
      <c r="N61" s="6">
        <v>2084</v>
      </c>
      <c r="O61" s="15" t="str">
        <f t="shared" si="15"/>
        <v/>
      </c>
      <c r="P61" s="15">
        <f t="shared" si="16"/>
        <v>-6.0851926977687487E-3</v>
      </c>
      <c r="Q61" s="15">
        <f t="shared" si="17"/>
        <v>-1.0536879076768702E-2</v>
      </c>
      <c r="R61" s="15">
        <f t="shared" si="18"/>
        <v>-8.4577114427860645E-3</v>
      </c>
      <c r="S61" s="15">
        <f t="shared" si="19"/>
        <v>-1.7595307917888547E-2</v>
      </c>
      <c r="T61" s="15">
        <f t="shared" si="20"/>
        <v>-2.0584011488750553E-2</v>
      </c>
      <c r="U61" s="15">
        <f t="shared" si="21"/>
        <v>3.844305622296984E-3</v>
      </c>
      <c r="V61" s="15">
        <f t="shared" si="22"/>
        <v>9.7040271712760529E-3</v>
      </c>
      <c r="W61" s="15">
        <f t="shared" si="23"/>
        <v>-2.2296015180265694E-2</v>
      </c>
      <c r="X61" s="15">
        <f t="shared" si="24"/>
        <v>5.2455889365761177E-3</v>
      </c>
      <c r="Y61" s="15">
        <f t="shared" si="25"/>
        <v>6.2380038387714887E-3</v>
      </c>
      <c r="Z61" s="5">
        <f t="shared" si="26"/>
        <v>-6.0523192235307664E-3</v>
      </c>
      <c r="AA61" s="5">
        <f t="shared" si="27"/>
        <v>5.4315499602488604E-3</v>
      </c>
      <c r="AB61" s="5">
        <f t="shared" si="28"/>
        <v>-6.0851926977687487E-3</v>
      </c>
    </row>
    <row r="62" spans="1:28">
      <c r="A62" t="s">
        <v>92</v>
      </c>
      <c r="B62" t="s">
        <v>93</v>
      </c>
      <c r="C62" s="59"/>
      <c r="D62" s="6">
        <v>598.70000000000005</v>
      </c>
      <c r="E62" s="6">
        <v>612.5</v>
      </c>
      <c r="F62" s="6">
        <v>640.79999999999995</v>
      </c>
      <c r="G62" s="6">
        <v>648.5</v>
      </c>
      <c r="H62" s="6">
        <v>644.79999999999995</v>
      </c>
      <c r="I62" s="6">
        <v>651.20000000000005</v>
      </c>
      <c r="J62" s="6">
        <v>650.79999999999995</v>
      </c>
      <c r="K62" s="6">
        <v>595</v>
      </c>
      <c r="L62" s="6">
        <v>680</v>
      </c>
      <c r="M62" s="6">
        <v>712</v>
      </c>
      <c r="N62" s="6">
        <v>738</v>
      </c>
      <c r="O62" s="15" t="str">
        <f t="shared" si="15"/>
        <v/>
      </c>
      <c r="P62" s="15">
        <f t="shared" si="16"/>
        <v>-2.253061224489783E-2</v>
      </c>
      <c r="Q62" s="15">
        <f t="shared" si="17"/>
        <v>-4.4163545568039919E-2</v>
      </c>
      <c r="R62" s="15">
        <f t="shared" si="18"/>
        <v>-1.1873554356206739E-2</v>
      </c>
      <c r="S62" s="15">
        <f t="shared" si="19"/>
        <v>5.7382133995038664E-3</v>
      </c>
      <c r="T62" s="15">
        <f t="shared" si="20"/>
        <v>-9.8280098280100203E-3</v>
      </c>
      <c r="U62" s="15">
        <f t="shared" si="21"/>
        <v>6.1462814996948723E-4</v>
      </c>
      <c r="V62" s="15">
        <f t="shared" si="22"/>
        <v>9.3781512605041861E-2</v>
      </c>
      <c r="W62" s="15">
        <f t="shared" si="23"/>
        <v>-0.125</v>
      </c>
      <c r="X62" s="15">
        <f t="shared" si="24"/>
        <v>-4.49438202247191E-2</v>
      </c>
      <c r="Y62" s="15">
        <f t="shared" si="25"/>
        <v>-3.5230352303523005E-2</v>
      </c>
      <c r="Z62" s="5">
        <f t="shared" si="26"/>
        <v>-1.9343554037088141E-2</v>
      </c>
      <c r="AA62" s="5">
        <f t="shared" si="27"/>
        <v>0.1647607364034045</v>
      </c>
      <c r="AB62" s="5">
        <f t="shared" si="28"/>
        <v>-2.253061224489783E-2</v>
      </c>
    </row>
    <row r="63" spans="1:28">
      <c r="A63" s="52" t="s">
        <v>323</v>
      </c>
      <c r="B63" s="52" t="s">
        <v>324</v>
      </c>
      <c r="C63" s="59"/>
      <c r="D63" s="6">
        <v>216.78</v>
      </c>
      <c r="E63" s="6">
        <v>221.05</v>
      </c>
      <c r="F63" s="6">
        <v>223.9</v>
      </c>
      <c r="G63" s="6">
        <v>223.79</v>
      </c>
      <c r="H63" s="6">
        <v>225.21</v>
      </c>
      <c r="I63" s="6">
        <v>227</v>
      </c>
      <c r="J63" s="6">
        <v>228</v>
      </c>
      <c r="K63" s="6">
        <v>227</v>
      </c>
      <c r="L63" s="6">
        <v>227</v>
      </c>
      <c r="M63" s="6">
        <v>230.3</v>
      </c>
      <c r="N63" s="6">
        <v>240.5</v>
      </c>
      <c r="O63" s="15" t="str">
        <f t="shared" si="15"/>
        <v/>
      </c>
      <c r="P63" s="15">
        <f t="shared" si="16"/>
        <v>-1.9316896629721803E-2</v>
      </c>
      <c r="Q63" s="15">
        <f t="shared" si="17"/>
        <v>-1.2728896828941516E-2</v>
      </c>
      <c r="R63" s="15">
        <f t="shared" si="18"/>
        <v>4.9153224004649942E-4</v>
      </c>
      <c r="S63" s="15">
        <f t="shared" si="19"/>
        <v>-6.3052262332934372E-3</v>
      </c>
      <c r="T63" s="15">
        <f t="shared" si="20"/>
        <v>-7.8854625550660584E-3</v>
      </c>
      <c r="U63" s="15">
        <f t="shared" si="21"/>
        <v>-4.3859649122807154E-3</v>
      </c>
      <c r="V63" s="15">
        <f t="shared" si="22"/>
        <v>4.405286343612369E-3</v>
      </c>
      <c r="W63" s="15">
        <f t="shared" si="23"/>
        <v>0</v>
      </c>
      <c r="X63" s="15">
        <f t="shared" si="24"/>
        <v>-1.4329135909683099E-2</v>
      </c>
      <c r="Y63" s="15">
        <f t="shared" si="25"/>
        <v>-4.2411642411642414E-2</v>
      </c>
      <c r="Z63" s="5">
        <f t="shared" si="26"/>
        <v>-1.0246640689697018E-2</v>
      </c>
      <c r="AA63" s="5">
        <f t="shared" si="27"/>
        <v>0.88519312960245733</v>
      </c>
      <c r="AB63" s="5">
        <f t="shared" si="28"/>
        <v>-1.9316896629721803E-2</v>
      </c>
    </row>
    <row r="64" spans="1:28">
      <c r="A64" s="52" t="s">
        <v>254</v>
      </c>
      <c r="B64" s="52" t="s">
        <v>255</v>
      </c>
      <c r="C64" s="59"/>
      <c r="D64" s="6">
        <v>350.02</v>
      </c>
      <c r="E64" s="6">
        <v>356</v>
      </c>
      <c r="F64" s="6">
        <v>362.8</v>
      </c>
      <c r="G64" s="6">
        <v>361.27</v>
      </c>
      <c r="H64" s="6">
        <v>357.3</v>
      </c>
      <c r="I64" s="6">
        <v>365.1</v>
      </c>
      <c r="J64" s="6">
        <v>380.6</v>
      </c>
      <c r="K64" s="6">
        <v>381.9</v>
      </c>
      <c r="L64" s="6">
        <v>390.1</v>
      </c>
      <c r="M64" s="6">
        <v>397.7</v>
      </c>
      <c r="N64" s="6">
        <v>405.3</v>
      </c>
      <c r="O64" s="15" t="str">
        <f t="shared" si="15"/>
        <v/>
      </c>
      <c r="P64" s="15">
        <f t="shared" si="16"/>
        <v>-1.6797752808988764E-2</v>
      </c>
      <c r="Q64" s="15">
        <f t="shared" si="17"/>
        <v>-1.8743109151047488E-2</v>
      </c>
      <c r="R64" s="15">
        <f t="shared" si="18"/>
        <v>4.2350596506768312E-3</v>
      </c>
      <c r="S64" s="15">
        <f t="shared" si="19"/>
        <v>1.1111111111111072E-2</v>
      </c>
      <c r="T64" s="15">
        <f t="shared" si="20"/>
        <v>-2.1364009860312283E-2</v>
      </c>
      <c r="U64" s="15">
        <f t="shared" si="21"/>
        <v>-4.0725170782974218E-2</v>
      </c>
      <c r="V64" s="15">
        <f t="shared" si="22"/>
        <v>-3.4040324692327095E-3</v>
      </c>
      <c r="W64" s="15">
        <f t="shared" si="23"/>
        <v>-2.1020251217636621E-2</v>
      </c>
      <c r="X64" s="15">
        <f t="shared" si="24"/>
        <v>-1.9109881820467578E-2</v>
      </c>
      <c r="Y64" s="15">
        <f t="shared" si="25"/>
        <v>-1.8751542067604321E-2</v>
      </c>
      <c r="Z64" s="5">
        <f t="shared" si="26"/>
        <v>-1.4456957941647608E-2</v>
      </c>
      <c r="AA64" s="5">
        <f t="shared" si="27"/>
        <v>0.16191475943896827</v>
      </c>
      <c r="AB64" s="5">
        <f t="shared" si="28"/>
        <v>-1.6797752808988764E-2</v>
      </c>
    </row>
    <row r="65" spans="1:28">
      <c r="A65" t="s">
        <v>94</v>
      </c>
      <c r="B65" t="s">
        <v>95</v>
      </c>
      <c r="C65" s="59"/>
      <c r="D65" s="6">
        <v>360.9</v>
      </c>
      <c r="E65" s="6">
        <v>365.3</v>
      </c>
      <c r="F65" s="6">
        <v>380.8</v>
      </c>
      <c r="G65" s="6">
        <v>389.3</v>
      </c>
      <c r="H65" s="6">
        <v>395.7</v>
      </c>
      <c r="I65" s="6">
        <v>406.9</v>
      </c>
      <c r="J65" s="6">
        <v>416.3</v>
      </c>
      <c r="K65" s="6">
        <v>413.6</v>
      </c>
      <c r="L65" s="6">
        <v>420.9</v>
      </c>
      <c r="M65" s="6">
        <v>455.6</v>
      </c>
      <c r="N65" s="6">
        <v>461.5</v>
      </c>
      <c r="O65" s="15" t="str">
        <f t="shared" si="15"/>
        <v/>
      </c>
      <c r="P65" s="15">
        <f t="shared" si="16"/>
        <v>-1.2044894607172285E-2</v>
      </c>
      <c r="Q65" s="15">
        <f t="shared" si="17"/>
        <v>-4.0703781512605008E-2</v>
      </c>
      <c r="R65" s="15">
        <f t="shared" si="18"/>
        <v>-2.183406113537123E-2</v>
      </c>
      <c r="S65" s="15">
        <f t="shared" si="19"/>
        <v>-1.6173869092746984E-2</v>
      </c>
      <c r="T65" s="15">
        <f t="shared" si="20"/>
        <v>-2.7525190464487537E-2</v>
      </c>
      <c r="U65" s="15">
        <f t="shared" si="21"/>
        <v>-2.2579870285851622E-2</v>
      </c>
      <c r="V65" s="15">
        <f t="shared" si="22"/>
        <v>6.5280464216634915E-3</v>
      </c>
      <c r="W65" s="15">
        <f t="shared" si="23"/>
        <v>-1.7343787122831911E-2</v>
      </c>
      <c r="X65" s="15">
        <f t="shared" si="24"/>
        <v>-7.6163301141352169E-2</v>
      </c>
      <c r="Y65" s="15">
        <f t="shared" si="25"/>
        <v>-1.2784398699891564E-2</v>
      </c>
      <c r="Z65" s="5">
        <f t="shared" si="26"/>
        <v>-2.4062510764064682E-2</v>
      </c>
      <c r="AA65" s="5">
        <f t="shared" si="27"/>
        <v>-0.49943317531268128</v>
      </c>
      <c r="AB65" s="5">
        <f t="shared" si="28"/>
        <v>-1.2044894607172285E-2</v>
      </c>
    </row>
    <row r="66" spans="1:28">
      <c r="A66" s="52" t="s">
        <v>256</v>
      </c>
      <c r="B66" s="52" t="s">
        <v>257</v>
      </c>
      <c r="C66" s="59"/>
      <c r="D66" s="6">
        <v>1116</v>
      </c>
      <c r="E66" s="6">
        <v>1153</v>
      </c>
      <c r="F66" s="6">
        <v>1194</v>
      </c>
      <c r="G66" s="6">
        <v>1232</v>
      </c>
      <c r="H66" s="6">
        <v>1269</v>
      </c>
      <c r="I66" s="6">
        <v>1309</v>
      </c>
      <c r="J66" s="6">
        <v>1298</v>
      </c>
      <c r="K66" s="6"/>
      <c r="L66" s="6"/>
      <c r="M66" s="6"/>
      <c r="N66" s="6"/>
      <c r="O66" s="15" t="str">
        <f t="shared" si="15"/>
        <v/>
      </c>
      <c r="P66" s="15">
        <f t="shared" si="16"/>
        <v>-3.2090199479618442E-2</v>
      </c>
      <c r="Q66" s="15">
        <f t="shared" si="17"/>
        <v>-3.4338358458961493E-2</v>
      </c>
      <c r="R66" s="15">
        <f t="shared" si="18"/>
        <v>-3.0844155844155896E-2</v>
      </c>
      <c r="S66" s="15">
        <f t="shared" si="19"/>
        <v>-2.9156816390858986E-2</v>
      </c>
      <c r="T66" s="15">
        <f t="shared" si="20"/>
        <v>-3.0557677616501189E-2</v>
      </c>
      <c r="U66" s="15">
        <f t="shared" si="21"/>
        <v>8.4745762711864181E-3</v>
      </c>
      <c r="V66" s="15" t="str">
        <f t="shared" si="22"/>
        <v/>
      </c>
      <c r="W66" s="15" t="str">
        <f t="shared" si="23"/>
        <v/>
      </c>
      <c r="X66" s="15" t="str">
        <f t="shared" si="24"/>
        <v/>
      </c>
      <c r="Y66" s="15" t="str">
        <f t="shared" si="25"/>
        <v/>
      </c>
      <c r="Z66" s="5">
        <f t="shared" si="26"/>
        <v>-2.4752105253151597E-2</v>
      </c>
      <c r="AA66" s="5">
        <f t="shared" si="27"/>
        <v>0.29646343821734167</v>
      </c>
      <c r="AB66" s="5">
        <f t="shared" si="28"/>
        <v>-3.2090199479618442E-2</v>
      </c>
    </row>
    <row r="67" spans="1:28">
      <c r="A67" s="52" t="s">
        <v>258</v>
      </c>
      <c r="B67" s="52" t="s">
        <v>259</v>
      </c>
      <c r="C67" s="59"/>
      <c r="D67" s="6">
        <v>196.08</v>
      </c>
      <c r="E67" s="6">
        <v>204.36</v>
      </c>
      <c r="F67" s="6">
        <v>213.96</v>
      </c>
      <c r="G67" s="6">
        <v>223.25</v>
      </c>
      <c r="H67" s="6">
        <v>222.44</v>
      </c>
      <c r="I67" s="6">
        <v>230.8</v>
      </c>
      <c r="J67" s="6">
        <v>236.9</v>
      </c>
      <c r="K67" s="6">
        <v>235.1</v>
      </c>
      <c r="L67" s="6">
        <v>251.4</v>
      </c>
      <c r="M67" s="6">
        <v>278.60000000000002</v>
      </c>
      <c r="N67" s="6">
        <v>290.3</v>
      </c>
      <c r="O67" s="15" t="str">
        <f t="shared" si="15"/>
        <v/>
      </c>
      <c r="P67" s="15">
        <f t="shared" si="16"/>
        <v>-4.0516735173223739E-2</v>
      </c>
      <c r="Q67" s="15">
        <f t="shared" si="17"/>
        <v>-4.4868199663488428E-2</v>
      </c>
      <c r="R67" s="15">
        <f t="shared" si="18"/>
        <v>-4.1612541993281016E-2</v>
      </c>
      <c r="S67" s="15">
        <f t="shared" si="19"/>
        <v>3.6414313972308321E-3</v>
      </c>
      <c r="T67" s="15">
        <f t="shared" si="20"/>
        <v>-3.622183708838822E-2</v>
      </c>
      <c r="U67" s="15">
        <f t="shared" si="21"/>
        <v>-2.57492612916842E-2</v>
      </c>
      <c r="V67" s="15">
        <f t="shared" si="22"/>
        <v>7.6563164610803369E-3</v>
      </c>
      <c r="W67" s="15">
        <f t="shared" si="23"/>
        <v>-6.4836913285600706E-2</v>
      </c>
      <c r="X67" s="15">
        <f t="shared" si="24"/>
        <v>-9.7631012203876599E-2</v>
      </c>
      <c r="Y67" s="15">
        <f t="shared" si="25"/>
        <v>-4.0303134688253528E-2</v>
      </c>
      <c r="Z67" s="5">
        <f t="shared" si="26"/>
        <v>-3.804418875294853E-2</v>
      </c>
      <c r="AA67" s="5">
        <f t="shared" si="27"/>
        <v>6.499143499501181E-2</v>
      </c>
      <c r="AB67" s="5">
        <f t="shared" si="28"/>
        <v>-4.0516735173223739E-2</v>
      </c>
    </row>
    <row r="68" spans="1:28">
      <c r="A68" s="52" t="s">
        <v>269</v>
      </c>
      <c r="B68" s="52" t="s">
        <v>271</v>
      </c>
      <c r="C68" s="59"/>
      <c r="D68" s="6">
        <v>953</v>
      </c>
      <c r="E68" s="6">
        <v>954</v>
      </c>
      <c r="F68" s="6">
        <v>988</v>
      </c>
      <c r="G68" s="6">
        <v>1019</v>
      </c>
      <c r="H68" s="6">
        <v>1039</v>
      </c>
      <c r="I68" s="6">
        <v>1086</v>
      </c>
      <c r="J68" s="6">
        <v>1147</v>
      </c>
      <c r="K68" s="6">
        <v>1201</v>
      </c>
      <c r="L68" s="6">
        <v>1253</v>
      </c>
      <c r="M68" s="6">
        <v>1345</v>
      </c>
      <c r="N68" s="6">
        <v>1358</v>
      </c>
      <c r="O68" s="15" t="str">
        <f t="shared" ref="O68:O103" si="29">IF(C68&lt;&gt;"",IF(D68&lt;&gt;"",(C68/D68)-1,""),"")</f>
        <v/>
      </c>
      <c r="P68" s="15">
        <f t="shared" ref="P68:P103" si="30">IF(D68&lt;&gt;"",IF(E68&lt;&gt;"",(D68/E68)-1,""),"")</f>
        <v>-1.0482180293500676E-3</v>
      </c>
      <c r="Q68" s="15">
        <f t="shared" ref="Q68:Q103" si="31">IF(E68&lt;&gt;"",IF(F68&lt;&gt;"",(E68/F68)-1,""),"")</f>
        <v>-3.4412955465587092E-2</v>
      </c>
      <c r="R68" s="15">
        <f t="shared" ref="R68:R103" si="32">IF(F68&lt;&gt;"",IF(G68&lt;&gt;"",(F68/G68)-1,""),"")</f>
        <v>-3.042198233562321E-2</v>
      </c>
      <c r="S68" s="15">
        <f t="shared" ref="S68:S103" si="33">IF(G68&lt;&gt;"",IF(H68&lt;&gt;"",(G68/H68)-1,""),"")</f>
        <v>-1.9249278152069338E-2</v>
      </c>
      <c r="T68" s="15">
        <f t="shared" ref="T68:T103" si="34">IF(H68&lt;&gt;"",IF(I68&lt;&gt;"",(H68/I68)-1,""),"")</f>
        <v>-4.3278084714548748E-2</v>
      </c>
      <c r="U68" s="15">
        <f t="shared" ref="U68:U103" si="35">IF(I68&lt;&gt;"",IF(J68&lt;&gt;"",(I68/J68)-1,""),"")</f>
        <v>-5.3182214472537015E-2</v>
      </c>
      <c r="V68" s="15">
        <f t="shared" ref="V68:V103" si="36">IF(J68&lt;&gt;"",IF(K68&lt;&gt;"",(J68/K68)-1,""),"")</f>
        <v>-4.4962531223979973E-2</v>
      </c>
      <c r="W68" s="15">
        <f t="shared" ref="W68:W103" si="37">IF(K68&lt;&gt;"",IF(L68&lt;&gt;"",(K68/L68)-1,""),"")</f>
        <v>-4.1500399042298519E-2</v>
      </c>
      <c r="X68" s="15">
        <f t="shared" ref="X68:X103" si="38">IF(L68&lt;&gt;"",IF(M68&lt;&gt;"",(L68/M68)-1,""),"")</f>
        <v>-6.8401486988847626E-2</v>
      </c>
      <c r="Y68" s="15">
        <f t="shared" ref="Y68:Y103" si="39">IF(M68&lt;&gt;"",IF(N68&lt;&gt;"",(M68/N68)-1,""),"")</f>
        <v>-9.5729013254786111E-3</v>
      </c>
      <c r="Z68" s="5">
        <f t="shared" ref="Z68:Z99" si="40">AVERAGE(O68:Y68)</f>
        <v>-3.4603005175032023E-2</v>
      </c>
      <c r="AA68" s="5">
        <f t="shared" ref="AA68:AA99" si="41">IF(Z68=0,0,IF(Z68&lt;0,IF(C68&lt;&gt;"",(O68/Z68)-1,(P68/Z68)-1),IF(C68&lt;&gt;"",IF(O68&lt;0,((O68/Z68)-1)*-1,-99.99999),IF(P68&lt;0,((P68/Z68)-1)*-1,-99.99999))))</f>
        <v>-0.96970731229707141</v>
      </c>
      <c r="AB68" s="5">
        <f t="shared" ref="AB68:AB103" si="42">IF(C68&lt;&gt;"",O68,P68)</f>
        <v>-1.0482180293500676E-3</v>
      </c>
    </row>
    <row r="69" spans="1:28">
      <c r="A69" s="52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15" t="str">
        <f t="shared" si="29"/>
        <v/>
      </c>
      <c r="P69" s="15" t="str">
        <f t="shared" si="30"/>
        <v/>
      </c>
      <c r="Q69" s="15" t="str">
        <f t="shared" si="31"/>
        <v/>
      </c>
      <c r="R69" s="15" t="str">
        <f t="shared" si="32"/>
        <v/>
      </c>
      <c r="S69" s="15" t="str">
        <f t="shared" si="33"/>
        <v/>
      </c>
      <c r="T69" s="15" t="str">
        <f t="shared" si="34"/>
        <v/>
      </c>
      <c r="U69" s="15" t="str">
        <f t="shared" si="35"/>
        <v/>
      </c>
      <c r="V69" s="15" t="str">
        <f t="shared" si="36"/>
        <v/>
      </c>
      <c r="W69" s="15" t="str">
        <f t="shared" si="37"/>
        <v/>
      </c>
      <c r="X69" s="15" t="str">
        <f t="shared" si="38"/>
        <v/>
      </c>
      <c r="Y69" s="15" t="str">
        <f t="shared" si="39"/>
        <v/>
      </c>
      <c r="Z69" s="5" t="e">
        <f t="shared" si="40"/>
        <v>#DIV/0!</v>
      </c>
      <c r="AA69" s="5" t="e">
        <f t="shared" si="41"/>
        <v>#DIV/0!</v>
      </c>
      <c r="AB69" s="5" t="str">
        <f t="shared" si="42"/>
        <v/>
      </c>
    </row>
    <row r="70" spans="1:28">
      <c r="A70" s="52"/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15" t="str">
        <f t="shared" si="29"/>
        <v/>
      </c>
      <c r="P70" s="15" t="str">
        <f t="shared" si="30"/>
        <v/>
      </c>
      <c r="Q70" s="15" t="str">
        <f t="shared" si="31"/>
        <v/>
      </c>
      <c r="R70" s="15" t="str">
        <f t="shared" si="32"/>
        <v/>
      </c>
      <c r="S70" s="15" t="str">
        <f t="shared" si="33"/>
        <v/>
      </c>
      <c r="T70" s="15" t="str">
        <f t="shared" si="34"/>
        <v/>
      </c>
      <c r="U70" s="15" t="str">
        <f t="shared" si="35"/>
        <v/>
      </c>
      <c r="V70" s="15" t="str">
        <f t="shared" si="36"/>
        <v/>
      </c>
      <c r="W70" s="15" t="str">
        <f t="shared" si="37"/>
        <v/>
      </c>
      <c r="X70" s="15" t="str">
        <f t="shared" si="38"/>
        <v/>
      </c>
      <c r="Y70" s="15" t="str">
        <f t="shared" si="39"/>
        <v/>
      </c>
      <c r="Z70" s="5" t="e">
        <f t="shared" si="40"/>
        <v>#DIV/0!</v>
      </c>
      <c r="AA70" s="5" t="e">
        <f t="shared" si="41"/>
        <v>#DIV/0!</v>
      </c>
      <c r="AB70" s="5" t="str">
        <f t="shared" si="42"/>
        <v/>
      </c>
    </row>
    <row r="71" spans="1:28">
      <c r="A71" s="52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15" t="str">
        <f t="shared" si="29"/>
        <v/>
      </c>
      <c r="P71" s="15" t="str">
        <f t="shared" si="30"/>
        <v/>
      </c>
      <c r="Q71" s="15" t="str">
        <f t="shared" si="31"/>
        <v/>
      </c>
      <c r="R71" s="15" t="str">
        <f t="shared" si="32"/>
        <v/>
      </c>
      <c r="S71" s="15" t="str">
        <f t="shared" si="33"/>
        <v/>
      </c>
      <c r="T71" s="15" t="str">
        <f t="shared" si="34"/>
        <v/>
      </c>
      <c r="U71" s="15" t="str">
        <f t="shared" si="35"/>
        <v/>
      </c>
      <c r="V71" s="15" t="str">
        <f t="shared" si="36"/>
        <v/>
      </c>
      <c r="W71" s="15" t="str">
        <f t="shared" si="37"/>
        <v/>
      </c>
      <c r="X71" s="15" t="str">
        <f t="shared" si="38"/>
        <v/>
      </c>
      <c r="Y71" s="15" t="str">
        <f t="shared" si="39"/>
        <v/>
      </c>
      <c r="Z71" s="5" t="e">
        <f t="shared" si="40"/>
        <v>#DIV/0!</v>
      </c>
      <c r="AA71" s="5" t="e">
        <f t="shared" si="41"/>
        <v>#DIV/0!</v>
      </c>
      <c r="AB71" s="5" t="str">
        <f t="shared" si="42"/>
        <v/>
      </c>
    </row>
    <row r="72" spans="1:28">
      <c r="A72" s="52"/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15" t="str">
        <f t="shared" si="29"/>
        <v/>
      </c>
      <c r="P72" s="15" t="str">
        <f t="shared" si="30"/>
        <v/>
      </c>
      <c r="Q72" s="15" t="str">
        <f t="shared" si="31"/>
        <v/>
      </c>
      <c r="R72" s="15" t="str">
        <f t="shared" si="32"/>
        <v/>
      </c>
      <c r="S72" s="15" t="str">
        <f t="shared" si="33"/>
        <v/>
      </c>
      <c r="T72" s="15" t="str">
        <f t="shared" si="34"/>
        <v/>
      </c>
      <c r="U72" s="15" t="str">
        <f t="shared" si="35"/>
        <v/>
      </c>
      <c r="V72" s="15" t="str">
        <f t="shared" si="36"/>
        <v/>
      </c>
      <c r="W72" s="15" t="str">
        <f t="shared" si="37"/>
        <v/>
      </c>
      <c r="X72" s="15" t="str">
        <f t="shared" si="38"/>
        <v/>
      </c>
      <c r="Y72" s="15" t="str">
        <f t="shared" si="39"/>
        <v/>
      </c>
      <c r="Z72" s="5" t="e">
        <f t="shared" si="40"/>
        <v>#DIV/0!</v>
      </c>
      <c r="AA72" s="5" t="e">
        <f t="shared" si="41"/>
        <v>#DIV/0!</v>
      </c>
      <c r="AB72" s="5" t="str">
        <f t="shared" si="42"/>
        <v/>
      </c>
    </row>
    <row r="73" spans="1:28">
      <c r="A73" s="52"/>
      <c r="B73" s="52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15" t="str">
        <f t="shared" si="29"/>
        <v/>
      </c>
      <c r="P73" s="15" t="str">
        <f t="shared" si="30"/>
        <v/>
      </c>
      <c r="Q73" s="15" t="str">
        <f t="shared" si="31"/>
        <v/>
      </c>
      <c r="R73" s="15" t="str">
        <f t="shared" si="32"/>
        <v/>
      </c>
      <c r="S73" s="15" t="str">
        <f t="shared" si="33"/>
        <v/>
      </c>
      <c r="T73" s="15" t="str">
        <f t="shared" si="34"/>
        <v/>
      </c>
      <c r="U73" s="15" t="str">
        <f t="shared" si="35"/>
        <v/>
      </c>
      <c r="V73" s="15" t="str">
        <f t="shared" si="36"/>
        <v/>
      </c>
      <c r="W73" s="15" t="str">
        <f t="shared" si="37"/>
        <v/>
      </c>
      <c r="X73" s="15" t="str">
        <f t="shared" si="38"/>
        <v/>
      </c>
      <c r="Y73" s="15" t="str">
        <f t="shared" si="39"/>
        <v/>
      </c>
      <c r="Z73" s="5" t="e">
        <f t="shared" si="40"/>
        <v>#DIV/0!</v>
      </c>
      <c r="AA73" s="5" t="e">
        <f t="shared" si="41"/>
        <v>#DIV/0!</v>
      </c>
      <c r="AB73" s="5" t="str">
        <f t="shared" si="42"/>
        <v/>
      </c>
    </row>
    <row r="74" spans="1:28">
      <c r="A74" s="52"/>
      <c r="B74" s="52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15" t="str">
        <f t="shared" si="29"/>
        <v/>
      </c>
      <c r="P74" s="15" t="str">
        <f t="shared" si="30"/>
        <v/>
      </c>
      <c r="Q74" s="15" t="str">
        <f t="shared" si="31"/>
        <v/>
      </c>
      <c r="R74" s="15" t="str">
        <f t="shared" si="32"/>
        <v/>
      </c>
      <c r="S74" s="15" t="str">
        <f t="shared" si="33"/>
        <v/>
      </c>
      <c r="T74" s="15" t="str">
        <f t="shared" si="34"/>
        <v/>
      </c>
      <c r="U74" s="15" t="str">
        <f t="shared" si="35"/>
        <v/>
      </c>
      <c r="V74" s="15" t="str">
        <f t="shared" si="36"/>
        <v/>
      </c>
      <c r="W74" s="15" t="str">
        <f t="shared" si="37"/>
        <v/>
      </c>
      <c r="X74" s="15" t="str">
        <f t="shared" si="38"/>
        <v/>
      </c>
      <c r="Y74" s="15" t="str">
        <f t="shared" si="39"/>
        <v/>
      </c>
      <c r="Z74" s="5" t="e">
        <f t="shared" si="40"/>
        <v>#DIV/0!</v>
      </c>
      <c r="AA74" s="5" t="e">
        <f t="shared" si="41"/>
        <v>#DIV/0!</v>
      </c>
      <c r="AB74" s="5" t="str">
        <f t="shared" si="42"/>
        <v/>
      </c>
    </row>
    <row r="75" spans="1:28">
      <c r="A75" s="52"/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15" t="str">
        <f t="shared" si="29"/>
        <v/>
      </c>
      <c r="P75" s="15" t="str">
        <f t="shared" si="30"/>
        <v/>
      </c>
      <c r="Q75" s="15" t="str">
        <f t="shared" si="31"/>
        <v/>
      </c>
      <c r="R75" s="15" t="str">
        <f t="shared" si="32"/>
        <v/>
      </c>
      <c r="S75" s="15" t="str">
        <f t="shared" si="33"/>
        <v/>
      </c>
      <c r="T75" s="15" t="str">
        <f t="shared" si="34"/>
        <v/>
      </c>
      <c r="U75" s="15" t="str">
        <f t="shared" si="35"/>
        <v/>
      </c>
      <c r="V75" s="15" t="str">
        <f t="shared" si="36"/>
        <v/>
      </c>
      <c r="W75" s="15" t="str">
        <f t="shared" si="37"/>
        <v/>
      </c>
      <c r="X75" s="15" t="str">
        <f t="shared" si="38"/>
        <v/>
      </c>
      <c r="Y75" s="15" t="str">
        <f t="shared" si="39"/>
        <v/>
      </c>
      <c r="Z75" s="5" t="e">
        <f t="shared" si="40"/>
        <v>#DIV/0!</v>
      </c>
      <c r="AA75" s="5" t="e">
        <f t="shared" si="41"/>
        <v>#DIV/0!</v>
      </c>
      <c r="AB75" s="5" t="str">
        <f t="shared" si="42"/>
        <v/>
      </c>
    </row>
    <row r="76" spans="1:28">
      <c r="A76" s="52"/>
      <c r="B76" s="52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15" t="str">
        <f t="shared" si="29"/>
        <v/>
      </c>
      <c r="P76" s="15" t="str">
        <f t="shared" si="30"/>
        <v/>
      </c>
      <c r="Q76" s="15" t="str">
        <f t="shared" si="31"/>
        <v/>
      </c>
      <c r="R76" s="15" t="str">
        <f t="shared" si="32"/>
        <v/>
      </c>
      <c r="S76" s="15" t="str">
        <f t="shared" si="33"/>
        <v/>
      </c>
      <c r="T76" s="15" t="str">
        <f t="shared" si="34"/>
        <v/>
      </c>
      <c r="U76" s="15" t="str">
        <f t="shared" si="35"/>
        <v/>
      </c>
      <c r="V76" s="15" t="str">
        <f t="shared" si="36"/>
        <v/>
      </c>
      <c r="W76" s="15" t="str">
        <f t="shared" si="37"/>
        <v/>
      </c>
      <c r="X76" s="15" t="str">
        <f t="shared" si="38"/>
        <v/>
      </c>
      <c r="Y76" s="15" t="str">
        <f t="shared" si="39"/>
        <v/>
      </c>
      <c r="Z76" s="5" t="e">
        <f t="shared" si="40"/>
        <v>#DIV/0!</v>
      </c>
      <c r="AA76" s="5" t="e">
        <f t="shared" si="41"/>
        <v>#DIV/0!</v>
      </c>
      <c r="AB76" s="5" t="str">
        <f t="shared" si="42"/>
        <v/>
      </c>
    </row>
    <row r="77" spans="1:28">
      <c r="A77" s="5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15" t="str">
        <f t="shared" si="29"/>
        <v/>
      </c>
      <c r="P77" s="15" t="str">
        <f t="shared" si="30"/>
        <v/>
      </c>
      <c r="Q77" s="15" t="str">
        <f t="shared" si="31"/>
        <v/>
      </c>
      <c r="R77" s="15" t="str">
        <f t="shared" si="32"/>
        <v/>
      </c>
      <c r="S77" s="15" t="str">
        <f t="shared" si="33"/>
        <v/>
      </c>
      <c r="T77" s="15" t="str">
        <f t="shared" si="34"/>
        <v/>
      </c>
      <c r="U77" s="15" t="str">
        <f t="shared" si="35"/>
        <v/>
      </c>
      <c r="V77" s="15" t="str">
        <f t="shared" si="36"/>
        <v/>
      </c>
      <c r="W77" s="15" t="str">
        <f t="shared" si="37"/>
        <v/>
      </c>
      <c r="X77" s="15" t="str">
        <f t="shared" si="38"/>
        <v/>
      </c>
      <c r="Y77" s="15" t="str">
        <f t="shared" si="39"/>
        <v/>
      </c>
      <c r="Z77" s="5" t="e">
        <f t="shared" si="40"/>
        <v>#DIV/0!</v>
      </c>
      <c r="AA77" s="5" t="e">
        <f t="shared" si="41"/>
        <v>#DIV/0!</v>
      </c>
      <c r="AB77" s="5" t="str">
        <f t="shared" si="42"/>
        <v/>
      </c>
    </row>
    <row r="78" spans="1:28">
      <c r="A78" s="52"/>
      <c r="B78" s="52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15" t="str">
        <f t="shared" si="29"/>
        <v/>
      </c>
      <c r="P78" s="15" t="str">
        <f t="shared" si="30"/>
        <v/>
      </c>
      <c r="Q78" s="15" t="str">
        <f t="shared" si="31"/>
        <v/>
      </c>
      <c r="R78" s="15" t="str">
        <f t="shared" si="32"/>
        <v/>
      </c>
      <c r="S78" s="15" t="str">
        <f t="shared" si="33"/>
        <v/>
      </c>
      <c r="T78" s="15" t="str">
        <f t="shared" si="34"/>
        <v/>
      </c>
      <c r="U78" s="15" t="str">
        <f t="shared" si="35"/>
        <v/>
      </c>
      <c r="V78" s="15" t="str">
        <f t="shared" si="36"/>
        <v/>
      </c>
      <c r="W78" s="15" t="str">
        <f t="shared" si="37"/>
        <v/>
      </c>
      <c r="X78" s="15" t="str">
        <f t="shared" si="38"/>
        <v/>
      </c>
      <c r="Y78" s="15" t="str">
        <f t="shared" si="39"/>
        <v/>
      </c>
      <c r="Z78" s="5" t="e">
        <f t="shared" si="40"/>
        <v>#DIV/0!</v>
      </c>
      <c r="AA78" s="5" t="e">
        <f t="shared" si="41"/>
        <v>#DIV/0!</v>
      </c>
      <c r="AB78" s="5" t="str">
        <f t="shared" si="42"/>
        <v/>
      </c>
    </row>
    <row r="79" spans="1:28">
      <c r="A79" s="52"/>
      <c r="B79" s="52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15" t="str">
        <f t="shared" si="29"/>
        <v/>
      </c>
      <c r="P79" s="15" t="str">
        <f t="shared" si="30"/>
        <v/>
      </c>
      <c r="Q79" s="15" t="str">
        <f t="shared" si="31"/>
        <v/>
      </c>
      <c r="R79" s="15" t="str">
        <f t="shared" si="32"/>
        <v/>
      </c>
      <c r="S79" s="15" t="str">
        <f t="shared" si="33"/>
        <v/>
      </c>
      <c r="T79" s="15" t="str">
        <f t="shared" si="34"/>
        <v/>
      </c>
      <c r="U79" s="15" t="str">
        <f t="shared" si="35"/>
        <v/>
      </c>
      <c r="V79" s="15" t="str">
        <f t="shared" si="36"/>
        <v/>
      </c>
      <c r="W79" s="15" t="str">
        <f t="shared" si="37"/>
        <v/>
      </c>
      <c r="X79" s="15" t="str">
        <f t="shared" si="38"/>
        <v/>
      </c>
      <c r="Y79" s="15" t="str">
        <f t="shared" si="39"/>
        <v/>
      </c>
      <c r="Z79" s="5" t="e">
        <f t="shared" si="40"/>
        <v>#DIV/0!</v>
      </c>
      <c r="AA79" s="5" t="e">
        <f t="shared" si="41"/>
        <v>#DIV/0!</v>
      </c>
      <c r="AB79" s="5" t="str">
        <f t="shared" si="42"/>
        <v/>
      </c>
    </row>
    <row r="80" spans="1:28">
      <c r="A80" s="52"/>
      <c r="B80" s="52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15" t="str">
        <f t="shared" si="29"/>
        <v/>
      </c>
      <c r="P80" s="15" t="str">
        <f t="shared" si="30"/>
        <v/>
      </c>
      <c r="Q80" s="15" t="str">
        <f t="shared" si="31"/>
        <v/>
      </c>
      <c r="R80" s="15" t="str">
        <f t="shared" si="32"/>
        <v/>
      </c>
      <c r="S80" s="15" t="str">
        <f t="shared" si="33"/>
        <v/>
      </c>
      <c r="T80" s="15" t="str">
        <f t="shared" si="34"/>
        <v/>
      </c>
      <c r="U80" s="15" t="str">
        <f t="shared" si="35"/>
        <v/>
      </c>
      <c r="V80" s="15" t="str">
        <f t="shared" si="36"/>
        <v/>
      </c>
      <c r="W80" s="15" t="str">
        <f t="shared" si="37"/>
        <v/>
      </c>
      <c r="X80" s="15" t="str">
        <f t="shared" si="38"/>
        <v/>
      </c>
      <c r="Y80" s="15" t="str">
        <f t="shared" si="39"/>
        <v/>
      </c>
      <c r="Z80" s="5" t="e">
        <f t="shared" si="40"/>
        <v>#DIV/0!</v>
      </c>
      <c r="AA80" s="5" t="e">
        <f t="shared" si="41"/>
        <v>#DIV/0!</v>
      </c>
      <c r="AB80" s="5" t="str">
        <f t="shared" si="42"/>
        <v/>
      </c>
    </row>
    <row r="81" spans="1:28">
      <c r="A81" s="5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15" t="str">
        <f t="shared" si="29"/>
        <v/>
      </c>
      <c r="P81" s="15" t="str">
        <f t="shared" si="30"/>
        <v/>
      </c>
      <c r="Q81" s="15" t="str">
        <f t="shared" si="31"/>
        <v/>
      </c>
      <c r="R81" s="15" t="str">
        <f t="shared" si="32"/>
        <v/>
      </c>
      <c r="S81" s="15" t="str">
        <f t="shared" si="33"/>
        <v/>
      </c>
      <c r="T81" s="15" t="str">
        <f t="shared" si="34"/>
        <v/>
      </c>
      <c r="U81" s="15" t="str">
        <f t="shared" si="35"/>
        <v/>
      </c>
      <c r="V81" s="15" t="str">
        <f t="shared" si="36"/>
        <v/>
      </c>
      <c r="W81" s="15" t="str">
        <f t="shared" si="37"/>
        <v/>
      </c>
      <c r="X81" s="15" t="str">
        <f t="shared" si="38"/>
        <v/>
      </c>
      <c r="Y81" s="15" t="str">
        <f t="shared" si="39"/>
        <v/>
      </c>
      <c r="Z81" s="5" t="e">
        <f t="shared" si="40"/>
        <v>#DIV/0!</v>
      </c>
      <c r="AA81" s="5" t="e">
        <f t="shared" si="41"/>
        <v>#DIV/0!</v>
      </c>
      <c r="AB81" s="5" t="str">
        <f t="shared" si="42"/>
        <v/>
      </c>
    </row>
    <row r="82" spans="1:28">
      <c r="A82" s="52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15" t="str">
        <f t="shared" si="29"/>
        <v/>
      </c>
      <c r="P82" s="15" t="str">
        <f t="shared" si="30"/>
        <v/>
      </c>
      <c r="Q82" s="15" t="str">
        <f t="shared" si="31"/>
        <v/>
      </c>
      <c r="R82" s="15" t="str">
        <f t="shared" si="32"/>
        <v/>
      </c>
      <c r="S82" s="15" t="str">
        <f t="shared" si="33"/>
        <v/>
      </c>
      <c r="T82" s="15" t="str">
        <f t="shared" si="34"/>
        <v/>
      </c>
      <c r="U82" s="15" t="str">
        <f t="shared" si="35"/>
        <v/>
      </c>
      <c r="V82" s="15" t="str">
        <f t="shared" si="36"/>
        <v/>
      </c>
      <c r="W82" s="15" t="str">
        <f t="shared" si="37"/>
        <v/>
      </c>
      <c r="X82" s="15" t="str">
        <f t="shared" si="38"/>
        <v/>
      </c>
      <c r="Y82" s="15" t="str">
        <f t="shared" si="39"/>
        <v/>
      </c>
      <c r="Z82" s="5" t="e">
        <f t="shared" si="40"/>
        <v>#DIV/0!</v>
      </c>
      <c r="AA82" s="5" t="e">
        <f t="shared" si="41"/>
        <v>#DIV/0!</v>
      </c>
      <c r="AB82" s="5" t="str">
        <f t="shared" si="42"/>
        <v/>
      </c>
    </row>
    <row r="83" spans="1:28">
      <c r="A83" s="52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15" t="str">
        <f t="shared" si="29"/>
        <v/>
      </c>
      <c r="P83" s="15" t="str">
        <f t="shared" si="30"/>
        <v/>
      </c>
      <c r="Q83" s="15" t="str">
        <f t="shared" si="31"/>
        <v/>
      </c>
      <c r="R83" s="15" t="str">
        <f t="shared" si="32"/>
        <v/>
      </c>
      <c r="S83" s="15" t="str">
        <f t="shared" si="33"/>
        <v/>
      </c>
      <c r="T83" s="15" t="str">
        <f t="shared" si="34"/>
        <v/>
      </c>
      <c r="U83" s="15" t="str">
        <f t="shared" si="35"/>
        <v/>
      </c>
      <c r="V83" s="15" t="str">
        <f t="shared" si="36"/>
        <v/>
      </c>
      <c r="W83" s="15" t="str">
        <f t="shared" si="37"/>
        <v/>
      </c>
      <c r="X83" s="15" t="str">
        <f t="shared" si="38"/>
        <v/>
      </c>
      <c r="Y83" s="15" t="str">
        <f t="shared" si="39"/>
        <v/>
      </c>
      <c r="Z83" s="5" t="e">
        <f t="shared" si="40"/>
        <v>#DIV/0!</v>
      </c>
      <c r="AA83" s="5" t="e">
        <f t="shared" si="41"/>
        <v>#DIV/0!</v>
      </c>
      <c r="AB83" s="5" t="str">
        <f t="shared" si="42"/>
        <v/>
      </c>
    </row>
    <row r="84" spans="1:28">
      <c r="A84" s="52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15" t="str">
        <f t="shared" si="29"/>
        <v/>
      </c>
      <c r="P84" s="15" t="str">
        <f t="shared" si="30"/>
        <v/>
      </c>
      <c r="Q84" s="15" t="str">
        <f t="shared" si="31"/>
        <v/>
      </c>
      <c r="R84" s="15" t="str">
        <f t="shared" si="32"/>
        <v/>
      </c>
      <c r="S84" s="15" t="str">
        <f t="shared" si="33"/>
        <v/>
      </c>
      <c r="T84" s="15" t="str">
        <f t="shared" si="34"/>
        <v/>
      </c>
      <c r="U84" s="15" t="str">
        <f t="shared" si="35"/>
        <v/>
      </c>
      <c r="V84" s="15" t="str">
        <f t="shared" si="36"/>
        <v/>
      </c>
      <c r="W84" s="15" t="str">
        <f t="shared" si="37"/>
        <v/>
      </c>
      <c r="X84" s="15" t="str">
        <f t="shared" si="38"/>
        <v/>
      </c>
      <c r="Y84" s="15" t="str">
        <f t="shared" si="39"/>
        <v/>
      </c>
      <c r="Z84" s="5" t="e">
        <f t="shared" si="40"/>
        <v>#DIV/0!</v>
      </c>
      <c r="AA84" s="5" t="e">
        <f t="shared" si="41"/>
        <v>#DIV/0!</v>
      </c>
      <c r="AB84" s="5" t="str">
        <f t="shared" si="42"/>
        <v/>
      </c>
    </row>
    <row r="85" spans="1:28">
      <c r="A85" s="52"/>
      <c r="B85" s="52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15" t="str">
        <f t="shared" si="29"/>
        <v/>
      </c>
      <c r="P85" s="15" t="str">
        <f t="shared" si="30"/>
        <v/>
      </c>
      <c r="Q85" s="15" t="str">
        <f t="shared" si="31"/>
        <v/>
      </c>
      <c r="R85" s="15" t="str">
        <f t="shared" si="32"/>
        <v/>
      </c>
      <c r="S85" s="15" t="str">
        <f t="shared" si="33"/>
        <v/>
      </c>
      <c r="T85" s="15" t="str">
        <f t="shared" si="34"/>
        <v/>
      </c>
      <c r="U85" s="15" t="str">
        <f t="shared" si="35"/>
        <v/>
      </c>
      <c r="V85" s="15" t="str">
        <f t="shared" si="36"/>
        <v/>
      </c>
      <c r="W85" s="15" t="str">
        <f t="shared" si="37"/>
        <v/>
      </c>
      <c r="X85" s="15" t="str">
        <f t="shared" si="38"/>
        <v/>
      </c>
      <c r="Y85" s="15" t="str">
        <f t="shared" si="39"/>
        <v/>
      </c>
      <c r="Z85" s="5" t="e">
        <f t="shared" si="40"/>
        <v>#DIV/0!</v>
      </c>
      <c r="AA85" s="5" t="e">
        <f t="shared" si="41"/>
        <v>#DIV/0!</v>
      </c>
      <c r="AB85" s="5" t="str">
        <f t="shared" si="42"/>
        <v/>
      </c>
    </row>
    <row r="86" spans="1:28">
      <c r="A86" s="52"/>
      <c r="B86" s="52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15" t="str">
        <f t="shared" si="29"/>
        <v/>
      </c>
      <c r="P86" s="15" t="str">
        <f t="shared" si="30"/>
        <v/>
      </c>
      <c r="Q86" s="15" t="str">
        <f t="shared" si="31"/>
        <v/>
      </c>
      <c r="R86" s="15" t="str">
        <f t="shared" si="32"/>
        <v/>
      </c>
      <c r="S86" s="15" t="str">
        <f t="shared" si="33"/>
        <v/>
      </c>
      <c r="T86" s="15" t="str">
        <f t="shared" si="34"/>
        <v/>
      </c>
      <c r="U86" s="15" t="str">
        <f t="shared" si="35"/>
        <v/>
      </c>
      <c r="V86" s="15" t="str">
        <f t="shared" si="36"/>
        <v/>
      </c>
      <c r="W86" s="15" t="str">
        <f t="shared" si="37"/>
        <v/>
      </c>
      <c r="X86" s="15" t="str">
        <f t="shared" si="38"/>
        <v/>
      </c>
      <c r="Y86" s="15" t="str">
        <f t="shared" si="39"/>
        <v/>
      </c>
      <c r="Z86" s="5" t="e">
        <f t="shared" si="40"/>
        <v>#DIV/0!</v>
      </c>
      <c r="AA86" s="5" t="e">
        <f t="shared" si="41"/>
        <v>#DIV/0!</v>
      </c>
      <c r="AB86" s="5" t="str">
        <f t="shared" si="42"/>
        <v/>
      </c>
    </row>
    <row r="87" spans="1:28">
      <c r="A87" s="52"/>
      <c r="B87" s="52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15" t="str">
        <f t="shared" si="29"/>
        <v/>
      </c>
      <c r="P87" s="15" t="str">
        <f t="shared" si="30"/>
        <v/>
      </c>
      <c r="Q87" s="15" t="str">
        <f t="shared" si="31"/>
        <v/>
      </c>
      <c r="R87" s="15" t="str">
        <f t="shared" si="32"/>
        <v/>
      </c>
      <c r="S87" s="15" t="str">
        <f t="shared" si="33"/>
        <v/>
      </c>
      <c r="T87" s="15" t="str">
        <f t="shared" si="34"/>
        <v/>
      </c>
      <c r="U87" s="15" t="str">
        <f t="shared" si="35"/>
        <v/>
      </c>
      <c r="V87" s="15" t="str">
        <f t="shared" si="36"/>
        <v/>
      </c>
      <c r="W87" s="15" t="str">
        <f t="shared" si="37"/>
        <v/>
      </c>
      <c r="X87" s="15" t="str">
        <f t="shared" si="38"/>
        <v/>
      </c>
      <c r="Y87" s="15" t="str">
        <f t="shared" si="39"/>
        <v/>
      </c>
      <c r="Z87" s="5" t="e">
        <f t="shared" si="40"/>
        <v>#DIV/0!</v>
      </c>
      <c r="AA87" s="5" t="e">
        <f t="shared" si="41"/>
        <v>#DIV/0!</v>
      </c>
      <c r="AB87" s="5" t="str">
        <f t="shared" si="42"/>
        <v/>
      </c>
    </row>
    <row r="88" spans="1:28">
      <c r="A88" s="52"/>
      <c r="B88" s="52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15" t="str">
        <f t="shared" si="29"/>
        <v/>
      </c>
      <c r="P88" s="15" t="str">
        <f t="shared" si="30"/>
        <v/>
      </c>
      <c r="Q88" s="15" t="str">
        <f t="shared" si="31"/>
        <v/>
      </c>
      <c r="R88" s="15" t="str">
        <f t="shared" si="32"/>
        <v/>
      </c>
      <c r="S88" s="15" t="str">
        <f t="shared" si="33"/>
        <v/>
      </c>
      <c r="T88" s="15" t="str">
        <f t="shared" si="34"/>
        <v/>
      </c>
      <c r="U88" s="15" t="str">
        <f t="shared" si="35"/>
        <v/>
      </c>
      <c r="V88" s="15" t="str">
        <f t="shared" si="36"/>
        <v/>
      </c>
      <c r="W88" s="15" t="str">
        <f t="shared" si="37"/>
        <v/>
      </c>
      <c r="X88" s="15" t="str">
        <f t="shared" si="38"/>
        <v/>
      </c>
      <c r="Y88" s="15" t="str">
        <f t="shared" si="39"/>
        <v/>
      </c>
      <c r="Z88" s="5" t="e">
        <f t="shared" si="40"/>
        <v>#DIV/0!</v>
      </c>
      <c r="AA88" s="5" t="e">
        <f t="shared" si="41"/>
        <v>#DIV/0!</v>
      </c>
      <c r="AB88" s="5" t="str">
        <f t="shared" si="42"/>
        <v/>
      </c>
    </row>
    <row r="89" spans="1:28">
      <c r="A89" s="52"/>
      <c r="B89" s="52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15" t="str">
        <f t="shared" si="29"/>
        <v/>
      </c>
      <c r="P89" s="15" t="str">
        <f t="shared" si="30"/>
        <v/>
      </c>
      <c r="Q89" s="15" t="str">
        <f t="shared" si="31"/>
        <v/>
      </c>
      <c r="R89" s="15" t="str">
        <f t="shared" si="32"/>
        <v/>
      </c>
      <c r="S89" s="15" t="str">
        <f t="shared" si="33"/>
        <v/>
      </c>
      <c r="T89" s="15" t="str">
        <f t="shared" si="34"/>
        <v/>
      </c>
      <c r="U89" s="15" t="str">
        <f t="shared" si="35"/>
        <v/>
      </c>
      <c r="V89" s="15" t="str">
        <f t="shared" si="36"/>
        <v/>
      </c>
      <c r="W89" s="15" t="str">
        <f t="shared" si="37"/>
        <v/>
      </c>
      <c r="X89" s="15" t="str">
        <f t="shared" si="38"/>
        <v/>
      </c>
      <c r="Y89" s="15" t="str">
        <f t="shared" si="39"/>
        <v/>
      </c>
      <c r="Z89" s="5" t="e">
        <f t="shared" si="40"/>
        <v>#DIV/0!</v>
      </c>
      <c r="AA89" s="5" t="e">
        <f t="shared" si="41"/>
        <v>#DIV/0!</v>
      </c>
      <c r="AB89" s="5" t="str">
        <f t="shared" si="42"/>
        <v/>
      </c>
    </row>
    <row r="90" spans="1:28">
      <c r="A90" s="52"/>
      <c r="B90" s="52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15" t="str">
        <f t="shared" si="29"/>
        <v/>
      </c>
      <c r="P90" s="15" t="str">
        <f t="shared" si="30"/>
        <v/>
      </c>
      <c r="Q90" s="15" t="str">
        <f t="shared" si="31"/>
        <v/>
      </c>
      <c r="R90" s="15" t="str">
        <f t="shared" si="32"/>
        <v/>
      </c>
      <c r="S90" s="15" t="str">
        <f t="shared" si="33"/>
        <v/>
      </c>
      <c r="T90" s="15" t="str">
        <f t="shared" si="34"/>
        <v/>
      </c>
      <c r="U90" s="15" t="str">
        <f t="shared" si="35"/>
        <v/>
      </c>
      <c r="V90" s="15" t="str">
        <f t="shared" si="36"/>
        <v/>
      </c>
      <c r="W90" s="15" t="str">
        <f t="shared" si="37"/>
        <v/>
      </c>
      <c r="X90" s="15" t="str">
        <f t="shared" si="38"/>
        <v/>
      </c>
      <c r="Y90" s="15" t="str">
        <f t="shared" si="39"/>
        <v/>
      </c>
      <c r="Z90" s="5" t="e">
        <f t="shared" si="40"/>
        <v>#DIV/0!</v>
      </c>
      <c r="AA90" s="5" t="e">
        <f t="shared" si="41"/>
        <v>#DIV/0!</v>
      </c>
      <c r="AB90" s="5" t="str">
        <f t="shared" si="42"/>
        <v/>
      </c>
    </row>
    <row r="91" spans="1:28">
      <c r="A91" s="52"/>
      <c r="B91" s="52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15" t="str">
        <f t="shared" si="29"/>
        <v/>
      </c>
      <c r="P91" s="15" t="str">
        <f t="shared" si="30"/>
        <v/>
      </c>
      <c r="Q91" s="15" t="str">
        <f t="shared" si="31"/>
        <v/>
      </c>
      <c r="R91" s="15" t="str">
        <f t="shared" si="32"/>
        <v/>
      </c>
      <c r="S91" s="15" t="str">
        <f t="shared" si="33"/>
        <v/>
      </c>
      <c r="T91" s="15" t="str">
        <f t="shared" si="34"/>
        <v/>
      </c>
      <c r="U91" s="15" t="str">
        <f t="shared" si="35"/>
        <v/>
      </c>
      <c r="V91" s="15" t="str">
        <f t="shared" si="36"/>
        <v/>
      </c>
      <c r="W91" s="15" t="str">
        <f t="shared" si="37"/>
        <v/>
      </c>
      <c r="X91" s="15" t="str">
        <f t="shared" si="38"/>
        <v/>
      </c>
      <c r="Y91" s="15" t="str">
        <f t="shared" si="39"/>
        <v/>
      </c>
      <c r="Z91" s="5" t="e">
        <f t="shared" si="40"/>
        <v>#DIV/0!</v>
      </c>
      <c r="AA91" s="5" t="e">
        <f t="shared" si="41"/>
        <v>#DIV/0!</v>
      </c>
      <c r="AB91" s="5" t="str">
        <f t="shared" si="42"/>
        <v/>
      </c>
    </row>
    <row r="92" spans="1:28">
      <c r="A92" s="52"/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15" t="str">
        <f t="shared" si="29"/>
        <v/>
      </c>
      <c r="P92" s="15" t="str">
        <f t="shared" si="30"/>
        <v/>
      </c>
      <c r="Q92" s="15" t="str">
        <f t="shared" si="31"/>
        <v/>
      </c>
      <c r="R92" s="15" t="str">
        <f t="shared" si="32"/>
        <v/>
      </c>
      <c r="S92" s="15" t="str">
        <f t="shared" si="33"/>
        <v/>
      </c>
      <c r="T92" s="15" t="str">
        <f t="shared" si="34"/>
        <v/>
      </c>
      <c r="U92" s="15" t="str">
        <f t="shared" si="35"/>
        <v/>
      </c>
      <c r="V92" s="15" t="str">
        <f t="shared" si="36"/>
        <v/>
      </c>
      <c r="W92" s="15" t="str">
        <f t="shared" si="37"/>
        <v/>
      </c>
      <c r="X92" s="15" t="str">
        <f t="shared" si="38"/>
        <v/>
      </c>
      <c r="Y92" s="15" t="str">
        <f t="shared" si="39"/>
        <v/>
      </c>
      <c r="Z92" s="5" t="e">
        <f t="shared" si="40"/>
        <v>#DIV/0!</v>
      </c>
      <c r="AA92" s="5" t="e">
        <f t="shared" si="41"/>
        <v>#DIV/0!</v>
      </c>
      <c r="AB92" s="5" t="str">
        <f t="shared" si="42"/>
        <v/>
      </c>
    </row>
    <row r="93" spans="1:28">
      <c r="A93" s="52"/>
      <c r="B93" s="52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15" t="str">
        <f t="shared" si="29"/>
        <v/>
      </c>
      <c r="P93" s="15" t="str">
        <f t="shared" si="30"/>
        <v/>
      </c>
      <c r="Q93" s="15" t="str">
        <f t="shared" si="31"/>
        <v/>
      </c>
      <c r="R93" s="15" t="str">
        <f t="shared" si="32"/>
        <v/>
      </c>
      <c r="S93" s="15" t="str">
        <f t="shared" si="33"/>
        <v/>
      </c>
      <c r="T93" s="15" t="str">
        <f t="shared" si="34"/>
        <v/>
      </c>
      <c r="U93" s="15" t="str">
        <f t="shared" si="35"/>
        <v/>
      </c>
      <c r="V93" s="15" t="str">
        <f t="shared" si="36"/>
        <v/>
      </c>
      <c r="W93" s="15" t="str">
        <f t="shared" si="37"/>
        <v/>
      </c>
      <c r="X93" s="15" t="str">
        <f t="shared" si="38"/>
        <v/>
      </c>
      <c r="Y93" s="15" t="str">
        <f t="shared" si="39"/>
        <v/>
      </c>
      <c r="Z93" s="5" t="e">
        <f t="shared" si="40"/>
        <v>#DIV/0!</v>
      </c>
      <c r="AA93" s="5" t="e">
        <f t="shared" si="41"/>
        <v>#DIV/0!</v>
      </c>
      <c r="AB93" s="5" t="str">
        <f t="shared" si="42"/>
        <v/>
      </c>
    </row>
    <row r="94" spans="1:28">
      <c r="A94" s="52"/>
      <c r="B94" s="52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15" t="str">
        <f t="shared" si="29"/>
        <v/>
      </c>
      <c r="P94" s="15" t="str">
        <f t="shared" si="30"/>
        <v/>
      </c>
      <c r="Q94" s="15" t="str">
        <f t="shared" si="31"/>
        <v/>
      </c>
      <c r="R94" s="15" t="str">
        <f t="shared" si="32"/>
        <v/>
      </c>
      <c r="S94" s="15" t="str">
        <f t="shared" si="33"/>
        <v/>
      </c>
      <c r="T94" s="15" t="str">
        <f t="shared" si="34"/>
        <v/>
      </c>
      <c r="U94" s="15" t="str">
        <f t="shared" si="35"/>
        <v/>
      </c>
      <c r="V94" s="15" t="str">
        <f t="shared" si="36"/>
        <v/>
      </c>
      <c r="W94" s="15" t="str">
        <f t="shared" si="37"/>
        <v/>
      </c>
      <c r="X94" s="15" t="str">
        <f t="shared" si="38"/>
        <v/>
      </c>
      <c r="Y94" s="15" t="str">
        <f t="shared" si="39"/>
        <v/>
      </c>
      <c r="Z94" s="5" t="e">
        <f t="shared" si="40"/>
        <v>#DIV/0!</v>
      </c>
      <c r="AA94" s="5" t="e">
        <f t="shared" si="41"/>
        <v>#DIV/0!</v>
      </c>
      <c r="AB94" s="5" t="str">
        <f t="shared" si="42"/>
        <v/>
      </c>
    </row>
    <row r="95" spans="1:28">
      <c r="A95" s="52"/>
      <c r="B95" s="52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15" t="str">
        <f t="shared" si="29"/>
        <v/>
      </c>
      <c r="P95" s="15" t="str">
        <f t="shared" si="30"/>
        <v/>
      </c>
      <c r="Q95" s="15" t="str">
        <f t="shared" si="31"/>
        <v/>
      </c>
      <c r="R95" s="15" t="str">
        <f t="shared" si="32"/>
        <v/>
      </c>
      <c r="S95" s="15" t="str">
        <f t="shared" si="33"/>
        <v/>
      </c>
      <c r="T95" s="15" t="str">
        <f t="shared" si="34"/>
        <v/>
      </c>
      <c r="U95" s="15" t="str">
        <f t="shared" si="35"/>
        <v/>
      </c>
      <c r="V95" s="15" t="str">
        <f t="shared" si="36"/>
        <v/>
      </c>
      <c r="W95" s="15" t="str">
        <f t="shared" si="37"/>
        <v/>
      </c>
      <c r="X95" s="15" t="str">
        <f t="shared" si="38"/>
        <v/>
      </c>
      <c r="Y95" s="15" t="str">
        <f t="shared" si="39"/>
        <v/>
      </c>
      <c r="Z95" s="5" t="e">
        <f t="shared" si="40"/>
        <v>#DIV/0!</v>
      </c>
      <c r="AA95" s="5" t="e">
        <f t="shared" si="41"/>
        <v>#DIV/0!</v>
      </c>
      <c r="AB95" s="5" t="str">
        <f t="shared" si="42"/>
        <v/>
      </c>
    </row>
    <row r="96" spans="1:28">
      <c r="A96" s="52"/>
      <c r="B96" s="52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15" t="str">
        <f t="shared" si="29"/>
        <v/>
      </c>
      <c r="P96" s="15" t="str">
        <f t="shared" si="30"/>
        <v/>
      </c>
      <c r="Q96" s="15" t="str">
        <f t="shared" si="31"/>
        <v/>
      </c>
      <c r="R96" s="15" t="str">
        <f t="shared" si="32"/>
        <v/>
      </c>
      <c r="S96" s="15" t="str">
        <f t="shared" si="33"/>
        <v/>
      </c>
      <c r="T96" s="15" t="str">
        <f t="shared" si="34"/>
        <v/>
      </c>
      <c r="U96" s="15" t="str">
        <f t="shared" si="35"/>
        <v/>
      </c>
      <c r="V96" s="15" t="str">
        <f t="shared" si="36"/>
        <v/>
      </c>
      <c r="W96" s="15" t="str">
        <f t="shared" si="37"/>
        <v/>
      </c>
      <c r="X96" s="15" t="str">
        <f t="shared" si="38"/>
        <v/>
      </c>
      <c r="Y96" s="15" t="str">
        <f t="shared" si="39"/>
        <v/>
      </c>
      <c r="Z96" s="5" t="e">
        <f t="shared" si="40"/>
        <v>#DIV/0!</v>
      </c>
      <c r="AA96" s="5" t="e">
        <f t="shared" si="41"/>
        <v>#DIV/0!</v>
      </c>
      <c r="AB96" s="5" t="str">
        <f t="shared" si="42"/>
        <v/>
      </c>
    </row>
    <row r="97" spans="1:28">
      <c r="A97" s="52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15" t="str">
        <f t="shared" si="29"/>
        <v/>
      </c>
      <c r="P97" s="15" t="str">
        <f t="shared" si="30"/>
        <v/>
      </c>
      <c r="Q97" s="15" t="str">
        <f t="shared" si="31"/>
        <v/>
      </c>
      <c r="R97" s="15" t="str">
        <f t="shared" si="32"/>
        <v/>
      </c>
      <c r="S97" s="15" t="str">
        <f t="shared" si="33"/>
        <v/>
      </c>
      <c r="T97" s="15" t="str">
        <f t="shared" si="34"/>
        <v/>
      </c>
      <c r="U97" s="15" t="str">
        <f t="shared" si="35"/>
        <v/>
      </c>
      <c r="V97" s="15" t="str">
        <f t="shared" si="36"/>
        <v/>
      </c>
      <c r="W97" s="15" t="str">
        <f t="shared" si="37"/>
        <v/>
      </c>
      <c r="X97" s="15" t="str">
        <f t="shared" si="38"/>
        <v/>
      </c>
      <c r="Y97" s="15" t="str">
        <f t="shared" si="39"/>
        <v/>
      </c>
      <c r="Z97" s="5" t="e">
        <f t="shared" si="40"/>
        <v>#DIV/0!</v>
      </c>
      <c r="AA97" s="5" t="e">
        <f t="shared" si="41"/>
        <v>#DIV/0!</v>
      </c>
      <c r="AB97" s="5" t="str">
        <f t="shared" si="42"/>
        <v/>
      </c>
    </row>
    <row r="98" spans="1:28">
      <c r="A98" s="52"/>
      <c r="B98" s="52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15" t="str">
        <f t="shared" si="29"/>
        <v/>
      </c>
      <c r="P98" s="15" t="str">
        <f t="shared" si="30"/>
        <v/>
      </c>
      <c r="Q98" s="15" t="str">
        <f t="shared" si="31"/>
        <v/>
      </c>
      <c r="R98" s="15" t="str">
        <f t="shared" si="32"/>
        <v/>
      </c>
      <c r="S98" s="15" t="str">
        <f t="shared" si="33"/>
        <v/>
      </c>
      <c r="T98" s="15" t="str">
        <f t="shared" si="34"/>
        <v/>
      </c>
      <c r="U98" s="15" t="str">
        <f t="shared" si="35"/>
        <v/>
      </c>
      <c r="V98" s="15" t="str">
        <f t="shared" si="36"/>
        <v/>
      </c>
      <c r="W98" s="15" t="str">
        <f t="shared" si="37"/>
        <v/>
      </c>
      <c r="X98" s="15" t="str">
        <f t="shared" si="38"/>
        <v/>
      </c>
      <c r="Y98" s="15" t="str">
        <f t="shared" si="39"/>
        <v/>
      </c>
      <c r="Z98" s="5" t="e">
        <f t="shared" si="40"/>
        <v>#DIV/0!</v>
      </c>
      <c r="AA98" s="5" t="e">
        <f t="shared" si="41"/>
        <v>#DIV/0!</v>
      </c>
      <c r="AB98" s="5" t="str">
        <f t="shared" si="42"/>
        <v/>
      </c>
    </row>
    <row r="99" spans="1:28">
      <c r="A99" s="52"/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15" t="str">
        <f t="shared" si="29"/>
        <v/>
      </c>
      <c r="P99" s="15" t="str">
        <f t="shared" si="30"/>
        <v/>
      </c>
      <c r="Q99" s="15" t="str">
        <f t="shared" si="31"/>
        <v/>
      </c>
      <c r="R99" s="15" t="str">
        <f t="shared" si="32"/>
        <v/>
      </c>
      <c r="S99" s="15" t="str">
        <f t="shared" si="33"/>
        <v/>
      </c>
      <c r="T99" s="15" t="str">
        <f t="shared" si="34"/>
        <v/>
      </c>
      <c r="U99" s="15" t="str">
        <f t="shared" si="35"/>
        <v/>
      </c>
      <c r="V99" s="15" t="str">
        <f t="shared" si="36"/>
        <v/>
      </c>
      <c r="W99" s="15" t="str">
        <f t="shared" si="37"/>
        <v/>
      </c>
      <c r="X99" s="15" t="str">
        <f t="shared" si="38"/>
        <v/>
      </c>
      <c r="Y99" s="15" t="str">
        <f t="shared" si="39"/>
        <v/>
      </c>
      <c r="Z99" s="5" t="e">
        <f t="shared" si="40"/>
        <v>#DIV/0!</v>
      </c>
      <c r="AA99" s="5" t="e">
        <f t="shared" si="41"/>
        <v>#DIV/0!</v>
      </c>
      <c r="AB99" s="5" t="str">
        <f t="shared" si="42"/>
        <v/>
      </c>
    </row>
    <row r="100" spans="1:28">
      <c r="A100" s="52"/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15" t="str">
        <f t="shared" si="29"/>
        <v/>
      </c>
      <c r="P100" s="15" t="str">
        <f t="shared" si="30"/>
        <v/>
      </c>
      <c r="Q100" s="15" t="str">
        <f t="shared" si="31"/>
        <v/>
      </c>
      <c r="R100" s="15" t="str">
        <f t="shared" si="32"/>
        <v/>
      </c>
      <c r="S100" s="15" t="str">
        <f t="shared" si="33"/>
        <v/>
      </c>
      <c r="T100" s="15" t="str">
        <f t="shared" si="34"/>
        <v/>
      </c>
      <c r="U100" s="15" t="str">
        <f t="shared" si="35"/>
        <v/>
      </c>
      <c r="V100" s="15" t="str">
        <f t="shared" si="36"/>
        <v/>
      </c>
      <c r="W100" s="15" t="str">
        <f t="shared" si="37"/>
        <v/>
      </c>
      <c r="X100" s="15" t="str">
        <f t="shared" si="38"/>
        <v/>
      </c>
      <c r="Y100" s="15" t="str">
        <f t="shared" si="39"/>
        <v/>
      </c>
      <c r="Z100" s="5" t="e">
        <f t="shared" ref="Z100:Z103" si="43">AVERAGE(O100:Y100)</f>
        <v>#DIV/0!</v>
      </c>
      <c r="AA100" s="5" t="e">
        <f t="shared" ref="AA100:AA103" si="44">IF(Z100=0,0,IF(Z100&lt;0,IF(C100&lt;&gt;"",(O100/Z100)-1,(P100/Z100)-1),IF(C100&lt;&gt;"",IF(O100&lt;0,((O100/Z100)-1)*-1,-99.99999),IF(P100&lt;0,((P100/Z100)-1)*-1,-99.99999))))</f>
        <v>#DIV/0!</v>
      </c>
      <c r="AB100" s="5" t="str">
        <f t="shared" si="42"/>
        <v/>
      </c>
    </row>
    <row r="101" spans="1:28">
      <c r="A101" s="52"/>
      <c r="B101" s="52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15" t="str">
        <f t="shared" si="29"/>
        <v/>
      </c>
      <c r="P101" s="15" t="str">
        <f t="shared" si="30"/>
        <v/>
      </c>
      <c r="Q101" s="15" t="str">
        <f t="shared" si="31"/>
        <v/>
      </c>
      <c r="R101" s="15" t="str">
        <f t="shared" si="32"/>
        <v/>
      </c>
      <c r="S101" s="15" t="str">
        <f t="shared" si="33"/>
        <v/>
      </c>
      <c r="T101" s="15" t="str">
        <f t="shared" si="34"/>
        <v/>
      </c>
      <c r="U101" s="15" t="str">
        <f t="shared" si="35"/>
        <v/>
      </c>
      <c r="V101" s="15" t="str">
        <f t="shared" si="36"/>
        <v/>
      </c>
      <c r="W101" s="15" t="str">
        <f t="shared" si="37"/>
        <v/>
      </c>
      <c r="X101" s="15" t="str">
        <f t="shared" si="38"/>
        <v/>
      </c>
      <c r="Y101" s="15" t="str">
        <f t="shared" si="39"/>
        <v/>
      </c>
      <c r="Z101" s="5" t="e">
        <f t="shared" si="43"/>
        <v>#DIV/0!</v>
      </c>
      <c r="AA101" s="5" t="e">
        <f t="shared" si="44"/>
        <v>#DIV/0!</v>
      </c>
      <c r="AB101" s="5" t="str">
        <f t="shared" si="42"/>
        <v/>
      </c>
    </row>
    <row r="102" spans="1:28">
      <c r="A102" s="52"/>
      <c r="B102" s="52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15" t="str">
        <f t="shared" si="29"/>
        <v/>
      </c>
      <c r="P102" s="15" t="str">
        <f t="shared" si="30"/>
        <v/>
      </c>
      <c r="Q102" s="15" t="str">
        <f t="shared" si="31"/>
        <v/>
      </c>
      <c r="R102" s="15" t="str">
        <f t="shared" si="32"/>
        <v/>
      </c>
      <c r="S102" s="15" t="str">
        <f t="shared" si="33"/>
        <v/>
      </c>
      <c r="T102" s="15" t="str">
        <f t="shared" si="34"/>
        <v/>
      </c>
      <c r="U102" s="15" t="str">
        <f t="shared" si="35"/>
        <v/>
      </c>
      <c r="V102" s="15" t="str">
        <f t="shared" si="36"/>
        <v/>
      </c>
      <c r="W102" s="15" t="str">
        <f t="shared" si="37"/>
        <v/>
      </c>
      <c r="X102" s="15" t="str">
        <f t="shared" si="38"/>
        <v/>
      </c>
      <c r="Y102" s="15" t="str">
        <f t="shared" si="39"/>
        <v/>
      </c>
      <c r="Z102" s="5" t="e">
        <f t="shared" si="43"/>
        <v>#DIV/0!</v>
      </c>
      <c r="AA102" s="5" t="e">
        <f t="shared" si="44"/>
        <v>#DIV/0!</v>
      </c>
      <c r="AB102" s="5" t="str">
        <f t="shared" si="42"/>
        <v/>
      </c>
    </row>
    <row r="103" spans="1:28">
      <c r="A103" s="52"/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15" t="str">
        <f t="shared" si="29"/>
        <v/>
      </c>
      <c r="P103" s="15" t="str">
        <f t="shared" si="30"/>
        <v/>
      </c>
      <c r="Q103" s="15" t="str">
        <f t="shared" si="31"/>
        <v/>
      </c>
      <c r="R103" s="15" t="str">
        <f t="shared" si="32"/>
        <v/>
      </c>
      <c r="S103" s="15" t="str">
        <f t="shared" si="33"/>
        <v/>
      </c>
      <c r="T103" s="15" t="str">
        <f t="shared" si="34"/>
        <v/>
      </c>
      <c r="U103" s="15" t="str">
        <f t="shared" si="35"/>
        <v/>
      </c>
      <c r="V103" s="15" t="str">
        <f t="shared" si="36"/>
        <v/>
      </c>
      <c r="W103" s="15" t="str">
        <f t="shared" si="37"/>
        <v/>
      </c>
      <c r="X103" s="15" t="str">
        <f t="shared" si="38"/>
        <v/>
      </c>
      <c r="Y103" s="15" t="str">
        <f t="shared" si="39"/>
        <v/>
      </c>
      <c r="Z103" s="5" t="e">
        <f t="shared" si="43"/>
        <v>#DIV/0!</v>
      </c>
      <c r="AA103" s="5" t="e">
        <f t="shared" si="44"/>
        <v>#DIV/0!</v>
      </c>
      <c r="AB103" s="5" t="str">
        <f t="shared" si="42"/>
        <v/>
      </c>
    </row>
  </sheetData>
  <autoFilter ref="A3:AB3">
    <sortState ref="A4:AB103">
      <sortCondition ref="B3"/>
    </sortState>
  </autoFilter>
  <mergeCells count="1">
    <mergeCell ref="O1:X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5.140625" customWidth="1"/>
    <col min="4" max="4" width="14.7109375" bestFit="1" customWidth="1"/>
    <col min="5" max="5" width="15.140625" customWidth="1"/>
    <col min="6" max="6" width="14.42578125" customWidth="1"/>
    <col min="7" max="14" width="14.85546875" customWidth="1"/>
    <col min="15" max="15" width="15.85546875" customWidth="1"/>
    <col min="16" max="16" width="14.7109375" bestFit="1" customWidth="1"/>
    <col min="17" max="17" width="18" customWidth="1"/>
    <col min="18" max="18" width="30.140625" customWidth="1"/>
  </cols>
  <sheetData>
    <row r="1" spans="1:18">
      <c r="A1" s="1"/>
      <c r="B1" s="3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37"/>
      <c r="Q1" s="1"/>
      <c r="R1" s="1"/>
    </row>
    <row r="2" spans="1:18">
      <c r="A2" s="1"/>
      <c r="B2" s="37"/>
      <c r="C2" s="37">
        <v>2018</v>
      </c>
      <c r="D2" s="37">
        <v>2017</v>
      </c>
      <c r="E2" s="37">
        <v>2016</v>
      </c>
      <c r="F2" s="37">
        <v>2015</v>
      </c>
      <c r="G2" s="37">
        <v>2014</v>
      </c>
      <c r="H2" s="37">
        <v>2013</v>
      </c>
      <c r="I2" s="37">
        <v>2012</v>
      </c>
      <c r="J2" s="37">
        <v>2011</v>
      </c>
      <c r="K2" s="37">
        <v>2010</v>
      </c>
      <c r="L2" s="37">
        <v>2009</v>
      </c>
      <c r="M2" s="37">
        <v>2008</v>
      </c>
      <c r="N2" s="37">
        <v>2007</v>
      </c>
      <c r="O2" s="37">
        <v>2006</v>
      </c>
      <c r="P2" s="37"/>
      <c r="Q2" s="1"/>
      <c r="R2" s="1"/>
    </row>
    <row r="3" spans="1:18">
      <c r="A3" s="1" t="s">
        <v>0</v>
      </c>
      <c r="B3" s="37" t="s">
        <v>1</v>
      </c>
      <c r="C3" s="37" t="s">
        <v>163</v>
      </c>
      <c r="D3" s="37" t="s">
        <v>106</v>
      </c>
      <c r="E3" s="37" t="s">
        <v>107</v>
      </c>
      <c r="F3" s="37" t="s">
        <v>96</v>
      </c>
      <c r="G3" s="37" t="s">
        <v>97</v>
      </c>
      <c r="H3" s="37" t="s">
        <v>98</v>
      </c>
      <c r="I3" s="37" t="s">
        <v>99</v>
      </c>
      <c r="J3" s="37" t="s">
        <v>100</v>
      </c>
      <c r="K3" s="37" t="s">
        <v>101</v>
      </c>
      <c r="L3" s="37" t="s">
        <v>102</v>
      </c>
      <c r="M3" s="37" t="s">
        <v>103</v>
      </c>
      <c r="N3" s="37" t="s">
        <v>104</v>
      </c>
      <c r="O3" s="37" t="s">
        <v>105</v>
      </c>
      <c r="P3" s="37" t="s">
        <v>108</v>
      </c>
      <c r="Q3" s="1" t="s">
        <v>152</v>
      </c>
      <c r="R3" s="1" t="s">
        <v>110</v>
      </c>
    </row>
    <row r="4" spans="1:18">
      <c r="A4" t="s">
        <v>78</v>
      </c>
      <c r="B4" s="38" t="s">
        <v>159</v>
      </c>
      <c r="C4" s="70">
        <f>IF(VLOOKUP(A4,Ergebnis_je_Aktie_verwässert!A$3:AJ$103,6,FALSE)&gt;0,IF(VLOOKUP(A4,Schlußkurse!A$5:AU$105,35,FALSE) &gt;0,VLOOKUP(A4,Schlußkurse!A$5:AU$105,35,FALSE) /VLOOKUP(A4,Ergebnis_je_Aktie_verwässert!A$3:AJ$103,6,FALSE),""),"")</f>
        <v>19.727608544600937</v>
      </c>
      <c r="D4" s="70">
        <f>IF(VLOOKUP(A4,Ergebnis_je_Aktie_verwässert!A$3:AJ$103,7,FALSE)&gt;0,IF(VLOOKUP(A4,Schlußkurse!A$5:AU$105,36,FALSE) &gt;0,VLOOKUP(A4,Schlußkurse!A$5:AU$105,36,FALSE)/VLOOKUP(A4,Ergebnis_je_Aktie_verwässert!A$3:AJ$103,7,FALSE),""),"")</f>
        <v>22.350960744680847</v>
      </c>
      <c r="E4" s="70">
        <f>IF(VLOOKUP(A4,Ergebnis_je_Aktie_verwässert!A$3:AJ$103,8,FALSE)&gt;0,IF(VLOOKUP(A4,Schlußkurse!A$5:AU$105,37,FALSE) &gt;0,VLOOKUP(A4,Schlußkurse!A$5:AU$105,37,FALSE)/VLOOKUP(A4,Ergebnis_je_Aktie_verwässert!A$3:AJ$103,8,FALSE),""),"")</f>
        <v>24.993757834394906</v>
      </c>
      <c r="F4" s="70">
        <f>IF(VLOOKUP(A4,Ergebnis_je_Aktie_verwässert!A$3:AJ$103,9,FALSE)&gt;0,IF(VLOOKUP(A4,Schlußkurse!A$5:AU$105,38,FALSE) &gt;0,VLOOKUP(A4,Schlußkurse!A$5:AU$105,38,FALSE)/VLOOKUP(A4,Ergebnis_je_Aktie_verwässert!A$3:AJ$103,9,FALSE),""),"")</f>
        <v>22.175206611570246</v>
      </c>
      <c r="G4" s="70">
        <f>IF(VLOOKUP(A4,Ergebnis_je_Aktie_verwässert!A$3:AJ$103,10,FALSE)&gt;0,IF(VLOOKUP(A4,Schlußkurse!A$5:AU$105,39,FALSE) &gt;0,VLOOKUP(A4,Schlußkurse!A$5:AU$105,39,FALSE)/VLOOKUP(A4,Ergebnis_je_Aktie_verwässert!A$3:AJ$103,10,FALSE),""),"")</f>
        <v>22.664181818181813</v>
      </c>
      <c r="H4" s="70">
        <f>IF(VLOOKUP(A4,Ergebnis_je_Aktie_verwässert!A$3:AJ$103,11,FALSE)&gt;0,IF(VLOOKUP(A4,Schlußkurse!A$5:AU$105,40,FALSE) &gt;0,VLOOKUP(A4,Schlußkurse!A$5:AU$105,40,FALSE)/VLOOKUP(A4,Ergebnis_je_Aktie_verwässert!A$3:AJ$103,11,FALSE),""),"")</f>
        <v>22.519714285714286</v>
      </c>
      <c r="I4" s="70">
        <f>IF(VLOOKUP(A4,Ergebnis_je_Aktie_verwässert!A$3:AJ$103,12,FALSE)&gt;0,IF(VLOOKUP(A4,Schlußkurse!A$5:AU$105,41,FALSE) &gt;0,VLOOKUP(A4,Schlußkurse!A$5:AU$105,41,FALSE)/VLOOKUP(A4,Ergebnis_je_Aktie_verwässert!A$3:AJ$103,12,FALSE),""),"")</f>
        <v>14.414493110236219</v>
      </c>
      <c r="J4" s="70">
        <f>IF(VLOOKUP(A4,Ergebnis_je_Aktie_verwässert!A$3:AJ$103,13,FALSE)&gt;0,IF(VLOOKUP(A4,Schlußkurse!A$5:AU$105,42,FALSE) &gt;0,VLOOKUP(A4,Schlußkurse!A$5:AU$105,42,FALSE)/VLOOKUP(A4,Ergebnis_je_Aktie_verwässert!A$3:AJ$103,13,FALSE),""),"")</f>
        <v>16.910863662622763</v>
      </c>
      <c r="K4" s="70">
        <f>IF(VLOOKUP(A4,Ergebnis_je_Aktie_verwässert!A$3:AJ$103,14,FALSE)&gt;0,IF(VLOOKUP(A4,Schlußkurse!A$5:AU$105,43,FALSE) &gt;0,VLOOKUP(A4,Schlußkurse!A$5:AU$105,43,FALSE)/VLOOKUP(A4,Ergebnis_je_Aktie_verwässert!A$3:AJ$103,14,FALSE),""),"")</f>
        <v>18.718054703135419</v>
      </c>
      <c r="L4" s="70">
        <f>IF(VLOOKUP(A4,Ergebnis_je_Aktie_verwässert!A$3:AJ$103,15,FALSE)&gt;0,IF(VLOOKUP(A4,Schlußkurse!A$5:AU$105,44,FALSE) &gt;0,VLOOKUP(A4,Schlußkurse!A$5:AU$105,44,FALSE)/VLOOKUP(A4,Ergebnis_je_Aktie_verwässert!A$3:AJ$103,15,FALSE),""),"")</f>
        <v>12.794347469220247</v>
      </c>
      <c r="M4" s="70">
        <f>IF(VLOOKUP(A4,Ergebnis_je_Aktie_verwässert!A$3:AJ$103,16,FALSE)&gt;0,IF(VLOOKUP(A4,Schlußkurse!A$5:AU$105,45,FALSE) &gt;0,VLOOKUP(A4,Schlußkurse!A$5:AU$105,45,FALSE)/VLOOKUP(A4,Ergebnis_je_Aktie_verwässert!A$3:AJ$103,16,FALSE),""),"")</f>
        <v>17.398738892686257</v>
      </c>
      <c r="N4" s="70">
        <f>IF(VLOOKUP(A4,Ergebnis_je_Aktie_verwässert!A$3:AJ$103,17,FALSE)&gt;0,IF(VLOOKUP(A4,Schlußkurse!A$5:AU$105,46,FALSE) &gt;0,VLOOKUP(A4,Schlußkurse!A$5:AU$105,46,FALSE)/VLOOKUP(A4,Ergebnis_je_Aktie_verwässert!A$3:AJ$103,17,FALSE),""),"")</f>
        <v>16.291829246935201</v>
      </c>
      <c r="O4" s="70">
        <f>IF(VLOOKUP(A4,Ergebnis_je_Aktie_verwässert!A$3:AJ$103,18,FALSE)&gt;0,IF(VLOOKUP(A4,Schlußkurse!A$5:AU$105,47,FALSE) &gt;0,VLOOKUP(A4,Schlußkurse!A$5:AU$105,47,FALSE)/VLOOKUP(A4,Ergebnis_je_Aktie_verwässert!A$3:AJ$103,18,FALSE),""),"")</f>
        <v>19.59425196850394</v>
      </c>
      <c r="P4" s="70">
        <f t="shared" ref="P4:P35" si="0">MEDIAN(C4:O4)</f>
        <v>19.59425196850394</v>
      </c>
      <c r="Q4" s="3">
        <f ca="1">VLOOKUP(A4,Schlußkurse!A$5:AU$105,35,FALSE)/VLOOKUP(A4,Ergebnis_je_Aktie_verwässert!A$3:AK$103,23,FALSE)</f>
        <v>25.267472158749246</v>
      </c>
      <c r="R4" s="5">
        <f t="shared" ref="R4:R35" ca="1" si="1">(Q4/P4)-1</f>
        <v>0.2895349207188167</v>
      </c>
    </row>
    <row r="5" spans="1:18">
      <c r="A5" t="s">
        <v>2</v>
      </c>
      <c r="B5" s="38" t="s">
        <v>3</v>
      </c>
      <c r="C5" s="70">
        <f>IF(VLOOKUP(A5,Ergebnis_je_Aktie_verwässert!A$3:AJ$103,6,FALSE)&gt;0,IF(VLOOKUP(A5,Schlußkurse!A$5:AU$105,35,FALSE) &gt;0,VLOOKUP(A5,Schlußkurse!A$5:AU$105,35,FALSE) /VLOOKUP(A5,Ergebnis_je_Aktie_verwässert!A$3:AJ$103,6,FALSE),""),"")</f>
        <v>15.929012658227846</v>
      </c>
      <c r="D5" s="70">
        <f>IF(VLOOKUP(A5,Ergebnis_je_Aktie_verwässert!A$3:AJ$103,7,FALSE)&gt;0,IF(VLOOKUP(A5,Schlußkurse!A$5:AU$105,36,FALSE) &gt;0,VLOOKUP(A5,Schlußkurse!A$5:AU$105,36,FALSE)/VLOOKUP(A5,Ergebnis_je_Aktie_verwässert!A$3:AJ$103,7,FALSE),""),"")</f>
        <v>18.642844444444442</v>
      </c>
      <c r="E5" s="70">
        <f>IF(VLOOKUP(A5,Ergebnis_je_Aktie_verwässert!A$3:AJ$103,8,FALSE)&gt;0,IF(VLOOKUP(A5,Schlußkurse!A$5:AU$105,37,FALSE) &gt;0,VLOOKUP(A5,Schlußkurse!A$5:AU$105,37,FALSE)/VLOOKUP(A5,Ergebnis_je_Aktie_verwässert!A$3:AJ$103,8,FALSE),""),"")</f>
        <v>24.52614915254237</v>
      </c>
      <c r="F5" s="70">
        <f>IF(VLOOKUP(A5,Ergebnis_je_Aktie_verwässert!A$3:AJ$103,9,FALSE)&gt;0,IF(VLOOKUP(A5,Schlußkurse!A$5:AU$105,38,FALSE) &gt;0,VLOOKUP(A5,Schlußkurse!A$5:AU$105,38,FALSE)/VLOOKUP(A5,Ergebnis_je_Aktie_verwässert!A$3:AJ$103,9,FALSE),""),"")</f>
        <v>20.999450847457627</v>
      </c>
      <c r="G5" s="70">
        <f>IF(VLOOKUP(A5,Ergebnis_je_Aktie_verwässert!A$3:AJ$103,10,FALSE)&gt;0,IF(VLOOKUP(A5,Schlußkurse!A$5:AU$105,39,FALSE) &gt;0,VLOOKUP(A5,Schlußkurse!A$5:AU$105,39,FALSE)/VLOOKUP(A5,Ergebnis_je_Aktie_verwässert!A$3:AJ$103,10,FALSE),""),"")</f>
        <v>18.551647331786544</v>
      </c>
      <c r="H5" s="70">
        <f>IF(VLOOKUP(A5,Ergebnis_je_Aktie_verwässert!A$3:AJ$103,11,FALSE)&gt;0,IF(VLOOKUP(A5,Schlußkurse!A$5:AU$105,40,FALSE) &gt;0,VLOOKUP(A5,Schlußkurse!A$5:AU$105,40,FALSE)/VLOOKUP(A5,Ergebnis_je_Aktie_verwässert!A$3:AJ$103,11,FALSE),""),"")</f>
        <v>16.958618918918919</v>
      </c>
      <c r="I5" s="70">
        <f>IF(VLOOKUP(A5,Ergebnis_je_Aktie_verwässert!A$3:AJ$103,12,FALSE)&gt;0,IF(VLOOKUP(A5,Schlußkurse!A$5:AU$105,41,FALSE) &gt;0,VLOOKUP(A5,Schlußkurse!A$5:AU$105,41,FALSE)/VLOOKUP(A5,Ergebnis_je_Aktie_verwässert!A$3:AJ$103,12,FALSE),""),"")</f>
        <v>14.703308483290488</v>
      </c>
      <c r="J5" s="70">
        <f>IF(VLOOKUP(A5,Ergebnis_je_Aktie_verwässert!A$3:AJ$103,13,FALSE)&gt;0,IF(VLOOKUP(A5,Schlußkurse!A$5:AU$105,42,FALSE) &gt;0,VLOOKUP(A5,Schlußkurse!A$5:AU$105,42,FALSE)/VLOOKUP(A5,Ergebnis_je_Aktie_verwässert!A$3:AJ$103,13,FALSE),""),"")</f>
        <v>15.558990740740743</v>
      </c>
      <c r="K5" s="70">
        <f>IF(VLOOKUP(A5,Ergebnis_je_Aktie_verwässert!A$3:AJ$103,14,FALSE)&gt;0,IF(VLOOKUP(A5,Schlußkurse!A$5:AU$105,43,FALSE) &gt;0,VLOOKUP(A5,Schlußkurse!A$5:AU$105,43,FALSE)/VLOOKUP(A5,Ergebnis_je_Aktie_verwässert!A$3:AJ$103,14,FALSE),""),"")</f>
        <v>12.801361502347419</v>
      </c>
      <c r="L5" s="70">
        <f>IF(VLOOKUP(A5,Ergebnis_je_Aktie_verwässert!A$3:AJ$103,15,FALSE)&gt;0,IF(VLOOKUP(A5,Schlußkurse!A$5:AU$105,44,FALSE) &gt;0,VLOOKUP(A5,Schlußkurse!A$5:AU$105,44,FALSE)/VLOOKUP(A5,Ergebnis_je_Aktie_verwässert!A$3:AJ$103,15,FALSE),""),"")</f>
        <v>13.330672086720869</v>
      </c>
      <c r="M5" s="70">
        <f>IF(VLOOKUP(A5,Ergebnis_je_Aktie_verwässert!A$3:AJ$103,16,FALSE)&gt;0,IF(VLOOKUP(A5,Schlußkurse!A$5:AU$105,45,FALSE) &gt;0,VLOOKUP(A5,Schlußkurse!A$5:AU$105,45,FALSE)/VLOOKUP(A5,Ergebnis_je_Aktie_verwässert!A$3:AJ$103,16,FALSE),""),"")</f>
        <v>15.262069637883009</v>
      </c>
      <c r="N5" s="70">
        <f>IF(VLOOKUP(A5,Ergebnis_je_Aktie_verwässert!A$3:AJ$103,17,FALSE)&gt;0,IF(VLOOKUP(A5,Schlußkurse!A$5:AU$105,46,FALSE) &gt;0,VLOOKUP(A5,Schlußkurse!A$5:AU$105,46,FALSE)/VLOOKUP(A5,Ergebnis_je_Aktie_verwässert!A$3:AJ$103,17,FALSE),""),"")</f>
        <v>20.517500000000002</v>
      </c>
      <c r="O5" s="70">
        <f>IF(VLOOKUP(A5,Ergebnis_je_Aktie_verwässert!A$3:AJ$103,18,FALSE)&gt;0,IF(VLOOKUP(A5,Schlußkurse!A$5:AU$105,47,FALSE) &gt;0,VLOOKUP(A5,Schlußkurse!A$5:AU$105,47,FALSE)/VLOOKUP(A5,Ergebnis_je_Aktie_verwässert!A$3:AJ$103,18,FALSE),""),"")</f>
        <v>17.285213815789472</v>
      </c>
      <c r="P5" s="70">
        <f t="shared" si="0"/>
        <v>16.958618918918919</v>
      </c>
      <c r="Q5" s="3">
        <f ca="1">VLOOKUP(A5,Schlußkurse!A$5:AU$105,35,FALSE)/VLOOKUP(A5,Ergebnis_je_Aktie_verwässert!A$3:AK$103,23,FALSE)</f>
        <v>20.445036555645817</v>
      </c>
      <c r="R5" s="5">
        <f t="shared" ca="1" si="1"/>
        <v>0.20558381867036801</v>
      </c>
    </row>
    <row r="6" spans="1:18">
      <c r="A6" t="s">
        <v>4</v>
      </c>
      <c r="B6" s="38" t="s">
        <v>5</v>
      </c>
      <c r="C6" s="70">
        <f>IF(VLOOKUP(A6,Ergebnis_je_Aktie_verwässert!A$3:AJ$103,6,FALSE)&gt;0,IF(VLOOKUP(A6,Schlußkurse!A$5:AU$105,35,FALSE) &gt;0,VLOOKUP(A6,Schlußkurse!A$5:AU$105,35,FALSE) /VLOOKUP(A6,Ergebnis_je_Aktie_verwässert!A$3:AJ$103,6,FALSE),""),"")</f>
        <v>14.574850299401199</v>
      </c>
      <c r="D6" s="70">
        <f>IF(VLOOKUP(A6,Ergebnis_je_Aktie_verwässert!A$3:AJ$103,7,FALSE)&gt;0,IF(VLOOKUP(A6,Schlußkurse!A$5:AU$105,36,FALSE) &gt;0,VLOOKUP(A6,Schlußkurse!A$5:AU$105,36,FALSE)/VLOOKUP(A6,Ergebnis_je_Aktie_verwässert!A$3:AJ$103,7,FALSE),""),"")</f>
        <v>15.908496732026144</v>
      </c>
      <c r="E6" s="70">
        <f>IF(VLOOKUP(A6,Ergebnis_je_Aktie_verwässert!A$3:AJ$103,8,FALSE)&gt;0,IF(VLOOKUP(A6,Schlußkurse!A$5:AU$105,37,FALSE) &gt;0,VLOOKUP(A6,Schlußkurse!A$5:AU$105,37,FALSE)/VLOOKUP(A6,Ergebnis_je_Aktie_verwässert!A$3:AJ$103,8,FALSE),""),"")</f>
        <v>20.028985507246375</v>
      </c>
      <c r="F6" s="70">
        <f>IF(VLOOKUP(A6,Ergebnis_je_Aktie_verwässert!A$3:AJ$103,9,FALSE)&gt;0,IF(VLOOKUP(A6,Schlußkurse!A$5:AU$105,38,FALSE) &gt;0,VLOOKUP(A6,Schlußkurse!A$5:AU$105,38,FALSE)/VLOOKUP(A6,Ergebnis_je_Aktie_verwässert!A$3:AJ$103,9,FALSE),""),"")</f>
        <v>21.507689855765399</v>
      </c>
      <c r="G6" s="70">
        <f>IF(VLOOKUP(A6,Ergebnis_je_Aktie_verwässert!A$3:AJ$103,10,FALSE)&gt;0,IF(VLOOKUP(A6,Schlußkurse!A$5:AU$105,39,FALSE) &gt;0,VLOOKUP(A6,Schlußkurse!A$5:AU$105,39,FALSE)/VLOOKUP(A6,Ergebnis_je_Aktie_verwässert!A$3:AJ$103,10,FALSE),""),"")</f>
        <v>18.122318376845321</v>
      </c>
      <c r="H6" s="70">
        <f>IF(VLOOKUP(A6,Ergebnis_je_Aktie_verwässert!A$3:AJ$103,11,FALSE)&gt;0,IF(VLOOKUP(A6,Schlußkurse!A$5:AU$105,40,FALSE) &gt;0,VLOOKUP(A6,Schlußkurse!A$5:AU$105,40,FALSE)/VLOOKUP(A6,Ergebnis_je_Aktie_verwässert!A$3:AJ$103,11,FALSE),""),"")</f>
        <v>13.272740388083388</v>
      </c>
      <c r="I6" s="70">
        <f>IF(VLOOKUP(A6,Ergebnis_je_Aktie_verwässert!A$3:AJ$103,12,FALSE)&gt;0,IF(VLOOKUP(A6,Schlußkurse!A$5:AU$105,41,FALSE) &gt;0,VLOOKUP(A6,Schlußkurse!A$5:AU$105,41,FALSE)/VLOOKUP(A6,Ergebnis_je_Aktie_verwässert!A$3:AJ$103,12,FALSE),""),"")</f>
        <v>12.194561470700881</v>
      </c>
      <c r="J6" s="70">
        <f>IF(VLOOKUP(A6,Ergebnis_je_Aktie_verwässert!A$3:AJ$103,13,FALSE)&gt;0,IF(VLOOKUP(A6,Schlußkurse!A$5:AU$105,42,FALSE) &gt;0,VLOOKUP(A6,Schlußkurse!A$5:AU$105,42,FALSE)/VLOOKUP(A6,Ergebnis_je_Aktie_verwässert!A$3:AJ$103,13,FALSE),""),"")</f>
        <v>11.553381683251812</v>
      </c>
      <c r="K6" s="70">
        <f>IF(VLOOKUP(A6,Ergebnis_je_Aktie_verwässert!A$3:AJ$103,14,FALSE)&gt;0,IF(VLOOKUP(A6,Schlußkurse!A$5:AU$105,43,FALSE) &gt;0,VLOOKUP(A6,Schlußkurse!A$5:AU$105,43,FALSE)/VLOOKUP(A6,Ergebnis_je_Aktie_verwässert!A$3:AJ$103,14,FALSE),""),"")</f>
        <v>14.242890707283481</v>
      </c>
      <c r="L6" s="70">
        <f>IF(VLOOKUP(A6,Ergebnis_je_Aktie_verwässert!A$3:AJ$103,15,FALSE)&gt;0,IF(VLOOKUP(A6,Schlußkurse!A$5:AU$105,44,FALSE) &gt;0,VLOOKUP(A6,Schlußkurse!A$5:AU$105,44,FALSE)/VLOOKUP(A6,Ergebnis_je_Aktie_verwässert!A$3:AJ$103,15,FALSE),""),"")</f>
        <v>13.731620753760351</v>
      </c>
      <c r="M6" s="70">
        <f>IF(VLOOKUP(A6,Ergebnis_je_Aktie_verwässert!A$3:AJ$103,16,FALSE)&gt;0,IF(VLOOKUP(A6,Schlußkurse!A$5:AU$105,45,FALSE) &gt;0,VLOOKUP(A6,Schlußkurse!A$5:AU$105,45,FALSE)/VLOOKUP(A6,Ergebnis_je_Aktie_verwässert!A$3:AJ$103,16,FALSE),""),"")</f>
        <v>18.831231346875903</v>
      </c>
      <c r="N6" s="70">
        <f>IF(VLOOKUP(A6,Ergebnis_je_Aktie_verwässert!A$3:AJ$103,17,FALSE)&gt;0,IF(VLOOKUP(A6,Schlußkurse!A$5:AU$105,46,FALSE) &gt;0,VLOOKUP(A6,Schlußkurse!A$5:AU$105,46,FALSE)/VLOOKUP(A6,Ergebnis_je_Aktie_verwässert!A$3:AJ$103,17,FALSE),""),"")</f>
        <v>19.493264341154429</v>
      </c>
      <c r="O6" s="70">
        <f>IF(VLOOKUP(A6,Ergebnis_je_Aktie_verwässert!A$3:AJ$103,18,FALSE)&gt;0,IF(VLOOKUP(A6,Schlußkurse!A$5:AU$105,47,FALSE) &gt;0,VLOOKUP(A6,Schlußkurse!A$5:AU$105,47,FALSE)/VLOOKUP(A6,Ergebnis_je_Aktie_verwässert!A$3:AJ$103,18,FALSE),""),"")</f>
        <v>21.385215694775635</v>
      </c>
      <c r="P6" s="70">
        <f t="shared" si="0"/>
        <v>15.908496732026144</v>
      </c>
      <c r="Q6" s="3">
        <f ca="1">VLOOKUP(A6,Schlußkurse!A$5:AU$105,35,FALSE)/VLOOKUP(A6,Ergebnis_je_Aktie_verwässert!A$3:AK$103,23,FALSE)</f>
        <v>17.080701754385966</v>
      </c>
      <c r="R6" s="5">
        <f t="shared" ca="1" si="1"/>
        <v>7.3684210526315796E-2</v>
      </c>
    </row>
    <row r="7" spans="1:18">
      <c r="A7" t="s">
        <v>6</v>
      </c>
      <c r="B7" s="38" t="s">
        <v>7</v>
      </c>
      <c r="C7" s="70">
        <f>IF(VLOOKUP(A7,Ergebnis_je_Aktie_verwässert!A$3:AJ$103,6,FALSE)&gt;0,IF(VLOOKUP(A7,Schlußkurse!A$5:AU$105,35,FALSE) &gt;0,VLOOKUP(A7,Schlußkurse!A$5:AU$105,35,FALSE) /VLOOKUP(A7,Ergebnis_je_Aktie_verwässert!A$3:AJ$103,6,FALSE),""),"")</f>
        <v>18.092269326683294</v>
      </c>
      <c r="D7" s="70">
        <f>IF(VLOOKUP(A7,Ergebnis_je_Aktie_verwässert!A$3:AJ$103,7,FALSE)&gt;0,IF(VLOOKUP(A7,Schlußkurse!A$5:AU$105,36,FALSE) &gt;0,VLOOKUP(A7,Schlußkurse!A$5:AU$105,36,FALSE)/VLOOKUP(A7,Ergebnis_je_Aktie_verwässert!A$3:AJ$103,7,FALSE),""),"")</f>
        <v>19.608108108108105</v>
      </c>
      <c r="E7" s="70">
        <f>IF(VLOOKUP(A7,Ergebnis_je_Aktie_verwässert!A$3:AJ$103,8,FALSE)&gt;0,IF(VLOOKUP(A7,Schlußkurse!A$5:AU$105,37,FALSE) &gt;0,VLOOKUP(A7,Schlußkurse!A$5:AU$105,37,FALSE)/VLOOKUP(A7,Ergebnis_je_Aktie_verwässert!A$3:AJ$103,8,FALSE),""),"")</f>
        <v>21.862170087976537</v>
      </c>
      <c r="F7" s="70">
        <f>IF(VLOOKUP(A7,Ergebnis_je_Aktie_verwässert!A$3:AJ$103,9,FALSE)&gt;0,IF(VLOOKUP(A7,Schlußkurse!A$5:AU$105,38,FALSE) &gt;0,VLOOKUP(A7,Schlußkurse!A$5:AU$105,38,FALSE)/VLOOKUP(A7,Ergebnis_je_Aktie_verwässert!A$3:AJ$103,9,FALSE),""),"")</f>
        <v>21.789127837514936</v>
      </c>
      <c r="G7" s="70">
        <f>IF(VLOOKUP(A7,Ergebnis_je_Aktie_verwässert!A$3:AJ$103,10,FALSE)&gt;0,IF(VLOOKUP(A7,Schlußkurse!A$5:AU$105,39,FALSE) &gt;0,VLOOKUP(A7,Schlußkurse!A$5:AU$105,39,FALSE)/VLOOKUP(A7,Ergebnis_je_Aktie_verwässert!A$3:AJ$103,10,FALSE),""),"")</f>
        <v>19.405646359583951</v>
      </c>
      <c r="H7" s="70">
        <f>IF(VLOOKUP(A7,Ergebnis_je_Aktie_verwässert!A$3:AJ$103,11,FALSE)&gt;0,IF(VLOOKUP(A7,Schlußkurse!A$5:AU$105,40,FALSE) &gt;0,VLOOKUP(A7,Schlußkurse!A$5:AU$105,40,FALSE)/VLOOKUP(A7,Ergebnis_je_Aktie_verwässert!A$3:AJ$103,11,FALSE),""),"")</f>
        <v>16.518847006651885</v>
      </c>
      <c r="I7" s="70">
        <f>IF(VLOOKUP(A7,Ergebnis_je_Aktie_verwässert!A$3:AJ$103,12,FALSE)&gt;0,IF(VLOOKUP(A7,Schlußkurse!A$5:AU$105,41,FALSE) &gt;0,VLOOKUP(A7,Schlußkurse!A$5:AU$105,41,FALSE)/VLOOKUP(A7,Ergebnis_je_Aktie_verwässert!A$3:AJ$103,12,FALSE),""),"")</f>
        <v>15.652173913043477</v>
      </c>
      <c r="J7" s="70">
        <f>IF(VLOOKUP(A7,Ergebnis_je_Aktie_verwässert!A$3:AJ$103,13,FALSE)&gt;0,IF(VLOOKUP(A7,Schlußkurse!A$5:AU$105,42,FALSE) &gt;0,VLOOKUP(A7,Schlußkurse!A$5:AU$105,42,FALSE)/VLOOKUP(A7,Ergebnis_je_Aktie_verwässert!A$3:AJ$103,13,FALSE),""),"")</f>
        <v>17.436305732484076</v>
      </c>
      <c r="K7" s="70">
        <f>IF(VLOOKUP(A7,Ergebnis_je_Aktie_verwässert!A$3:AJ$103,14,FALSE)&gt;0,IF(VLOOKUP(A7,Schlußkurse!A$5:AU$105,43,FALSE) &gt;0,VLOOKUP(A7,Schlußkurse!A$5:AU$105,43,FALSE)/VLOOKUP(A7,Ergebnis_je_Aktie_verwässert!A$3:AJ$103,14,FALSE),""),"")</f>
        <v>15.179921378893258</v>
      </c>
      <c r="L7" s="70">
        <f>IF(VLOOKUP(A7,Ergebnis_je_Aktie_verwässert!A$3:AJ$103,15,FALSE)&gt;0,IF(VLOOKUP(A7,Schlußkurse!A$5:AU$105,44,FALSE) &gt;0,VLOOKUP(A7,Schlußkurse!A$5:AU$105,44,FALSE)/VLOOKUP(A7,Ergebnis_je_Aktie_verwässert!A$3:AJ$103,15,FALSE),""),"")</f>
        <v>13.554903877484524</v>
      </c>
      <c r="M7" s="70">
        <f>IF(VLOOKUP(A7,Ergebnis_je_Aktie_verwässert!A$3:AJ$103,16,FALSE)&gt;0,IF(VLOOKUP(A7,Schlußkurse!A$5:AU$105,45,FALSE) &gt;0,VLOOKUP(A7,Schlußkurse!A$5:AU$105,45,FALSE)/VLOOKUP(A7,Ergebnis_je_Aktie_verwässert!A$3:AJ$103,16,FALSE),""),"")</f>
        <v>18.752253876667869</v>
      </c>
      <c r="N7" s="70">
        <f>IF(VLOOKUP(A7,Ergebnis_je_Aktie_verwässert!A$3:AJ$103,17,FALSE)&gt;0,IF(VLOOKUP(A7,Schlußkurse!A$5:AU$105,46,FALSE) &gt;0,VLOOKUP(A7,Schlußkurse!A$5:AU$105,46,FALSE)/VLOOKUP(A7,Ergebnis_je_Aktie_verwässert!A$3:AJ$103,17,FALSE),""),"")</f>
        <v>15.198315198315196</v>
      </c>
      <c r="O7" s="70">
        <f>IF(VLOOKUP(A7,Ergebnis_je_Aktie_verwässert!A$3:AJ$103,18,FALSE)&gt;0,IF(VLOOKUP(A7,Schlußkurse!A$5:AU$105,47,FALSE) &gt;0,VLOOKUP(A7,Schlußkurse!A$5:AU$105,47,FALSE)/VLOOKUP(A7,Ergebnis_je_Aktie_verwässert!A$3:AJ$103,18,FALSE),""),"")</f>
        <v>16.04081632653061</v>
      </c>
      <c r="P7" s="70">
        <f t="shared" si="0"/>
        <v>17.436305732484076</v>
      </c>
      <c r="Q7" s="3">
        <f ca="1">VLOOKUP(A7,Schlußkurse!A$5:AU$105,35,FALSE)/VLOOKUP(A7,Ergebnis_je_Aktie_verwässert!A$3:AK$103,23,FALSE)</f>
        <v>20.746354017729484</v>
      </c>
      <c r="R7" s="5">
        <f t="shared" ca="1" si="1"/>
        <v>0.18983655919033016</v>
      </c>
    </row>
    <row r="8" spans="1:18">
      <c r="A8" t="s">
        <v>8</v>
      </c>
      <c r="B8" s="38" t="s">
        <v>9</v>
      </c>
      <c r="C8" s="70">
        <f>IF(VLOOKUP(A8,Ergebnis_je_Aktie_verwässert!A$3:AJ$103,6,FALSE)&gt;0,IF(VLOOKUP(A8,Schlußkurse!A$5:AU$105,35,FALSE) &gt;0,VLOOKUP(A8,Schlußkurse!A$5:AU$105,35,FALSE) /VLOOKUP(A8,Ergebnis_je_Aktie_verwässert!A$3:AJ$103,6,FALSE),""),"")</f>
        <v>21.903133903133902</v>
      </c>
      <c r="D8" s="70">
        <f>IF(VLOOKUP(A8,Ergebnis_je_Aktie_verwässert!A$3:AJ$103,7,FALSE)&gt;0,IF(VLOOKUP(A8,Schlußkurse!A$5:AU$105,36,FALSE) &gt;0,VLOOKUP(A8,Schlußkurse!A$5:AU$105,36,FALSE)/VLOOKUP(A8,Ergebnis_je_Aktie_verwässert!A$3:AJ$103,7,FALSE),""),"")</f>
        <v>23.875776397515526</v>
      </c>
      <c r="E8" s="70">
        <f>IF(VLOOKUP(A8,Ergebnis_je_Aktie_verwässert!A$3:AJ$103,8,FALSE)&gt;0,IF(VLOOKUP(A8,Schlußkurse!A$5:AU$105,37,FALSE) &gt;0,VLOOKUP(A8,Schlußkurse!A$5:AU$105,37,FALSE)/VLOOKUP(A8,Ergebnis_je_Aktie_verwässert!A$3:AJ$103,8,FALSE),""),"")</f>
        <v>28.147157190635447</v>
      </c>
      <c r="F8" s="70">
        <f>IF(VLOOKUP(A8,Ergebnis_je_Aktie_verwässert!A$3:AJ$103,9,FALSE)&gt;0,IF(VLOOKUP(A8,Schlußkurse!A$5:AU$105,38,FALSE) &gt;0,VLOOKUP(A8,Schlußkurse!A$5:AU$105,38,FALSE)/VLOOKUP(A8,Ergebnis_je_Aktie_verwässert!A$3:AJ$103,9,FALSE),""),"")</f>
        <v>23.168384879725085</v>
      </c>
      <c r="G8" s="70">
        <f>IF(VLOOKUP(A8,Ergebnis_je_Aktie_verwässert!A$3:AJ$103,10,FALSE)&gt;0,IF(VLOOKUP(A8,Schlußkurse!A$5:AU$105,39,FALSE) &gt;0,VLOOKUP(A8,Schlußkurse!A$5:AU$105,39,FALSE)/VLOOKUP(A8,Ergebnis_je_Aktie_verwässert!A$3:AJ$103,10,FALSE),""),"")</f>
        <v>29.106719367588934</v>
      </c>
      <c r="H8" s="70">
        <f>IF(VLOOKUP(A8,Ergebnis_je_Aktie_verwässert!A$3:AJ$103,11,FALSE)&gt;0,IF(VLOOKUP(A8,Schlußkurse!A$5:AU$105,40,FALSE) &gt;0,VLOOKUP(A8,Schlußkurse!A$5:AU$105,40,FALSE)/VLOOKUP(A8,Ergebnis_je_Aktie_verwässert!A$3:AJ$103,11,FALSE),""),"")</f>
        <v>26.557939914163089</v>
      </c>
      <c r="I8" s="70">
        <f>IF(VLOOKUP(A8,Ergebnis_je_Aktie_verwässert!A$3:AJ$103,12,FALSE)&gt;0,IF(VLOOKUP(A8,Schlußkurse!A$5:AU$105,41,FALSE) &gt;0,VLOOKUP(A8,Schlußkurse!A$5:AU$105,41,FALSE)/VLOOKUP(A8,Ergebnis_je_Aktie_verwässert!A$3:AJ$103,12,FALSE),""),"")</f>
        <v>21.067307692307693</v>
      </c>
      <c r="J8" s="70">
        <f>IF(VLOOKUP(A8,Ergebnis_je_Aktie_verwässert!A$3:AJ$103,13,FALSE)&gt;0,IF(VLOOKUP(A8,Schlußkurse!A$5:AU$105,42,FALSE) &gt;0,VLOOKUP(A8,Schlußkurse!A$5:AU$105,42,FALSE)/VLOOKUP(A8,Ergebnis_je_Aktie_verwässert!A$3:AJ$103,13,FALSE),""),"")</f>
        <v>22.205882352941174</v>
      </c>
      <c r="K8" s="70">
        <f>IF(VLOOKUP(A8,Ergebnis_je_Aktie_verwässert!A$3:AJ$103,14,FALSE)&gt;0,IF(VLOOKUP(A8,Schlußkurse!A$5:AU$105,43,FALSE) &gt;0,VLOOKUP(A8,Schlußkurse!A$5:AU$105,43,FALSE)/VLOOKUP(A8,Ergebnis_je_Aktie_verwässert!A$3:AJ$103,14,FALSE),""),"")</f>
        <v>24.961956521739129</v>
      </c>
      <c r="L8" s="70">
        <f>IF(VLOOKUP(A8,Ergebnis_je_Aktie_verwässert!A$3:AJ$103,15,FALSE)&gt;0,IF(VLOOKUP(A8,Schlußkurse!A$5:AU$105,44,FALSE) &gt;0,VLOOKUP(A8,Schlußkurse!A$5:AU$105,44,FALSE)/VLOOKUP(A8,Ergebnis_je_Aktie_verwässert!A$3:AJ$103,15,FALSE),""),"")</f>
        <v>25.454545454545457</v>
      </c>
      <c r="M8" s="70">
        <f>IF(VLOOKUP(A8,Ergebnis_je_Aktie_verwässert!A$3:AJ$103,16,FALSE)&gt;0,IF(VLOOKUP(A8,Schlußkurse!A$5:AU$105,45,FALSE) &gt;0,VLOOKUP(A8,Schlußkurse!A$5:AU$105,45,FALSE)/VLOOKUP(A8,Ergebnis_je_Aktie_verwässert!A$3:AJ$103,16,FALSE),""),"")</f>
        <v>24.537037037037035</v>
      </c>
      <c r="N8" s="70">
        <f>IF(VLOOKUP(A8,Ergebnis_je_Aktie_verwässert!A$3:AJ$103,17,FALSE)&gt;0,IF(VLOOKUP(A8,Schlußkurse!A$5:AU$105,46,FALSE) &gt;0,VLOOKUP(A8,Schlußkurse!A$5:AU$105,46,FALSE)/VLOOKUP(A8,Ergebnis_je_Aktie_verwässert!A$3:AJ$103,17,FALSE),""),"")</f>
        <v>23.169811320754715</v>
      </c>
      <c r="O8" s="70">
        <f>IF(VLOOKUP(A8,Ergebnis_je_Aktie_verwässert!A$3:AJ$103,18,FALSE)&gt;0,IF(VLOOKUP(A8,Schlußkurse!A$5:AU$105,47,FALSE) &gt;0,VLOOKUP(A8,Schlußkurse!A$5:AU$105,47,FALSE)/VLOOKUP(A8,Ergebnis_je_Aktie_verwässert!A$3:AJ$103,18,FALSE),""),"")</f>
        <v>20.51284023668639</v>
      </c>
      <c r="P8" s="70">
        <f t="shared" si="0"/>
        <v>23.875776397515526</v>
      </c>
      <c r="Q8" s="3">
        <f ca="1">VLOOKUP(A8,Schlußkurse!A$5:AU$105,35,FALSE)/VLOOKUP(A8,Ergebnis_je_Aktie_verwässert!A$3:AK$103,23,FALSE)</f>
        <v>25.132396207911079</v>
      </c>
      <c r="R8" s="5">
        <f t="shared" ca="1" si="1"/>
        <v>5.2631578947368363E-2</v>
      </c>
    </row>
    <row r="9" spans="1:18">
      <c r="A9" t="s">
        <v>10</v>
      </c>
      <c r="B9" s="38" t="s">
        <v>11</v>
      </c>
      <c r="C9" s="70">
        <f>IF(VLOOKUP(A9,Ergebnis_je_Aktie_verwässert!A$3:AJ$103,6,FALSE)&gt;0,IF(VLOOKUP(A9,Schlußkurse!A$5:AU$105,35,FALSE)&gt;0,VLOOKUP(A9,Schlußkurse!A$5:AU$105,35,FALSE)/VLOOKUP(A9,Ergebnis_je_Aktie_verwässert!A$3:AJ$103,6,FALSE),""),"")</f>
        <v>10.145569620253164</v>
      </c>
      <c r="D9" s="70">
        <f>IF(VLOOKUP(A9,Ergebnis_je_Aktie_verwässert!A$3:AJ$103,7,FALSE)&gt;0,IF(VLOOKUP(A9,Schlußkurse!A$5:AU$105,36,FALSE)&gt;0,VLOOKUP(A9,Schlußkurse!A$5:AU$105,36,FALSE)/VLOOKUP(A9,Ergebnis_je_Aktie_verwässert!A$3:AJ$103,7,FALSE),""),"")</f>
        <v>10.880090497737557</v>
      </c>
      <c r="E9" s="70">
        <f>IF(VLOOKUP(A9,Ergebnis_je_Aktie_verwässert!A$3:AJ$103,8,FALSE)&gt;0,IF(VLOOKUP(A9,Schlußkurse!A$5:AU$105,37,FALSE)&gt;0,VLOOKUP(A9,Schlußkurse!A$5:AU$105,37,FALSE)/VLOOKUP(A9,Ergebnis_je_Aktie_verwässert!A$3:AJ$103,8,FALSE),""),"")</f>
        <v>12.723039215686274</v>
      </c>
      <c r="F9" s="70">
        <f>IF(VLOOKUP(A9,Ergebnis_je_Aktie_verwässert!A$3:AJ$103,9,FALSE)&gt;0,IF(VLOOKUP(A9,Schlußkurse!A$5:AU$105,38,FALSE)&gt;0,VLOOKUP(A9,Schlußkurse!A$5:AU$105,38,FALSE)/VLOOKUP(A9,Ergebnis_je_Aktie_verwässert!A$3:AJ$103,9,FALSE),""),"")</f>
        <v>22.168032786885249</v>
      </c>
      <c r="G9" s="70">
        <f>IF(VLOOKUP(A9,Ergebnis_je_Aktie_verwässert!A$3:AJ$103,10,FALSE)&gt;0,IF(VLOOKUP(A9,Schlußkurse!A$5:AU$105,39,FALSE)&gt;0,VLOOKUP(A9,Schlußkurse!A$5:AU$105,39,FALSE)/VLOOKUP(A9,Ergebnis_je_Aktie_verwässert!A$3:AJ$103,10,FALSE),""),"")</f>
        <v>16.158536585365855</v>
      </c>
      <c r="H9" s="70">
        <f>IF(VLOOKUP(A9,Ergebnis_je_Aktie_verwässert!A$3:AJ$103,11,FALSE)&gt;0,IF(VLOOKUP(A9,Schlußkurse!A$5:AU$105,40,FALSE)&gt;0,VLOOKUP(A9,Schlußkurse!A$5:AU$105,40,FALSE)/VLOOKUP(A9,Ergebnis_je_Aktie_verwässert!A$3:AJ$103,11,FALSE),""),"")</f>
        <v>10.000000000000002</v>
      </c>
      <c r="I9" s="70">
        <f>IF(VLOOKUP(A9,Ergebnis_je_Aktie_verwässert!A$3:AJ$103,12,FALSE)&gt;0,IF(VLOOKUP(A9,Schlußkurse!A$5:AU$105,41,FALSE)&gt;0,VLOOKUP(A9,Schlußkurse!A$5:AU$105,41,FALSE)/VLOOKUP(A9,Ergebnis_je_Aktie_verwässert!A$3:AJ$103,12,FALSE),""),"")</f>
        <v>9</v>
      </c>
      <c r="J9" s="70">
        <f>IF(VLOOKUP(A9,Ergebnis_je_Aktie_verwässert!A$3:AJ$103,13,FALSE)&gt;0,IF(VLOOKUP(A9,Schlußkurse!A$5:AU$105,42,FALSE)&gt;0,VLOOKUP(A9,Schlußkurse!A$5:AU$105,42,FALSE)/VLOOKUP(A9,Ergebnis_je_Aktie_verwässert!A$3:AJ$103,13,FALSE),""),"")</f>
        <v>13.229166666666666</v>
      </c>
      <c r="K9" s="70">
        <f>IF(VLOOKUP(A9,Ergebnis_je_Aktie_verwässert!A$3:AJ$103,14,FALSE)&gt;0,IF(VLOOKUP(A9,Schlußkurse!A$5:AU$105,43,FALSE)&gt;0,VLOOKUP(A9,Schlußkurse!A$5:AU$105,43,FALSE)/VLOOKUP(A9,Ergebnis_je_Aktie_verwässert!A$3:AJ$103,14,FALSE),""),"")</f>
        <v>6.4214285714285708</v>
      </c>
      <c r="L9" s="70">
        <f>IF(VLOOKUP(A9,Ergebnis_je_Aktie_verwässert!A$3:AJ$103,15,FALSE)&gt;0,IF(VLOOKUP(A9,Schlußkurse!A$5:AU$105,44,FALSE)&gt;0,VLOOKUP(A9,Schlußkurse!A$5:AU$105,44,FALSE)/VLOOKUP(A9,Ergebnis_je_Aktie_verwässert!A$3:AJ$103,15,FALSE),""),"")</f>
        <v>22.471698113207545</v>
      </c>
      <c r="M9" s="70" t="str">
        <f>IF(VLOOKUP(A9,Ergebnis_je_Aktie_verwässert!A$3:AJ$103,16,FALSE)&gt;0,IF(VLOOKUP(A9,Schlußkurse!A$5:AU$105,45,FALSE)&gt;0,VLOOKUP(A9,Schlußkurse!A$5:AU$105,45,FALSE)/VLOOKUP(A9,Ergebnis_je_Aktie_verwässert!A$3:AJ$103,16,FALSE),""),"")</f>
        <v/>
      </c>
      <c r="N9" s="70">
        <f>IF(VLOOKUP(A9,Ergebnis_je_Aktie_verwässert!A$3:AJ$103,17,FALSE)&gt;0,IF(VLOOKUP(A9,Schlußkurse!A$5:AU$105,46,FALSE)&gt;0,VLOOKUP(A9,Schlußkurse!A$5:AU$105,46,FALSE)/VLOOKUP(A9,Ergebnis_je_Aktie_verwässert!A$3:AJ$103,17,FALSE),""),"")</f>
        <v>19.860869565217392</v>
      </c>
      <c r="O9" s="70">
        <f>IF(VLOOKUP(A9,Ergebnis_je_Aktie_verwässert!A$3:AJ$103,18,FALSE)&gt;0,IF(VLOOKUP(A9,Schlußkurse!A$5:AU$105,47,FALSE)&gt;0,VLOOKUP(A9,Schlußkurse!A$5:AU$105,47,FALSE)/VLOOKUP(A9,Ergebnis_je_Aktie_verwässert!A$3:AJ$103,18,FALSE),""),"")</f>
        <v>12.799999999999999</v>
      </c>
      <c r="P9" s="70">
        <f t="shared" si="0"/>
        <v>12.761519607843137</v>
      </c>
      <c r="Q9" s="3">
        <f ca="1">VLOOKUP(A9,Schlußkurse!A$5:AU$105,35,FALSE)/VLOOKUP(A9,Ergebnis_je_Aktie_verwässert!A$3:AK$103,23,FALSE)</f>
        <v>11.499282639885221</v>
      </c>
      <c r="R9" s="5">
        <f t="shared" ca="1" si="1"/>
        <v>-9.8909613176643485E-2</v>
      </c>
    </row>
    <row r="10" spans="1:18">
      <c r="A10" t="s">
        <v>12</v>
      </c>
      <c r="B10" s="38" t="s">
        <v>13</v>
      </c>
      <c r="C10" s="70">
        <f>IF(VLOOKUP(A10,Ergebnis_je_Aktie_verwässert!A$3:AJ$103,6,FALSE)&gt;0,IF(VLOOKUP(A10,Schlußkurse!A$5:AU$105,35,FALSE)&gt;0,VLOOKUP(A10,Schlußkurse!A$5:AU$105,35,FALSE)/VLOOKUP(A10,Ergebnis_je_Aktie_verwässert!A$3:AJ$103,6,FALSE),""),"")</f>
        <v>13.608108108108107</v>
      </c>
      <c r="D10" s="70">
        <f>IF(VLOOKUP(A10,Ergebnis_je_Aktie_verwässert!A$3:AJ$103,7,FALSE)&gt;0,IF(VLOOKUP(A10,Schlußkurse!A$5:AU$105,36,FALSE)&gt;0,VLOOKUP(A10,Schlußkurse!A$5:AU$105,36,FALSE)/VLOOKUP(A10,Ergebnis_je_Aktie_verwässert!A$3:AJ$103,7,FALSE),""),"")</f>
        <v>15.57216494845361</v>
      </c>
      <c r="E10" s="70">
        <f>IF(VLOOKUP(A10,Ergebnis_je_Aktie_verwässert!A$3:AJ$103,8,FALSE)&gt;0,IF(VLOOKUP(A10,Schlußkurse!A$5:AU$105,37,FALSE)&gt;0,VLOOKUP(A10,Schlußkurse!A$5:AU$105,37,FALSE)/VLOOKUP(A10,Ergebnis_je_Aktie_verwässert!A$3:AJ$103,8,FALSE),""),"")</f>
        <v>20.60493827160494</v>
      </c>
      <c r="F10" s="70">
        <f>IF(VLOOKUP(A10,Ergebnis_je_Aktie_verwässert!A$3:AJ$103,9,FALSE)&gt;0,IF(VLOOKUP(A10,Schlußkurse!A$5:AU$105,38,FALSE)&gt;0,VLOOKUP(A10,Schlußkurse!A$5:AU$105,38,FALSE)/VLOOKUP(A10,Ergebnis_je_Aktie_verwässert!A$3:AJ$103,9,FALSE),""),"")</f>
        <v>18.661971830985916</v>
      </c>
      <c r="G10" s="70">
        <f>IF(VLOOKUP(A10,Ergebnis_je_Aktie_verwässert!A$3:AJ$103,10,FALSE)&gt;0,IF(VLOOKUP(A10,Schlußkurse!A$5:AU$105,39,FALSE)&gt;0,VLOOKUP(A10,Schlußkurse!A$5:AU$105,39,FALSE)/VLOOKUP(A10,Ergebnis_je_Aktie_verwässert!A$3:AJ$103,10,FALSE),""),"")</f>
        <v>23.452830188679243</v>
      </c>
      <c r="H10" s="70">
        <f>IF(VLOOKUP(A10,Ergebnis_je_Aktie_verwässert!A$3:AJ$103,11,FALSE)&gt;0,IF(VLOOKUP(A10,Schlußkurse!A$5:AU$105,40,FALSE)&gt;0,VLOOKUP(A10,Schlußkurse!A$5:AU$105,40,FALSE)/VLOOKUP(A10,Ergebnis_je_Aktie_verwässert!A$3:AJ$103,11,FALSE),""),"")</f>
        <v>13.642857142857144</v>
      </c>
      <c r="I10" s="70">
        <f>IF(VLOOKUP(A10,Ergebnis_je_Aktie_verwässert!A$3:AJ$103,12,FALSE)&gt;0,IF(VLOOKUP(A10,Schlußkurse!A$5:AU$105,41,FALSE)&gt;0,VLOOKUP(A10,Schlußkurse!A$5:AU$105,41,FALSE)/VLOOKUP(A10,Ergebnis_je_Aktie_verwässert!A$3:AJ$103,12,FALSE),""),"")</f>
        <v>15.28448275862069</v>
      </c>
      <c r="J10" s="70">
        <f>IF(VLOOKUP(A10,Ergebnis_je_Aktie_verwässert!A$3:AJ$103,13,FALSE)&gt;0,IF(VLOOKUP(A10,Schlußkurse!A$5:AU$105,42,FALSE)&gt;0,VLOOKUP(A10,Schlußkurse!A$5:AU$105,42,FALSE)/VLOOKUP(A10,Ergebnis_je_Aktie_verwässert!A$3:AJ$103,13,FALSE),""),"")</f>
        <v>14.410447761194028</v>
      </c>
      <c r="K10" s="70">
        <f>IF(VLOOKUP(A10,Ergebnis_je_Aktie_verwässert!A$3:AJ$103,14,FALSE)&gt;0,IF(VLOOKUP(A10,Schlußkurse!A$5:AU$105,43,FALSE)&gt;0,VLOOKUP(A10,Schlußkurse!A$5:AU$105,43,FALSE)/VLOOKUP(A10,Ergebnis_je_Aktie_verwässert!A$3:AJ$103,14,FALSE),""),"")</f>
        <v>13.025316455696201</v>
      </c>
      <c r="L10" s="70">
        <f>IF(VLOOKUP(A10,Ergebnis_je_Aktie_verwässert!A$3:AJ$103,15,FALSE)&gt;0,IF(VLOOKUP(A10,Schlußkurse!A$5:AU$105,44,FALSE)&gt;0,VLOOKUP(A10,Schlußkurse!A$5:AU$105,44,FALSE)/VLOOKUP(A10,Ergebnis_je_Aktie_verwässert!A$3:AJ$103,15,FALSE),""),"")</f>
        <v>13.782051282051281</v>
      </c>
      <c r="M10" s="70">
        <f>IF(VLOOKUP(A10,Ergebnis_je_Aktie_verwässert!A$3:AJ$103,16,FALSE)&gt;0,IF(VLOOKUP(A10,Schlußkurse!A$5:AU$105,45,FALSE)&gt;0,VLOOKUP(A10,Schlußkurse!A$5:AU$105,45,FALSE)/VLOOKUP(A10,Ergebnis_je_Aktie_verwässert!A$3:AJ$103,16,FALSE),""),"")</f>
        <v>19.256410256410255</v>
      </c>
      <c r="N10" s="70">
        <f>IF(VLOOKUP(A10,Ergebnis_je_Aktie_verwässert!A$3:AJ$103,17,FALSE)&gt;0,IF(VLOOKUP(A10,Schlußkurse!A$5:AU$105,46,FALSE)&gt;0,VLOOKUP(A10,Schlußkurse!A$5:AU$105,46,FALSE)/VLOOKUP(A10,Ergebnis_je_Aktie_verwässert!A$3:AJ$103,17,FALSE),""),"")</f>
        <v>20.057971014492754</v>
      </c>
      <c r="O10" s="70">
        <f>IF(VLOOKUP(A10,Ergebnis_je_Aktie_verwässert!A$3:AJ$103,18,FALSE)&gt;0,IF(VLOOKUP(A10,Schlußkurse!A$5:AU$105,47,FALSE)&gt;0,VLOOKUP(A10,Schlußkurse!A$5:AU$105,47,FALSE)/VLOOKUP(A10,Ergebnis_je_Aktie_verwässert!A$3:AJ$103,18,FALSE),""),"")</f>
        <v>15.644444444444444</v>
      </c>
      <c r="P10" s="70">
        <f t="shared" si="0"/>
        <v>15.57216494845361</v>
      </c>
      <c r="Q10" s="3">
        <f ca="1">VLOOKUP(A10,Schlußkurse!A$5:AU$105,35,FALSE)/VLOOKUP(A10,Ergebnis_je_Aktie_verwässert!A$3:AK$103,23,FALSE)</f>
        <v>17.604895104895103</v>
      </c>
      <c r="R10" s="5">
        <f t="shared" ca="1" si="1"/>
        <v>0.13053613053613033</v>
      </c>
    </row>
    <row r="11" spans="1:18">
      <c r="A11" t="s">
        <v>312</v>
      </c>
      <c r="B11" s="38" t="s">
        <v>313</v>
      </c>
      <c r="C11" s="70">
        <f>IF(VLOOKUP(A11,Ergebnis_je_Aktie_verwässert!A$3:AJ$103,6,FALSE)&gt;0,IF(VLOOKUP(A11,Schlußkurse!A$5:AU$105,35,FALSE)&gt;0,VLOOKUP(A11,Schlußkurse!A$5:AU$105,35,FALSE)/VLOOKUP(A11,Ergebnis_je_Aktie_verwässert!A$3:AJ$103,6,FALSE),""),"")</f>
        <v>17.797752808988765</v>
      </c>
      <c r="D11" s="70">
        <f>IF(VLOOKUP(A11,Ergebnis_je_Aktie_verwässert!A$3:AJ$103,7,FALSE)&gt;0,IF(VLOOKUP(A11,Schlußkurse!A$5:AU$105,36,FALSE)&gt;0,VLOOKUP(A11,Schlußkurse!A$5:AU$105,36,FALSE)/VLOOKUP(A11,Ergebnis_je_Aktie_verwässert!A$3:AJ$103,7,FALSE),""),"")</f>
        <v>19.616099071207429</v>
      </c>
      <c r="E11" s="70">
        <f>IF(VLOOKUP(A11,Ergebnis_je_Aktie_verwässert!A$3:AJ$103,8,FALSE)&gt;0,IF(VLOOKUP(A11,Schlußkurse!A$5:AU$105,37,FALSE)&gt;0,VLOOKUP(A11,Schlußkurse!A$5:AU$105,37,FALSE)/VLOOKUP(A11,Ergebnis_je_Aktie_verwässert!A$3:AJ$103,8,FALSE),""),"")</f>
        <v>22.670103092783503</v>
      </c>
      <c r="F11" s="70">
        <f>IF(VLOOKUP(A11,Ergebnis_je_Aktie_verwässert!A$3:AJ$103,9,FALSE)&gt;0,IF(VLOOKUP(A11,Schlußkurse!A$5:AU$105,38,FALSE)&gt;0,VLOOKUP(A11,Schlußkurse!A$5:AU$105,38,FALSE)/VLOOKUP(A11,Ergebnis_je_Aktie_verwässert!A$3:AJ$103,9,FALSE),""),"")</f>
        <v>16.670529161838548</v>
      </c>
      <c r="G11" s="70">
        <f>IF(VLOOKUP(A11,Ergebnis_je_Aktie_verwässert!A$3:AJ$103,10,FALSE)&gt;0,IF(VLOOKUP(A11,Schlußkurse!A$5:AU$105,39,FALSE)&gt;0,VLOOKUP(A11,Schlußkurse!A$5:AU$105,39,FALSE)/VLOOKUP(A11,Ergebnis_je_Aktie_verwässert!A$3:AJ$103,10,FALSE),""),"")</f>
        <v>18.600000000000001</v>
      </c>
      <c r="H11" s="70">
        <f>IF(VLOOKUP(A11,Ergebnis_je_Aktie_verwässert!A$3:AJ$103,11,FALSE)&gt;0,IF(VLOOKUP(A11,Schlußkurse!A$5:AU$105,40,FALSE)&gt;0,VLOOKUP(A11,Schlußkurse!A$5:AU$105,40,FALSE)/VLOOKUP(A11,Ergebnis_je_Aktie_verwässert!A$3:AJ$103,11,FALSE),""),"")</f>
        <v>14.973336771531716</v>
      </c>
      <c r="I11" s="70">
        <f>IF(VLOOKUP(A11,Ergebnis_je_Aktie_verwässert!A$3:AJ$103,12,FALSE)&gt;0,IF(VLOOKUP(A11,Schlußkurse!A$5:AU$105,41,FALSE)&gt;0,VLOOKUP(A11,Schlußkurse!A$5:AU$105,41,FALSE)/VLOOKUP(A11,Ergebnis_je_Aktie_verwässert!A$3:AJ$103,12,FALSE),""),"")</f>
        <v>13.333351986569669</v>
      </c>
      <c r="J11" s="70">
        <f>IF(VLOOKUP(A11,Ergebnis_je_Aktie_verwässert!A$3:AJ$103,13,FALSE)&gt;0,IF(VLOOKUP(A11,Schlußkurse!A$5:AU$105,42,FALSE)&gt;0,VLOOKUP(A11,Schlußkurse!A$5:AU$105,42,FALSE)/VLOOKUP(A11,Ergebnis_je_Aktie_verwässert!A$3:AJ$103,13,FALSE),""),"")</f>
        <v>13.451254019292604</v>
      </c>
      <c r="K11" s="70">
        <f>IF(VLOOKUP(A11,Ergebnis_je_Aktie_verwässert!A$3:AJ$103,14,FALSE)&gt;0,IF(VLOOKUP(A11,Schlußkurse!A$5:AU$105,43,FALSE)&gt;0,VLOOKUP(A11,Schlußkurse!A$5:AU$105,43,FALSE)/VLOOKUP(A11,Ergebnis_je_Aktie_verwässert!A$3:AJ$103,14,FALSE),""),"")</f>
        <v>10.816504854368933</v>
      </c>
      <c r="L11" s="70">
        <f>IF(VLOOKUP(A11,Ergebnis_je_Aktie_verwässert!A$3:AJ$103,15,FALSE)&gt;0,IF(VLOOKUP(A11,Schlußkurse!A$5:AU$105,44,FALSE)&gt;0,VLOOKUP(A11,Schlußkurse!A$5:AU$105,44,FALSE)/VLOOKUP(A11,Ergebnis_je_Aktie_verwässert!A$3:AJ$103,15,FALSE),""),"")</f>
        <v>11.501619047619048</v>
      </c>
      <c r="M11" s="70">
        <f>IF(VLOOKUP(A11,Ergebnis_je_Aktie_verwässert!A$3:AJ$103,16,FALSE)&gt;0,IF(VLOOKUP(A11,Schlußkurse!A$5:AU$105,45,FALSE)&gt;0,VLOOKUP(A11,Schlußkurse!A$5:AU$105,45,FALSE)/VLOOKUP(A11,Ergebnis_je_Aktie_verwässert!A$3:AJ$103,16,FALSE),""),"")</f>
        <v>21.1400906002265</v>
      </c>
      <c r="N11" s="70">
        <f>IF(VLOOKUP(A11,Ergebnis_je_Aktie_verwässert!A$3:AJ$103,17,FALSE)&gt;0,IF(VLOOKUP(A11,Schlußkurse!A$5:AU$105,46,FALSE)&gt;0,VLOOKUP(A11,Schlußkurse!A$5:AU$105,46,FALSE)/VLOOKUP(A11,Ergebnis_je_Aktie_verwässert!A$3:AJ$103,17,FALSE),""),"")</f>
        <v>19.37551724137931</v>
      </c>
      <c r="O11" s="70">
        <f>IF(VLOOKUP(A11,Ergebnis_je_Aktie_verwässert!A$3:AJ$103,18,FALSE)&gt;0,IF(VLOOKUP(A11,Schlußkurse!A$5:AU$105,47,FALSE)&gt;0,VLOOKUP(A11,Schlußkurse!A$5:AU$105,47,FALSE)/VLOOKUP(A11,Ergebnis_je_Aktie_verwässert!A$3:AJ$103,18,FALSE),""),"")</f>
        <v>16.588450704225352</v>
      </c>
      <c r="P11" s="70">
        <f t="shared" si="0"/>
        <v>16.670529161838548</v>
      </c>
      <c r="Q11" s="3">
        <f ca="1">VLOOKUP(A11,Schlußkurse!A$5:AU$105,35,FALSE)/VLOOKUP(A11,Ergebnis_je_Aktie_verwässert!A$3:AK$103,23,FALSE)</f>
        <v>21.077844311377248</v>
      </c>
      <c r="R11" s="5">
        <f t="shared" ca="1" si="1"/>
        <v>0.26437763953094762</v>
      </c>
    </row>
    <row r="12" spans="1:18">
      <c r="A12" t="s">
        <v>14</v>
      </c>
      <c r="B12" s="38" t="s">
        <v>15</v>
      </c>
      <c r="C12" s="70">
        <f>IF(VLOOKUP(A12,Ergebnis_je_Aktie_verwässert!A$3:AJ$103,6,FALSE)&gt;0,IF(VLOOKUP(A12,Schlußkurse!A$5:AU$105,35,FALSE)&gt;0,VLOOKUP(A12,Schlußkurse!A$5:AU$105,35,FALSE)/VLOOKUP(A12,Ergebnis_je_Aktie_verwässert!A$3:AJ$103,6,FALSE),""),"")</f>
        <v>15.239277652370205</v>
      </c>
      <c r="D12" s="70">
        <f>IF(VLOOKUP(A12,Ergebnis_je_Aktie_verwässert!A$3:AJ$103,7,FALSE)&gt;0,IF(VLOOKUP(A12,Schlußkurse!A$5:AU$105,36,FALSE)&gt;0,VLOOKUP(A12,Schlußkurse!A$5:AU$105,36,FALSE)/VLOOKUP(A12,Ergebnis_je_Aktie_verwässert!A$3:AJ$103,7,FALSE),""),"")</f>
        <v>17.489637305699485</v>
      </c>
      <c r="E12" s="70">
        <f>IF(VLOOKUP(A12,Ergebnis_je_Aktie_verwässert!A$3:AJ$103,8,FALSE)&gt;0,IF(VLOOKUP(A12,Schlußkurse!A$5:AU$105,37,FALSE)&gt;0,VLOOKUP(A12,Schlußkurse!A$5:AU$105,37,FALSE)/VLOOKUP(A12,Ergebnis_je_Aktie_verwässert!A$3:AJ$103,8,FALSE),""),"")</f>
        <v>20.787535410764871</v>
      </c>
      <c r="F12" s="70">
        <f>IF(VLOOKUP(A12,Ergebnis_je_Aktie_verwässert!A$3:AJ$103,9,FALSE)&gt;0,IF(VLOOKUP(A12,Schlußkurse!A$5:AU$105,38,FALSE)&gt;0,VLOOKUP(A12,Schlußkurse!A$5:AU$105,38,FALSE)/VLOOKUP(A12,Ergebnis_je_Aktie_verwässert!A$3:AJ$103,9,FALSE),""),"")</f>
        <v>22.7578125</v>
      </c>
      <c r="G12" s="70">
        <f>IF(VLOOKUP(A12,Ergebnis_je_Aktie_verwässert!A$3:AJ$103,10,FALSE)&gt;0,IF(VLOOKUP(A12,Schlußkurse!A$5:AU$105,39,FALSE)&gt;0,VLOOKUP(A12,Schlußkurse!A$5:AU$105,39,FALSE)/VLOOKUP(A12,Ergebnis_je_Aktie_verwässert!A$3:AJ$103,10,FALSE),""),"")</f>
        <v>21.19387755102041</v>
      </c>
      <c r="H12" s="70">
        <f>IF(VLOOKUP(A12,Ergebnis_je_Aktie_verwässert!A$3:AJ$103,11,FALSE)&gt;0,IF(VLOOKUP(A12,Schlußkurse!A$5:AU$105,40,FALSE)&gt;0,VLOOKUP(A12,Schlußkurse!A$5:AU$105,40,FALSE)/VLOOKUP(A12,Ergebnis_je_Aktie_verwässert!A$3:AJ$103,11,FALSE),""),"")</f>
        <v>21.830935251798561</v>
      </c>
      <c r="I12" s="70">
        <f>IF(VLOOKUP(A12,Ergebnis_je_Aktie_verwässert!A$3:AJ$103,12,FALSE)&gt;0,IF(VLOOKUP(A12,Schlußkurse!A$5:AU$105,41,FALSE)&gt;0,VLOOKUP(A12,Schlußkurse!A$5:AU$105,41,FALSE)/VLOOKUP(A12,Ergebnis_je_Aktie_verwässert!A$3:AJ$103,12,FALSE),""),"")</f>
        <v>17.236286919831223</v>
      </c>
      <c r="J12" s="70">
        <f>IF(VLOOKUP(A12,Ergebnis_je_Aktie_verwässert!A$3:AJ$103,13,FALSE)&gt;0,IF(VLOOKUP(A12,Schlußkurse!A$5:AU$105,42,FALSE)&gt;0,VLOOKUP(A12,Schlußkurse!A$5:AU$105,42,FALSE)/VLOOKUP(A12,Ergebnis_je_Aktie_verwässert!A$3:AJ$103,13,FALSE),""),"")</f>
        <v>15.362903225806452</v>
      </c>
      <c r="K12" s="70">
        <f>IF(VLOOKUP(A12,Ergebnis_je_Aktie_verwässert!A$3:AJ$103,14,FALSE)&gt;0,IF(VLOOKUP(A12,Schlußkurse!A$5:AU$105,43,FALSE)&gt;0,VLOOKUP(A12,Schlußkurse!A$5:AU$105,43,FALSE)/VLOOKUP(A12,Ergebnis_je_Aktie_verwässert!A$3:AJ$103,14,FALSE),""),"")</f>
        <v>16.256157635467982</v>
      </c>
      <c r="L12" s="70">
        <f>IF(VLOOKUP(A12,Ergebnis_je_Aktie_verwässert!A$3:AJ$103,15,FALSE)&gt;0,IF(VLOOKUP(A12,Schlußkurse!A$5:AU$105,44,FALSE)&gt;0,VLOOKUP(A12,Schlußkurse!A$5:AU$105,44,FALSE)/VLOOKUP(A12,Ergebnis_je_Aktie_verwässert!A$3:AJ$103,15,FALSE),""),"")</f>
        <v>17.170068027210885</v>
      </c>
      <c r="M12" s="70">
        <f>IF(VLOOKUP(A12,Ergebnis_je_Aktie_verwässert!A$3:AJ$103,16,FALSE)&gt;0,IF(VLOOKUP(A12,Schlußkurse!A$5:AU$105,45,FALSE)&gt;0,VLOOKUP(A12,Schlußkurse!A$5:AU$105,45,FALSE)/VLOOKUP(A12,Ergebnis_je_Aktie_verwässert!A$3:AJ$103,16,FALSE),""),"")</f>
        <v>22.92258064516129</v>
      </c>
      <c r="N12" s="70">
        <f>IF(VLOOKUP(A12,Ergebnis_je_Aktie_verwässert!A$3:AJ$103,17,FALSE)&gt;0,IF(VLOOKUP(A12,Schlußkurse!A$5:AU$105,46,FALSE)&gt;0,VLOOKUP(A12,Schlußkurse!A$5:AU$105,46,FALSE)/VLOOKUP(A12,Ergebnis_je_Aktie_verwässert!A$3:AJ$103,17,FALSE),""),"")</f>
        <v>25.320754716981128</v>
      </c>
      <c r="O12" s="70">
        <f>IF(VLOOKUP(A12,Ergebnis_je_Aktie_verwässert!A$3:AJ$103,18,FALSE)&gt;0,IF(VLOOKUP(A12,Schlußkurse!A$5:AU$105,47,FALSE)&gt;0,VLOOKUP(A12,Schlußkurse!A$5:AU$105,47,FALSE)/VLOOKUP(A12,Ergebnis_je_Aktie_verwässert!A$3:AJ$103,18,FALSE),""),"")</f>
        <v>25.190789473684209</v>
      </c>
      <c r="P12" s="70">
        <f t="shared" si="0"/>
        <v>20.787535410764871</v>
      </c>
      <c r="Q12" s="3">
        <f ca="1">VLOOKUP(A12,Schlußkurse!A$5:AU$105,35,FALSE)/VLOOKUP(A12,Ergebnis_je_Aktie_verwässert!A$3:AK$103,23,FALSE)</f>
        <v>18.602920914852579</v>
      </c>
      <c r="R12" s="5">
        <f t="shared" ca="1" si="1"/>
        <v>-0.10509252072186415</v>
      </c>
    </row>
    <row r="13" spans="1:18">
      <c r="A13" t="s">
        <v>16</v>
      </c>
      <c r="B13" s="38" t="s">
        <v>17</v>
      </c>
      <c r="C13" s="70">
        <f>IF(VLOOKUP(A13,Ergebnis_je_Aktie_verwässert!A$3:AJ$103,6,FALSE)&gt;0,IF(VLOOKUP(A13,Schlußkurse!A$5:AU$105,35,FALSE)&gt;0,VLOOKUP(A13,Schlußkurse!A$5:AU$105,35,FALSE)/VLOOKUP(A13,Ergebnis_je_Aktie_verwässert!A$3:AJ$103,6,FALSE),""),"")</f>
        <v>11.297468354430379</v>
      </c>
      <c r="D13" s="70">
        <f>IF(VLOOKUP(A13,Ergebnis_je_Aktie_verwässert!A$3:AJ$103,7,FALSE)&gt;0,IF(VLOOKUP(A13,Schlußkurse!A$5:AU$105,36,FALSE)&gt;0,VLOOKUP(A13,Schlußkurse!A$5:AU$105,36,FALSE)/VLOOKUP(A13,Ergebnis_je_Aktie_verwässert!A$3:AJ$103,7,FALSE),""),"")</f>
        <v>12.5</v>
      </c>
      <c r="E13" s="70">
        <f>IF(VLOOKUP(A13,Ergebnis_je_Aktie_verwässert!A$3:AJ$103,8,FALSE)&gt;0,IF(VLOOKUP(A13,Schlußkurse!A$5:AU$105,37,FALSE)&gt;0,VLOOKUP(A13,Schlußkurse!A$5:AU$105,37,FALSE)/VLOOKUP(A13,Ergebnis_je_Aktie_verwässert!A$3:AJ$103,8,FALSE),""),"")</f>
        <v>12.490625</v>
      </c>
      <c r="F13" s="70">
        <f>IF(VLOOKUP(A13,Ergebnis_je_Aktie_verwässert!A$3:AJ$103,9,FALSE)&gt;0,IF(VLOOKUP(A13,Schlußkurse!A$5:AU$105,38,FALSE)&gt;0,VLOOKUP(A13,Schlußkurse!A$5:AU$105,38,FALSE)/VLOOKUP(A13,Ergebnis_je_Aktie_verwässert!A$3:AJ$103,9,FALSE),""),"")</f>
        <v>10.797482837528605</v>
      </c>
      <c r="G13" s="70">
        <f>IF(VLOOKUP(A13,Ergebnis_je_Aktie_verwässert!A$3:AJ$103,10,FALSE)&gt;0,IF(VLOOKUP(A13,Schlußkurse!A$5:AU$105,39,FALSE)&gt;0,VLOOKUP(A13,Schlußkurse!A$5:AU$105,39,FALSE)/VLOOKUP(A13,Ergebnis_je_Aktie_verwässert!A$3:AJ$103,10,FALSE),""),"")</f>
        <v>14.114104595879558</v>
      </c>
      <c r="H13" s="70">
        <f>IF(VLOOKUP(A13,Ergebnis_je_Aktie_verwässert!A$3:AJ$103,11,FALSE)&gt;0,IF(VLOOKUP(A13,Schlußkurse!A$5:AU$105,40,FALSE)&gt;0,VLOOKUP(A13,Schlußkurse!A$5:AU$105,40,FALSE)/VLOOKUP(A13,Ergebnis_je_Aktie_verwässert!A$3:AJ$103,11,FALSE),""),"")</f>
        <v>15.429423459244532</v>
      </c>
      <c r="I13" s="70">
        <f>IF(VLOOKUP(A13,Ergebnis_je_Aktie_verwässert!A$3:AJ$103,12,FALSE)&gt;0,IF(VLOOKUP(A13,Schlußkurse!A$5:AU$105,41,FALSE)&gt;0,VLOOKUP(A13,Schlußkurse!A$5:AU$105,41,FALSE)/VLOOKUP(A13,Ergebnis_je_Aktie_verwässert!A$3:AJ$103,12,FALSE),""),"")</f>
        <v>13.515873015873016</v>
      </c>
      <c r="J13" s="70">
        <f>IF(VLOOKUP(A13,Ergebnis_je_Aktie_verwässert!A$3:AJ$103,13,FALSE)&gt;0,IF(VLOOKUP(A13,Schlußkurse!A$5:AU$105,42,FALSE)&gt;0,VLOOKUP(A13,Schlußkurse!A$5:AU$105,42,FALSE)/VLOOKUP(A13,Ergebnis_je_Aktie_verwässert!A$3:AJ$103,13,FALSE),""),"")</f>
        <v>11.125000000000002</v>
      </c>
      <c r="K13" s="70">
        <f>IF(VLOOKUP(A13,Ergebnis_je_Aktie_verwässert!A$3:AJ$103,14,FALSE)&gt;0,IF(VLOOKUP(A13,Schlußkurse!A$5:AU$105,43,FALSE)&gt;0,VLOOKUP(A13,Schlußkurse!A$5:AU$105,43,FALSE)/VLOOKUP(A13,Ergebnis_je_Aktie_verwässert!A$3:AJ$103,14,FALSE),""),"")</f>
        <v>14.252252252252251</v>
      </c>
      <c r="L13" s="70">
        <f>IF(VLOOKUP(A13,Ergebnis_je_Aktie_verwässert!A$3:AJ$103,15,FALSE)&gt;0,IF(VLOOKUP(A13,Schlußkurse!A$5:AU$105,44,FALSE)&gt;0,VLOOKUP(A13,Schlußkurse!A$5:AU$105,44,FALSE)/VLOOKUP(A13,Ergebnis_je_Aktie_verwässert!A$3:AJ$103,15,FALSE),""),"")</f>
        <v>25</v>
      </c>
      <c r="M13" s="70">
        <f>IF(VLOOKUP(A13,Ergebnis_je_Aktie_verwässert!A$3:AJ$103,16,FALSE)&gt;0,IF(VLOOKUP(A13,Schlußkurse!A$5:AU$105,45,FALSE)&gt;0,VLOOKUP(A13,Schlußkurse!A$5:AU$105,45,FALSE)/VLOOKUP(A13,Ergebnis_je_Aktie_verwässert!A$3:AJ$103,16,FALSE),""),"")</f>
        <v>47.732673267326732</v>
      </c>
      <c r="N13" s="70">
        <f>IF(VLOOKUP(A13,Ergebnis_je_Aktie_verwässert!A$3:AJ$103,17,FALSE)&gt;0,IF(VLOOKUP(A13,Schlußkurse!A$5:AU$105,46,FALSE)&gt;0,VLOOKUP(A13,Schlußkurse!A$5:AU$105,46,FALSE)/VLOOKUP(A13,Ergebnis_je_Aktie_verwässert!A$3:AJ$103,17,FALSE),""),"")</f>
        <v>17.823834196891191</v>
      </c>
      <c r="O13" s="70">
        <f>IF(VLOOKUP(A13,Ergebnis_je_Aktie_verwässert!A$3:AJ$103,18,FALSE)&gt;0,IF(VLOOKUP(A13,Schlußkurse!A$5:AU$105,47,FALSE)&gt;0,VLOOKUP(A13,Schlußkurse!A$5:AU$105,47,FALSE)/VLOOKUP(A13,Ergebnis_je_Aktie_verwässert!A$3:AJ$103,18,FALSE),""),"")</f>
        <v>19.662576687116562</v>
      </c>
      <c r="P13" s="70">
        <f t="shared" si="0"/>
        <v>14.114104595879558</v>
      </c>
      <c r="Q13" s="3">
        <f ca="1">VLOOKUP(A13,Schlußkurse!A$5:AU$105,35,FALSE)/VLOOKUP(A13,Ergebnis_je_Aktie_verwässert!A$3:AK$103,23,FALSE)</f>
        <v>13.107544691301619</v>
      </c>
      <c r="R13" s="5">
        <f t="shared" ca="1" si="1"/>
        <v>-7.1315888141553985E-2</v>
      </c>
    </row>
    <row r="14" spans="1:18">
      <c r="A14" t="s">
        <v>18</v>
      </c>
      <c r="B14" s="38" t="s">
        <v>19</v>
      </c>
      <c r="C14" s="70">
        <f>IF(VLOOKUP(A14,Ergebnis_je_Aktie_verwässert!A$3:AJ$103,6,FALSE)&gt;0,IF(VLOOKUP(A14,Schlußkurse!A$5:AU$105,35,FALSE)&gt;0,VLOOKUP(A14,Schlußkurse!A$5:AU$105,35,FALSE)/VLOOKUP(A14,Ergebnis_je_Aktie_verwässert!A$3:AJ$103,6,FALSE),""),"")</f>
        <v>8.5740740740740744</v>
      </c>
      <c r="D14" s="70">
        <f>IF(VLOOKUP(A14,Ergebnis_je_Aktie_verwässert!A$3:AJ$103,7,FALSE)&gt;0,IF(VLOOKUP(A14,Schlußkurse!A$5:AU$105,36,FALSE)&gt;0,VLOOKUP(A14,Schlußkurse!A$5:AU$105,36,FALSE)/VLOOKUP(A14,Ergebnis_je_Aktie_verwässert!A$3:AJ$103,7,FALSE),""),"")</f>
        <v>9.0194805194805188</v>
      </c>
      <c r="E14" s="70">
        <f>IF(VLOOKUP(A14,Ergebnis_je_Aktie_verwässert!A$3:AJ$103,8,FALSE)&gt;0,IF(VLOOKUP(A14,Schlußkurse!A$5:AU$105,37,FALSE)&gt;0,VLOOKUP(A14,Schlußkurse!A$5:AU$105,37,FALSE)/VLOOKUP(A14,Ergebnis_je_Aktie_verwässert!A$3:AJ$103,8,FALSE),""),"")</f>
        <v>10.976510067114095</v>
      </c>
      <c r="F14" s="70">
        <f>IF(VLOOKUP(A14,Ergebnis_je_Aktie_verwässert!A$3:AJ$103,9,FALSE)&gt;0,IF(VLOOKUP(A14,Schlußkurse!A$5:AU$105,38,FALSE)&gt;0,VLOOKUP(A14,Schlußkurse!A$5:AU$105,38,FALSE)/VLOOKUP(A14,Ergebnis_je_Aktie_verwässert!A$3:AJ$103,9,FALSE),""),"")</f>
        <v>9.4398625429553249</v>
      </c>
      <c r="G14" s="70">
        <f>IF(VLOOKUP(A14,Ergebnis_je_Aktie_verwässert!A$3:AJ$103,10,FALSE)&gt;0,IF(VLOOKUP(A14,Schlußkurse!A$5:AU$105,39,FALSE)&gt;0,VLOOKUP(A14,Schlußkurse!A$5:AU$105,39,FALSE)/VLOOKUP(A14,Ergebnis_je_Aktie_verwässert!A$3:AJ$103,10,FALSE),""),"")</f>
        <v>9.5564516129032242</v>
      </c>
      <c r="H14" s="70">
        <f>IF(VLOOKUP(A14,Ergebnis_je_Aktie_verwässert!A$3:AJ$103,11,FALSE)&gt;0,IF(VLOOKUP(A14,Schlußkurse!A$5:AU$105,40,FALSE)&gt;0,VLOOKUP(A14,Schlußkurse!A$5:AU$105,40,FALSE)/VLOOKUP(A14,Ergebnis_je_Aktie_verwässert!A$3:AJ$103,11,FALSE),""),"")</f>
        <v>8.0306513409961671</v>
      </c>
      <c r="I14" s="70">
        <f>IF(VLOOKUP(A14,Ergebnis_je_Aktie_verwässert!A$3:AJ$103,12,FALSE)&gt;0,IF(VLOOKUP(A14,Schlußkurse!A$5:AU$105,41,FALSE)&gt;0,VLOOKUP(A14,Schlußkurse!A$5:AU$105,41,FALSE)/VLOOKUP(A14,Ergebnis_je_Aktie_verwässert!A$3:AJ$103,12,FALSE),""),"")</f>
        <v>6.5176366843033504</v>
      </c>
      <c r="J14" s="70">
        <f>IF(VLOOKUP(A14,Ergebnis_je_Aktie_verwässert!A$3:AJ$103,13,FALSE)&gt;0,IF(VLOOKUP(A14,Schlußkurse!A$5:AU$105,42,FALSE)&gt;0,VLOOKUP(A14,Schlußkurse!A$5:AU$105,42,FALSE)/VLOOKUP(A14,Ergebnis_je_Aktie_verwässert!A$3:AJ$103,13,FALSE),""),"")</f>
        <v>16.228102189781023</v>
      </c>
      <c r="K14" s="70">
        <f>IF(VLOOKUP(A14,Ergebnis_je_Aktie_verwässert!A$3:AJ$103,14,FALSE)&gt;0,IF(VLOOKUP(A14,Schlußkurse!A$5:AU$105,43,FALSE)&gt;0,VLOOKUP(A14,Schlußkurse!A$5:AU$105,43,FALSE)/VLOOKUP(A14,Ergebnis_je_Aktie_verwässert!A$3:AJ$103,14,FALSE),""),"")</f>
        <v>7.837230215827339</v>
      </c>
      <c r="L14" s="70">
        <f>IF(VLOOKUP(A14,Ergebnis_je_Aktie_verwässert!A$3:AJ$103,15,FALSE)&gt;0,IF(VLOOKUP(A14,Schlußkurse!A$5:AU$105,44,FALSE)&gt;0,VLOOKUP(A14,Schlußkurse!A$5:AU$105,44,FALSE)/VLOOKUP(A14,Ergebnis_je_Aktie_verwässert!A$3:AJ$103,15,FALSE),""),"")</f>
        <v>7.8947368421052628</v>
      </c>
      <c r="M14" s="70" t="str">
        <f>IF(VLOOKUP(A14,Ergebnis_je_Aktie_verwässert!A$3:AJ$103,16,FALSE)&gt;0,IF(VLOOKUP(A14,Schlußkurse!A$5:AU$105,45,FALSE)&gt;0,VLOOKUP(A14,Schlußkurse!A$5:AU$105,45,FALSE)/VLOOKUP(A14,Ergebnis_je_Aktie_verwässert!A$3:AJ$103,16,FALSE),""),"")</f>
        <v/>
      </c>
      <c r="N14" s="70">
        <f>IF(VLOOKUP(A14,Ergebnis_je_Aktie_verwässert!A$3:AJ$103,17,FALSE)&gt;0,IF(VLOOKUP(A14,Schlußkurse!A$5:AU$105,46,FALSE)&gt;0,VLOOKUP(A14,Schlußkurse!A$5:AU$105,46,FALSE)/VLOOKUP(A14,Ergebnis_je_Aktie_verwässert!A$3:AJ$103,17,FALSE),""),"")</f>
        <v>8.7385657820440414</v>
      </c>
      <c r="O14" s="70">
        <f>IF(VLOOKUP(A14,Ergebnis_je_Aktie_verwässert!A$3:AJ$103,18,FALSE)&gt;0,IF(VLOOKUP(A14,Schlußkurse!A$5:AU$105,47,FALSE)&gt;0,VLOOKUP(A14,Schlußkurse!A$5:AU$105,47,FALSE)/VLOOKUP(A14,Ergebnis_je_Aktie_verwässert!A$3:AJ$103,18,FALSE),""),"")</f>
        <v>7.6245530393325378</v>
      </c>
      <c r="P14" s="70">
        <f t="shared" si="0"/>
        <v>8.6563199280590588</v>
      </c>
      <c r="Q14" s="3">
        <f ca="1">VLOOKUP(A14,Schlußkurse!A$5:AU$105,35,FALSE)/VLOOKUP(A14,Ergebnis_je_Aktie_verwässert!A$3:AK$103,23,FALSE)</f>
        <v>9.2292358803986705</v>
      </c>
      <c r="R14" s="5">
        <f t="shared" ca="1" si="1"/>
        <v>6.6184701709387062E-2</v>
      </c>
    </row>
    <row r="15" spans="1:18">
      <c r="A15" t="s">
        <v>20</v>
      </c>
      <c r="B15" s="38" t="s">
        <v>21</v>
      </c>
      <c r="C15" s="70">
        <f>IF(VLOOKUP(A15,Ergebnis_je_Aktie_verwässert!A$3:AJ$103,6,FALSE)&gt;0,IF(VLOOKUP(A15,Schlußkurse!A$5:AU$105,35,FALSE)&gt;0,VLOOKUP(A15,Schlußkurse!A$5:AU$105,35,FALSE)/VLOOKUP(A15,Ergebnis_je_Aktie_verwässert!A$3:AJ$103,6,FALSE),""),"")</f>
        <v>10.104046242774567</v>
      </c>
      <c r="D15" s="70">
        <f>IF(VLOOKUP(A15,Ergebnis_je_Aktie_verwässert!A$3:AJ$103,7,FALSE)&gt;0,IF(VLOOKUP(A15,Schlußkurse!A$5:AU$105,36,FALSE)&gt;0,VLOOKUP(A15,Schlußkurse!A$5:AU$105,36,FALSE)/VLOOKUP(A15,Ergebnis_je_Aktie_verwässert!A$3:AJ$103,7,FALSE),""),"")</f>
        <v>10.222222222222221</v>
      </c>
      <c r="E15" s="70">
        <f>IF(VLOOKUP(A15,Ergebnis_je_Aktie_verwässert!A$3:AJ$103,8,FALSE)&gt;0,IF(VLOOKUP(A15,Schlußkurse!A$5:AU$105,37,FALSE)&gt;0,VLOOKUP(A15,Schlußkurse!A$5:AU$105,37,FALSE)/VLOOKUP(A15,Ergebnis_je_Aktie_verwässert!A$3:AJ$103,8,FALSE),""),"")</f>
        <v>10.985119047619047</v>
      </c>
      <c r="F15" s="70">
        <f>IF(VLOOKUP(A15,Ergebnis_je_Aktie_verwässert!A$3:AJ$103,9,FALSE)&gt;0,IF(VLOOKUP(A15,Schlußkurse!A$5:AU$105,38,FALSE)&gt;0,VLOOKUP(A15,Schlußkurse!A$5:AU$105,38,FALSE)/VLOOKUP(A15,Ergebnis_je_Aktie_verwässert!A$3:AJ$103,9,FALSE),""),"")</f>
        <v>8.8494394020288301</v>
      </c>
      <c r="G15" s="70">
        <f>IF(VLOOKUP(A15,Ergebnis_je_Aktie_verwässert!A$3:AJ$103,10,FALSE)&gt;0,IF(VLOOKUP(A15,Schlußkurse!A$5:AU$105,39,FALSE)&gt;0,VLOOKUP(A15,Schlußkurse!A$5:AU$105,39,FALSE)/VLOOKUP(A15,Ergebnis_je_Aktie_verwässert!A$3:AJ$103,10,FALSE),""),"")</f>
        <v>8.7465865647187346</v>
      </c>
      <c r="H15" s="70">
        <f>IF(VLOOKUP(A15,Ergebnis_je_Aktie_verwässert!A$3:AJ$103,11,FALSE)&gt;0,IF(VLOOKUP(A15,Schlußkurse!A$5:AU$105,40,FALSE)&gt;0,VLOOKUP(A15,Schlußkurse!A$5:AU$105,40,FALSE)/VLOOKUP(A15,Ergebnis_je_Aktie_verwässert!A$3:AJ$103,11,FALSE),""),"")</f>
        <v>7.3513513513513518</v>
      </c>
      <c r="I15" s="70">
        <f>IF(VLOOKUP(A15,Ergebnis_je_Aktie_verwässert!A$3:AJ$103,12,FALSE)&gt;0,IF(VLOOKUP(A15,Schlußkurse!A$5:AU$105,41,FALSE)&gt;0,VLOOKUP(A15,Schlußkurse!A$5:AU$105,41,FALSE)/VLOOKUP(A15,Ergebnis_je_Aktie_verwässert!A$3:AJ$103,12,FALSE),""),"")</f>
        <v>5.2714126807563959</v>
      </c>
      <c r="J15" s="70">
        <f>IF(VLOOKUP(A15,Ergebnis_je_Aktie_verwässert!A$3:AJ$103,13,FALSE)&gt;0,IF(VLOOKUP(A15,Schlußkurse!A$5:AU$105,42,FALSE)&gt;0,VLOOKUP(A15,Schlußkurse!A$5:AU$105,42,FALSE)/VLOOKUP(A15,Ergebnis_je_Aktie_verwässert!A$3:AJ$103,13,FALSE),""),"")</f>
        <v>12.522075055187637</v>
      </c>
      <c r="K15" s="70">
        <f>IF(VLOOKUP(A15,Ergebnis_je_Aktie_verwässert!A$3:AJ$103,14,FALSE)&gt;0,IF(VLOOKUP(A15,Schlußkurse!A$5:AU$105,43,FALSE)&gt;0,VLOOKUP(A15,Schlußkurse!A$5:AU$105,43,FALSE)/VLOOKUP(A15,Ergebnis_je_Aktie_verwässert!A$3:AJ$103,14,FALSE),""),"")</f>
        <v>8.320826952526799</v>
      </c>
      <c r="L15" s="70">
        <f>IF(VLOOKUP(A15,Ergebnis_je_Aktie_verwässert!A$3:AJ$103,15,FALSE)&gt;0,IF(VLOOKUP(A15,Schlußkurse!A$5:AU$105,44,FALSE)&gt;0,VLOOKUP(A15,Schlußkurse!A$5:AU$105,44,FALSE)/VLOOKUP(A15,Ergebnis_je_Aktie_verwässert!A$3:AJ$103,15,FALSE),""),"")</f>
        <v>8.5714285714285712</v>
      </c>
      <c r="M15" s="70">
        <f>IF(VLOOKUP(A15,Ergebnis_je_Aktie_verwässert!A$3:AJ$103,16,FALSE)&gt;0,IF(VLOOKUP(A15,Schlußkurse!A$5:AU$105,45,FALSE)&gt;0,VLOOKUP(A15,Schlußkurse!A$5:AU$105,45,FALSE)/VLOOKUP(A15,Ergebnis_je_Aktie_verwässert!A$3:AJ$103,16,FALSE),""),"")</f>
        <v>17.77272727272727</v>
      </c>
      <c r="N15" s="70">
        <f>IF(VLOOKUP(A15,Ergebnis_je_Aktie_verwässert!A$3:AJ$103,17,FALSE)&gt;0,IF(VLOOKUP(A15,Schlußkurse!A$5:AU$105,46,FALSE)&gt;0,VLOOKUP(A15,Schlußkurse!A$5:AU$105,46,FALSE)/VLOOKUP(A15,Ergebnis_je_Aktie_verwässert!A$3:AJ$103,17,FALSE),""),"")</f>
        <v>7.2860335195530723</v>
      </c>
      <c r="O15" s="70">
        <f>IF(VLOOKUP(A15,Ergebnis_je_Aktie_verwässert!A$3:AJ$103,18,FALSE)&gt;0,IF(VLOOKUP(A15,Schlußkurse!A$5:AU$105,47,FALSE)&gt;0,VLOOKUP(A15,Schlußkurse!A$5:AU$105,47,FALSE)/VLOOKUP(A15,Ergebnis_je_Aktie_verwässert!A$3:AJ$103,18,FALSE),""),"")</f>
        <v>7.5648148148148149</v>
      </c>
      <c r="P15" s="70">
        <f t="shared" si="0"/>
        <v>8.7465865647187346</v>
      </c>
      <c r="Q15" s="3">
        <f ca="1">VLOOKUP(A15,Schlußkurse!A$5:AU$105,35,FALSE)/VLOOKUP(A15,Ergebnis_je_Aktie_verwässert!A$3:AK$103,23,FALSE)</f>
        <v>10.349319123741859</v>
      </c>
      <c r="R15" s="5">
        <f t="shared" ca="1" si="1"/>
        <v>0.18324091886177585</v>
      </c>
    </row>
    <row r="16" spans="1:18">
      <c r="A16" t="s">
        <v>22</v>
      </c>
      <c r="B16" s="38" t="s">
        <v>23</v>
      </c>
      <c r="C16" s="70">
        <f>IF(VLOOKUP(A16,Ergebnis_je_Aktie_verwässert!A$3:AJ$103,6,FALSE)&gt;0,IF(VLOOKUP(A16,Schlußkurse!A$5:AU$105,35,FALSE)&gt;0,VLOOKUP(A16,Schlußkurse!A$5:AU$105,35,FALSE)/VLOOKUP(A16,Ergebnis_je_Aktie_verwässert!A$3:AJ$103,6,FALSE),""),"")</f>
        <v>12.040076335877863</v>
      </c>
      <c r="D16" s="70">
        <f>IF(VLOOKUP(A16,Ergebnis_je_Aktie_verwässert!A$3:AJ$103,7,FALSE)&gt;0,IF(VLOOKUP(A16,Schlußkurse!A$5:AU$105,36,FALSE)&gt;0,VLOOKUP(A16,Schlußkurse!A$5:AU$105,36,FALSE)/VLOOKUP(A16,Ergebnis_je_Aktie_verwässert!A$3:AJ$103,7,FALSE),""),"")</f>
        <v>13.896475770925111</v>
      </c>
      <c r="E16" s="70">
        <f>IF(VLOOKUP(A16,Ergebnis_je_Aktie_verwässert!A$3:AJ$103,8,FALSE)&gt;0,IF(VLOOKUP(A16,Schlußkurse!A$5:AU$105,37,FALSE)&gt;0,VLOOKUP(A16,Schlußkurse!A$5:AU$105,37,FALSE)/VLOOKUP(A16,Ergebnis_je_Aktie_verwässert!A$3:AJ$103,8,FALSE),""),"")</f>
        <v>17.248780487804879</v>
      </c>
      <c r="F16" s="70">
        <f>IF(VLOOKUP(A16,Ergebnis_je_Aktie_verwässert!A$3:AJ$103,9,FALSE)&gt;0,IF(VLOOKUP(A16,Schlußkurse!A$5:AU$105,38,FALSE)&gt;0,VLOOKUP(A16,Schlußkurse!A$5:AU$105,38,FALSE)/VLOOKUP(A16,Ergebnis_je_Aktie_verwässert!A$3:AJ$103,9,FALSE),""),"")</f>
        <v>13.975999999999999</v>
      </c>
      <c r="G16" s="70">
        <f>IF(VLOOKUP(A16,Ergebnis_je_Aktie_verwässert!A$3:AJ$103,10,FALSE)&gt;0,IF(VLOOKUP(A16,Schlußkurse!A$5:AU$105,39,FALSE)&gt;0,VLOOKUP(A16,Schlußkurse!A$5:AU$105,39,FALSE)/VLOOKUP(A16,Ergebnis_je_Aktie_verwässert!A$3:AJ$103,10,FALSE),""),"")</f>
        <v>14.244485294117645</v>
      </c>
      <c r="H16" s="70">
        <f>IF(VLOOKUP(A16,Ergebnis_je_Aktie_verwässert!A$3:AJ$103,11,FALSE)&gt;0,IF(VLOOKUP(A16,Schlußkurse!A$5:AU$105,40,FALSE)&gt;0,VLOOKUP(A16,Schlußkurse!A$5:AU$105,40,FALSE)/VLOOKUP(A16,Ergebnis_je_Aktie_verwässert!A$3:AJ$103,11,FALSE),""),"")</f>
        <v>13.399246704331452</v>
      </c>
      <c r="I16" s="70">
        <f>IF(VLOOKUP(A16,Ergebnis_je_Aktie_verwässert!A$3:AJ$103,12,FALSE)&gt;0,IF(VLOOKUP(A16,Schlußkurse!A$5:AU$105,41,FALSE)&gt;0,VLOOKUP(A16,Schlußkurse!A$5:AU$105,41,FALSE)/VLOOKUP(A16,Ergebnis_je_Aktie_verwässert!A$3:AJ$103,12,FALSE),""),"")</f>
        <v>9.5549645390070932</v>
      </c>
      <c r="J16" s="70">
        <f>IF(VLOOKUP(A16,Ergebnis_je_Aktie_verwässert!A$3:AJ$103,13,FALSE)&gt;0,IF(VLOOKUP(A16,Schlußkurse!A$5:AU$105,42,FALSE)&gt;0,VLOOKUP(A16,Schlußkurse!A$5:AU$105,42,FALSE)/VLOOKUP(A16,Ergebnis_je_Aktie_verwässert!A$3:AJ$103,13,FALSE),""),"")</f>
        <v>9.5367412140575087</v>
      </c>
      <c r="K16" s="70">
        <f>IF(VLOOKUP(A16,Ergebnis_je_Aktie_verwässert!A$3:AJ$103,14,FALSE)&gt;0,IF(VLOOKUP(A16,Schlußkurse!A$5:AU$105,43,FALSE)&gt;0,VLOOKUP(A16,Schlußkurse!A$5:AU$105,43,FALSE)/VLOOKUP(A16,Ergebnis_je_Aktie_verwässert!A$3:AJ$103,14,FALSE),""),"")</f>
        <v>7.5846422338568935</v>
      </c>
      <c r="L16" s="70">
        <f>IF(VLOOKUP(A16,Ergebnis_je_Aktie_verwässert!A$3:AJ$103,15,FALSE)&gt;0,IF(VLOOKUP(A16,Schlußkurse!A$5:AU$105,44,FALSE)&gt;0,VLOOKUP(A16,Schlußkurse!A$5:AU$105,44,FALSE)/VLOOKUP(A16,Ergebnis_je_Aktie_verwässert!A$3:AJ$103,15,FALSE),""),"")</f>
        <v>9.2126245847176094</v>
      </c>
      <c r="M16" s="70">
        <f>IF(VLOOKUP(A16,Ergebnis_je_Aktie_verwässert!A$3:AJ$103,16,FALSE)&gt;0,IF(VLOOKUP(A16,Schlußkurse!A$5:AU$105,45,FALSE)&gt;0,VLOOKUP(A16,Schlußkurse!A$5:AU$105,45,FALSE)/VLOOKUP(A16,Ergebnis_je_Aktie_verwässert!A$3:AJ$103,16,FALSE),""),"")</f>
        <v>13.17012987012987</v>
      </c>
      <c r="N16" s="70">
        <f>IF(VLOOKUP(A16,Ergebnis_je_Aktie_verwässert!A$3:AJ$103,17,FALSE)&gt;0,IF(VLOOKUP(A16,Schlußkurse!A$5:AU$105,46,FALSE)&gt;0,VLOOKUP(A16,Schlußkurse!A$5:AU$105,46,FALSE)/VLOOKUP(A16,Ergebnis_je_Aktie_verwässert!A$3:AJ$103,17,FALSE),""),"")</f>
        <v>8.8762019230769216</v>
      </c>
      <c r="O16" s="70">
        <f>IF(VLOOKUP(A16,Ergebnis_je_Aktie_verwässert!A$3:AJ$103,18,FALSE)&gt;0,IF(VLOOKUP(A16,Schlußkurse!A$5:AU$105,47,FALSE)&gt;0,VLOOKUP(A16,Schlußkurse!A$5:AU$105,47,FALSE)/VLOOKUP(A16,Ergebnis_je_Aktie_verwässert!A$3:AJ$103,18,FALSE),""),"")</f>
        <v>10.142633228840124</v>
      </c>
      <c r="P16" s="70">
        <f t="shared" si="0"/>
        <v>12.040076335877863</v>
      </c>
      <c r="Q16" s="3">
        <f ca="1">VLOOKUP(A16,Schlußkurse!A$5:AU$105,35,FALSE)/VLOOKUP(A16,Ergebnis_je_Aktie_verwässert!A$3:AK$103,23,FALSE)</f>
        <v>14.907844990548208</v>
      </c>
      <c r="R16" s="5">
        <f t="shared" ca="1" si="1"/>
        <v>0.23818525519848799</v>
      </c>
    </row>
    <row r="17" spans="1:18">
      <c r="A17" t="s">
        <v>24</v>
      </c>
      <c r="B17" s="38" t="s">
        <v>25</v>
      </c>
      <c r="C17" s="70">
        <f>IF(VLOOKUP(A17,Ergebnis_je_Aktie_verwässert!A$3:AJ$103,6,FALSE)&gt;0,IF(VLOOKUP(A17,Schlußkurse!A$5:AU$105,35,FALSE)&gt;0,VLOOKUP(A17,Schlußkurse!A$5:AU$105,35,FALSE)/VLOOKUP(A17,Ergebnis_je_Aktie_verwässert!A$3:AJ$103,6,FALSE),""),"")</f>
        <v>14.432624113475178</v>
      </c>
      <c r="D17" s="70">
        <f>IF(VLOOKUP(A17,Ergebnis_je_Aktie_verwässert!A$3:AJ$103,7,FALSE)&gt;0,IF(VLOOKUP(A17,Schlußkurse!A$5:AU$105,36,FALSE)&gt;0,VLOOKUP(A17,Schlußkurse!A$5:AU$105,36,FALSE)/VLOOKUP(A17,Ergebnis_je_Aktie_verwässert!A$3:AJ$103,7,FALSE),""),"")</f>
        <v>15.799689440993788</v>
      </c>
      <c r="E17" s="70">
        <f>IF(VLOOKUP(A17,Ergebnis_je_Aktie_verwässert!A$3:AJ$103,8,FALSE)&gt;0,IF(VLOOKUP(A17,Schlußkurse!A$5:AU$105,37,FALSE)&gt;0,VLOOKUP(A17,Schlußkurse!A$5:AU$105,37,FALSE)/VLOOKUP(A17,Ergebnis_je_Aktie_verwässert!A$3:AJ$103,8,FALSE),""),"")</f>
        <v>20.864864864864867</v>
      </c>
      <c r="F17" s="70">
        <f>IF(VLOOKUP(A17,Ergebnis_je_Aktie_verwässert!A$3:AJ$103,9,FALSE)&gt;0,IF(VLOOKUP(A17,Schlußkurse!A$5:AU$105,38,FALSE)&gt;0,VLOOKUP(A17,Schlußkurse!A$5:AU$105,38,FALSE)/VLOOKUP(A17,Ergebnis_je_Aktie_verwässert!A$3:AJ$103,9,FALSE),""),"")</f>
        <v>22.7364185110664</v>
      </c>
      <c r="G17" s="70">
        <f>IF(VLOOKUP(A17,Ergebnis_je_Aktie_verwässert!A$3:AJ$103,10,FALSE)&gt;0,IF(VLOOKUP(A17,Schlußkurse!A$5:AU$105,39,FALSE)&gt;0,VLOOKUP(A17,Schlußkurse!A$5:AU$105,39,FALSE)/VLOOKUP(A17,Ergebnis_je_Aktie_verwässert!A$3:AJ$103,10,FALSE),""),"")</f>
        <v>22.406593406593409</v>
      </c>
      <c r="H17" s="70">
        <f>IF(VLOOKUP(A17,Ergebnis_je_Aktie_verwässert!A$3:AJ$103,11,FALSE)&gt;0,IF(VLOOKUP(A17,Schlußkurse!A$5:AU$105,40,FALSE)&gt;0,VLOOKUP(A17,Schlußkurse!A$5:AU$105,40,FALSE)/VLOOKUP(A17,Ergebnis_je_Aktie_verwässert!A$3:AJ$103,11,FALSE),""),"")</f>
        <v>16.602771362586605</v>
      </c>
      <c r="I17" s="70">
        <f>IF(VLOOKUP(A17,Ergebnis_je_Aktie_verwässert!A$3:AJ$103,12,FALSE)&gt;0,IF(VLOOKUP(A17,Schlußkurse!A$5:AU$105,41,FALSE)&gt;0,VLOOKUP(A17,Schlußkurse!A$5:AU$105,41,FALSE)/VLOOKUP(A17,Ergebnis_je_Aktie_verwässert!A$3:AJ$103,12,FALSE),""),"")</f>
        <v>12.50632911392405</v>
      </c>
      <c r="J17" s="70">
        <f>IF(VLOOKUP(A17,Ergebnis_je_Aktie_verwässert!A$3:AJ$103,13,FALSE)&gt;0,IF(VLOOKUP(A17,Schlußkurse!A$5:AU$105,42,FALSE)&gt;0,VLOOKUP(A17,Schlußkurse!A$5:AU$105,42,FALSE)/VLOOKUP(A17,Ergebnis_je_Aktie_verwässert!A$3:AJ$103,13,FALSE),""),"")</f>
        <v>15.533707865168537</v>
      </c>
      <c r="K17" s="70">
        <f>IF(VLOOKUP(A17,Ergebnis_je_Aktie_verwässert!A$3:AJ$103,14,FALSE)&gt;0,IF(VLOOKUP(A17,Schlußkurse!A$5:AU$105,43,FALSE)&gt;0,VLOOKUP(A17,Schlußkurse!A$5:AU$105,43,FALSE)/VLOOKUP(A17,Ergebnis_je_Aktie_verwässert!A$3:AJ$103,14,FALSE),""),"")</f>
        <v>24.982142857142854</v>
      </c>
      <c r="L17" s="70">
        <f>IF(VLOOKUP(A17,Ergebnis_je_Aktie_verwässert!A$3:AJ$103,15,FALSE)&gt;0,IF(VLOOKUP(A17,Schlußkurse!A$5:AU$105,44,FALSE)&gt;0,VLOOKUP(A17,Schlußkurse!A$5:AU$105,44,FALSE)/VLOOKUP(A17,Ergebnis_je_Aktie_verwässert!A$3:AJ$103,15,FALSE),""),"")</f>
        <v>18.303964757709249</v>
      </c>
      <c r="M17" s="70">
        <f>IF(VLOOKUP(A17,Ergebnis_je_Aktie_verwässert!A$3:AJ$103,16,FALSE)&gt;0,IF(VLOOKUP(A17,Schlußkurse!A$5:AU$105,45,FALSE)&gt;0,VLOOKUP(A17,Schlußkurse!A$5:AU$105,45,FALSE)/VLOOKUP(A17,Ergebnis_je_Aktie_verwässert!A$3:AJ$103,16,FALSE),""),"")</f>
        <v>21.940350877192984</v>
      </c>
      <c r="N17" s="70">
        <f>IF(VLOOKUP(A17,Ergebnis_je_Aktie_verwässert!A$3:AJ$103,17,FALSE)&gt;0,IF(VLOOKUP(A17,Schlußkurse!A$5:AU$105,46,FALSE)&gt;0,VLOOKUP(A17,Schlußkurse!A$5:AU$105,46,FALSE)/VLOOKUP(A17,Ergebnis_je_Aktie_verwässert!A$3:AJ$103,17,FALSE),""),"")</f>
        <v>15.401515151515149</v>
      </c>
      <c r="O17" s="70">
        <f>IF(VLOOKUP(A17,Ergebnis_je_Aktie_verwässert!A$3:AJ$103,18,FALSE)&gt;0,IF(VLOOKUP(A17,Schlußkurse!A$5:AU$105,47,FALSE)&gt;0,VLOOKUP(A17,Schlußkurse!A$5:AU$105,47,FALSE)/VLOOKUP(A17,Ergebnis_je_Aktie_verwässert!A$3:AJ$103,18,FALSE),""),"")</f>
        <v>15.410480349344978</v>
      </c>
      <c r="P17" s="70">
        <f t="shared" si="0"/>
        <v>16.602771362586605</v>
      </c>
      <c r="Q17" s="3">
        <f ca="1">VLOOKUP(A17,Schlußkurse!A$5:AU$105,35,FALSE)/VLOOKUP(A17,Ergebnis_je_Aktie_verwässert!A$3:AK$103,23,FALSE)</f>
        <v>17.491834278837889</v>
      </c>
      <c r="R17" s="5">
        <f t="shared" ca="1" si="1"/>
        <v>5.3549067010266516E-2</v>
      </c>
    </row>
    <row r="18" spans="1:18">
      <c r="A18" t="s">
        <v>268</v>
      </c>
      <c r="B18" s="38" t="s">
        <v>274</v>
      </c>
      <c r="C18" s="70">
        <f>IF(VLOOKUP(A18,Ergebnis_je_Aktie_verwässert!A$3:AJ$103,6,FALSE)&gt;0,IF(VLOOKUP(A18,Schlußkurse!A$5:AU$105,35,FALSE)&gt;0,VLOOKUP(A18,Schlußkurse!A$5:AU$105,35,FALSE)/VLOOKUP(A18,Ergebnis_je_Aktie_verwässert!A$3:AJ$103,6,FALSE),""),"")</f>
        <v>18.76530612244898</v>
      </c>
      <c r="D18" s="70">
        <f>IF(VLOOKUP(A18,Ergebnis_je_Aktie_verwässert!A$3:AJ$103,7,FALSE)&gt;0,IF(VLOOKUP(A18,Schlußkurse!A$5:AU$105,36,FALSE)&gt;0,VLOOKUP(A18,Schlußkurse!A$5:AU$105,36,FALSE)/VLOOKUP(A18,Ergebnis_je_Aktie_verwässert!A$3:AJ$103,7,FALSE),""),"")</f>
        <v>21.137931034482762</v>
      </c>
      <c r="E18" s="70">
        <f>IF(VLOOKUP(A18,Ergebnis_je_Aktie_verwässert!A$3:AJ$103,8,FALSE)&gt;0,IF(VLOOKUP(A18,Schlußkurse!A$5:AU$105,37,FALSE)&gt;0,VLOOKUP(A18,Schlußkurse!A$5:AU$105,37,FALSE)/VLOOKUP(A18,Ergebnis_je_Aktie_verwässert!A$3:AJ$103,8,FALSE),""),"")</f>
        <v>25.799999999999997</v>
      </c>
      <c r="F18" s="70">
        <f>IF(VLOOKUP(A18,Ergebnis_je_Aktie_verwässert!A$3:AJ$103,9,FALSE)&gt;0,IF(VLOOKUP(A18,Schlußkurse!A$5:AU$105,38,FALSE)&gt;0,VLOOKUP(A18,Schlußkurse!A$5:AU$105,38,FALSE)/VLOOKUP(A18,Ergebnis_je_Aktie_verwässert!A$3:AJ$103,9,FALSE),""),"")</f>
        <v>19.249260355029588</v>
      </c>
      <c r="G18" s="70">
        <f>IF(VLOOKUP(A18,Ergebnis_je_Aktie_verwässert!A$3:AJ$103,10,FALSE)&gt;0,IF(VLOOKUP(A18,Schlußkurse!A$5:AU$105,39,FALSE)&gt;0,VLOOKUP(A18,Schlußkurse!A$5:AU$105,39,FALSE)/VLOOKUP(A18,Ergebnis_je_Aktie_verwässert!A$3:AJ$103,10,FALSE),""),"")</f>
        <v>19.736842105263158</v>
      </c>
      <c r="H18" s="70">
        <f>IF(VLOOKUP(A18,Ergebnis_je_Aktie_verwässert!A$3:AJ$103,11,FALSE)&gt;0,IF(VLOOKUP(A18,Schlußkurse!A$5:AU$105,40,FALSE)&gt;0,VLOOKUP(A18,Schlußkurse!A$5:AU$105,40,FALSE)/VLOOKUP(A18,Ergebnis_je_Aktie_verwässert!A$3:AJ$103,11,FALSE),""),"")</f>
        <v>20.133689839572192</v>
      </c>
      <c r="I18" s="70">
        <f>IF(VLOOKUP(A18,Ergebnis_je_Aktie_verwässert!A$3:AJ$103,12,FALSE)&gt;0,IF(VLOOKUP(A18,Schlußkurse!A$5:AU$105,41,FALSE)&gt;0,VLOOKUP(A18,Schlußkurse!A$5:AU$105,41,FALSE)/VLOOKUP(A18,Ergebnis_je_Aktie_verwässert!A$3:AJ$103,12,FALSE),""),"")</f>
        <v>17.065637065637066</v>
      </c>
      <c r="J18" s="70">
        <f>IF(VLOOKUP(A18,Ergebnis_je_Aktie_verwässert!A$3:AJ$103,13,FALSE)&gt;0,IF(VLOOKUP(A18,Schlußkurse!A$5:AU$105,42,FALSE)&gt;0,VLOOKUP(A18,Schlußkurse!A$5:AU$105,42,FALSE)/VLOOKUP(A18,Ergebnis_je_Aktie_verwässert!A$3:AJ$103,13,FALSE),""),"")</f>
        <v>21.125</v>
      </c>
      <c r="K18" s="70">
        <f>IF(VLOOKUP(A18,Ergebnis_je_Aktie_verwässert!A$3:AJ$103,14,FALSE)&gt;0,IF(VLOOKUP(A18,Schlußkurse!A$5:AU$105,43,FALSE)&gt;0,VLOOKUP(A18,Schlußkurse!A$5:AU$105,43,FALSE)/VLOOKUP(A18,Ergebnis_je_Aktie_verwässert!A$3:AJ$103,14,FALSE),""),"")</f>
        <v>13.498983739837399</v>
      </c>
      <c r="L18" s="70">
        <f>IF(VLOOKUP(A18,Ergebnis_je_Aktie_verwässert!A$3:AJ$103,15,FALSE)&gt;0,IF(VLOOKUP(A18,Schlußkurse!A$5:AU$105,44,FALSE)&gt;0,VLOOKUP(A18,Schlußkurse!A$5:AU$105,44,FALSE)/VLOOKUP(A18,Ergebnis_je_Aktie_verwässert!A$3:AJ$103,15,FALSE),""),"")</f>
        <v>15.510955056179775</v>
      </c>
      <c r="M18" s="70">
        <f>IF(VLOOKUP(A18,Ergebnis_je_Aktie_verwässert!A$3:AJ$103,16,FALSE)&gt;0,IF(VLOOKUP(A18,Schlußkurse!A$5:AU$105,45,FALSE)&gt;0,VLOOKUP(A18,Schlußkurse!A$5:AU$105,45,FALSE)/VLOOKUP(A18,Ergebnis_je_Aktie_verwässert!A$3:AJ$103,16,FALSE),""),"")</f>
        <v>21.237942122186496</v>
      </c>
      <c r="N18" s="70">
        <f>IF(VLOOKUP(A18,Ergebnis_je_Aktie_verwässert!A$3:AJ$103,17,FALSE)&gt;0,IF(VLOOKUP(A18,Schlußkurse!A$5:AU$105,46,FALSE)&gt;0,VLOOKUP(A18,Schlußkurse!A$5:AU$105,46,FALSE)/VLOOKUP(A18,Ergebnis_je_Aktie_verwässert!A$3:AJ$103,17,FALSE),""),"")</f>
        <v>17.623134328358208</v>
      </c>
      <c r="O18" s="70">
        <f>IF(VLOOKUP(A18,Ergebnis_je_Aktie_verwässert!A$3:AJ$103,18,FALSE)&gt;0,IF(VLOOKUP(A18,Schlußkurse!A$5:AU$105,47,FALSE)&gt;0,VLOOKUP(A18,Schlußkurse!A$5:AU$105,47,FALSE)/VLOOKUP(A18,Ergebnis_je_Aktie_verwässert!A$3:AJ$103,18,FALSE),""),"")</f>
        <v>17.795000000000002</v>
      </c>
      <c r="P18" s="70">
        <f t="shared" si="0"/>
        <v>19.249260355029588</v>
      </c>
      <c r="Q18" s="3">
        <f ca="1">VLOOKUP(A18,Schlußkurse!A$5:AU$105,35,FALSE)/VLOOKUP(A18,Ergebnis_je_Aktie_verwässert!A$3:AK$103,23,FALSE)</f>
        <v>22.887367766023647</v>
      </c>
      <c r="R18" s="5">
        <f t="shared" ca="1" si="1"/>
        <v>0.18899985474213143</v>
      </c>
    </row>
    <row r="19" spans="1:18">
      <c r="A19" t="s">
        <v>26</v>
      </c>
      <c r="B19" s="38" t="s">
        <v>27</v>
      </c>
      <c r="C19" s="70">
        <f>IF(VLOOKUP(A19,Ergebnis_je_Aktie_verwässert!A$3:AJ$103,6,FALSE)&gt;0,IF(VLOOKUP(A19,Schlußkurse!A$5:AU$105,35,FALSE)&gt;0,VLOOKUP(A19,Schlußkurse!A$5:AU$105,35,FALSE)/VLOOKUP(A19,Ergebnis_je_Aktie_verwässert!A$3:AJ$103,6,FALSE),""),"")</f>
        <v>11.379268292682926</v>
      </c>
      <c r="D19" s="70">
        <f>IF(VLOOKUP(A19,Ergebnis_je_Aktie_verwässert!A$3:AJ$103,7,FALSE)&gt;0,IF(VLOOKUP(A19,Schlußkurse!A$5:AU$105,36,FALSE)&gt;0,VLOOKUP(A19,Schlußkurse!A$5:AU$105,36,FALSE)/VLOOKUP(A19,Ergebnis_je_Aktie_verwässert!A$3:AJ$103,7,FALSE),""),"")</f>
        <v>12.441333333333333</v>
      </c>
      <c r="E19" s="70">
        <f>IF(VLOOKUP(A19,Ergebnis_je_Aktie_verwässert!A$3:AJ$103,8,FALSE)&gt;0,IF(VLOOKUP(A19,Schlußkurse!A$5:AU$105,37,FALSE)&gt;0,VLOOKUP(A19,Schlußkurse!A$5:AU$105,37,FALSE)/VLOOKUP(A19,Ergebnis_je_Aktie_verwässert!A$3:AJ$103,8,FALSE),""),"")</f>
        <v>15.079710144927537</v>
      </c>
      <c r="F19" s="70">
        <f>IF(VLOOKUP(A19,Ergebnis_je_Aktie_verwässert!A$3:AJ$103,9,FALSE)&gt;0,IF(VLOOKUP(A19,Schlußkurse!A$5:AU$105,38,FALSE)&gt;0,VLOOKUP(A19,Schlußkurse!A$5:AU$105,38,FALSE)/VLOOKUP(A19,Ergebnis_je_Aktie_verwässert!A$3:AJ$103,9,FALSE),""),"")</f>
        <v>22.923076923076923</v>
      </c>
      <c r="G19" s="70">
        <f>IF(VLOOKUP(A19,Ergebnis_je_Aktie_verwässert!A$3:AJ$103,10,FALSE)&gt;0,IF(VLOOKUP(A19,Schlußkurse!A$5:AU$105,39,FALSE)&gt;0,VLOOKUP(A19,Schlußkurse!A$5:AU$105,39,FALSE)/VLOOKUP(A19,Ergebnis_je_Aktie_verwässert!A$3:AJ$103,10,FALSE),""),"")</f>
        <v>19.401639344262296</v>
      </c>
      <c r="H19" s="70">
        <f>IF(VLOOKUP(A19,Ergebnis_je_Aktie_verwässert!A$3:AJ$103,11,FALSE)&gt;0,IF(VLOOKUP(A19,Schlußkurse!A$5:AU$105,40,FALSE)&gt;0,VLOOKUP(A19,Schlußkurse!A$5:AU$105,40,FALSE)/VLOOKUP(A19,Ergebnis_je_Aktie_verwässert!A$3:AJ$103,11,FALSE),""),"")</f>
        <v>10.089108910891088</v>
      </c>
      <c r="I19" s="70">
        <f>IF(VLOOKUP(A19,Ergebnis_je_Aktie_verwässert!A$3:AJ$103,12,FALSE)&gt;0,IF(VLOOKUP(A19,Schlußkurse!A$5:AU$105,41,FALSE)&gt;0,VLOOKUP(A19,Schlußkurse!A$5:AU$105,41,FALSE)/VLOOKUP(A19,Ergebnis_je_Aktie_verwässert!A$3:AJ$103,12,FALSE),""),"")</f>
        <v>15.385057471264368</v>
      </c>
      <c r="J19" s="70">
        <f>IF(VLOOKUP(A19,Ergebnis_je_Aktie_verwässert!A$3:AJ$103,13,FALSE)&gt;0,IF(VLOOKUP(A19,Schlußkurse!A$5:AU$105,42,FALSE)&gt;0,VLOOKUP(A19,Schlußkurse!A$5:AU$105,42,FALSE)/VLOOKUP(A19,Ergebnis_je_Aktie_verwässert!A$3:AJ$103,13,FALSE),""),"")</f>
        <v>14.137500000000001</v>
      </c>
      <c r="K19" s="70">
        <f>IF(VLOOKUP(A19,Ergebnis_je_Aktie_verwässert!A$3:AJ$103,14,FALSE)&gt;0,IF(VLOOKUP(A19,Schlußkurse!A$5:AU$105,43,FALSE)&gt;0,VLOOKUP(A19,Schlußkurse!A$5:AU$105,43,FALSE)/VLOOKUP(A19,Ergebnis_je_Aktie_verwässert!A$3:AJ$103,14,FALSE),""),"")</f>
        <v>8.6755555555555546</v>
      </c>
      <c r="L19" s="70">
        <f>IF(VLOOKUP(A19,Ergebnis_je_Aktie_verwässert!A$3:AJ$103,15,FALSE)&gt;0,IF(VLOOKUP(A19,Schlußkurse!A$5:AU$105,44,FALSE)&gt;0,VLOOKUP(A19,Schlußkurse!A$5:AU$105,44,FALSE)/VLOOKUP(A19,Ergebnis_je_Aktie_verwässert!A$3:AJ$103,15,FALSE),""),"")</f>
        <v>9.2690058479532169</v>
      </c>
      <c r="M19" s="70">
        <f>IF(VLOOKUP(A19,Ergebnis_je_Aktie_verwässert!A$3:AJ$103,16,FALSE)&gt;0,IF(VLOOKUP(A19,Schlußkurse!A$5:AU$105,45,FALSE)&gt;0,VLOOKUP(A19,Schlußkurse!A$5:AU$105,45,FALSE)/VLOOKUP(A19,Ergebnis_je_Aktie_verwässert!A$3:AJ$103,16,FALSE),""),"")</f>
        <v>13.631901840490798</v>
      </c>
      <c r="N19" s="70">
        <f>IF(VLOOKUP(A19,Ergebnis_je_Aktie_verwässert!A$3:AJ$103,17,FALSE)&gt;0,IF(VLOOKUP(A19,Schlußkurse!A$5:AU$105,46,FALSE)&gt;0,VLOOKUP(A19,Schlußkurse!A$5:AU$105,46,FALSE)/VLOOKUP(A19,Ergebnis_je_Aktie_verwässert!A$3:AJ$103,17,FALSE),""),"")</f>
        <v>8.620320855614974</v>
      </c>
      <c r="O19" s="70">
        <f>IF(VLOOKUP(A19,Ergebnis_je_Aktie_verwässert!A$3:AJ$103,18,FALSE)&gt;0,IF(VLOOKUP(A19,Schlußkurse!A$5:AU$105,47,FALSE)&gt;0,VLOOKUP(A19,Schlußkurse!A$5:AU$105,47,FALSE)/VLOOKUP(A19,Ergebnis_je_Aktie_verwässert!A$3:AJ$103,18,FALSE),""),"")</f>
        <v>9.7769230769230777</v>
      </c>
      <c r="P19" s="70">
        <f t="shared" si="0"/>
        <v>12.441333333333333</v>
      </c>
      <c r="Q19" s="3">
        <f ca="1">VLOOKUP(A19,Schlußkurse!A$5:AU$105,35,FALSE)/VLOOKUP(A19,Ergebnis_je_Aktie_verwässert!A$3:AK$103,23,FALSE)</f>
        <v>13.179378531073446</v>
      </c>
      <c r="R19" s="5">
        <f t="shared" ca="1" si="1"/>
        <v>5.9322033898305149E-2</v>
      </c>
    </row>
    <row r="20" spans="1:18">
      <c r="A20" t="s">
        <v>81</v>
      </c>
      <c r="B20" s="38" t="s">
        <v>189</v>
      </c>
      <c r="C20" s="70">
        <f>IF(VLOOKUP(A20,Ergebnis_je_Aktie_verwässert!A$3:AJ$103,6,FALSE)&gt;0,IF(VLOOKUP(A20,Schlußkurse!A$5:AU$105,35,FALSE)&gt;0,VLOOKUP(A20,Schlußkurse!A$5:AU$105,35,FALSE)/VLOOKUP(A20,Ergebnis_je_Aktie_verwässert!A$3:AJ$103,6,FALSE),""),"")</f>
        <v>21.105047748976805</v>
      </c>
      <c r="D20" s="70">
        <f>IF(VLOOKUP(A20,Ergebnis_je_Aktie_verwässert!A$3:AJ$103,7,FALSE)&gt;0,IF(VLOOKUP(A20,Schlußkurse!A$5:AU$105,36,FALSE)&gt;0,VLOOKUP(A20,Schlußkurse!A$5:AU$105,36,FALSE)/VLOOKUP(A20,Ergebnis_je_Aktie_verwässert!A$3:AJ$103,7,FALSE),""),"")</f>
        <v>22.616959064327485</v>
      </c>
      <c r="E20" s="70">
        <f>IF(VLOOKUP(A20,Ergebnis_je_Aktie_verwässert!A$3:AJ$103,8,FALSE)&gt;0,IF(VLOOKUP(A20,Schlußkurse!A$5:AU$105,37,FALSE)&gt;0,VLOOKUP(A20,Schlußkurse!A$5:AU$105,37,FALSE)/VLOOKUP(A20,Ergebnis_je_Aktie_verwässert!A$3:AJ$103,8,FALSE),""),"")</f>
        <v>24.190031152647975</v>
      </c>
      <c r="F20" s="70">
        <f>IF(VLOOKUP(A20,Ergebnis_je_Aktie_verwässert!A$3:AJ$103,9,FALSE)&gt;0,IF(VLOOKUP(A20,Schlußkurse!A$5:AU$105,38,FALSE)&gt;0,VLOOKUP(A20,Schlußkurse!A$5:AU$105,38,FALSE)/VLOOKUP(A20,Ergebnis_je_Aktie_verwässert!A$3:AJ$103,9,FALSE),""),"")</f>
        <v>22.54045307443366</v>
      </c>
      <c r="G20" s="70">
        <f>IF(VLOOKUP(A20,Ergebnis_je_Aktie_verwässert!A$3:AJ$103,10,FALSE)&gt;0,IF(VLOOKUP(A20,Schlußkurse!A$5:AU$105,39,FALSE)&gt;0,VLOOKUP(A20,Schlußkurse!A$5:AU$105,39,FALSE)/VLOOKUP(A20,Ergebnis_je_Aktie_verwässert!A$3:AJ$103,10,FALSE),""),"")</f>
        <v>23.913857677902623</v>
      </c>
      <c r="H20" s="70">
        <f>IF(VLOOKUP(A20,Ergebnis_je_Aktie_verwässert!A$3:AJ$103,11,FALSE)&gt;0,IF(VLOOKUP(A20,Schlußkurse!A$5:AU$105,40,FALSE)&gt;0,VLOOKUP(A20,Schlußkurse!A$5:AU$105,40,FALSE)/VLOOKUP(A20,Ergebnis_je_Aktie_verwässert!A$3:AJ$103,11,FALSE),""),"")</f>
        <v>20.448343079922029</v>
      </c>
      <c r="I20" s="70">
        <f>IF(VLOOKUP(A20,Ergebnis_je_Aktie_verwässert!A$3:AJ$103,12,FALSE)&gt;0,IF(VLOOKUP(A20,Schlußkurse!A$5:AU$105,41,FALSE)&gt;0,VLOOKUP(A20,Schlußkurse!A$5:AU$105,41,FALSE)/VLOOKUP(A20,Ergebnis_je_Aktie_verwässert!A$3:AJ$103,12,FALSE),""),"")</f>
        <v>16.435845213849287</v>
      </c>
      <c r="J20" s="70">
        <f>IF(VLOOKUP(A20,Ergebnis_je_Aktie_verwässert!A$3:AJ$103,13,FALSE)&gt;0,IF(VLOOKUP(A20,Schlußkurse!A$5:AU$105,42,FALSE)&gt;0,VLOOKUP(A20,Schlußkurse!A$5:AU$105,42,FALSE)/VLOOKUP(A20,Ergebnis_je_Aktie_verwässert!A$3:AJ$103,13,FALSE),""),"")</f>
        <v>19.231481481481481</v>
      </c>
      <c r="K20" s="70">
        <f>IF(VLOOKUP(A20,Ergebnis_je_Aktie_verwässert!A$3:AJ$103,14,FALSE)&gt;0,IF(VLOOKUP(A20,Schlußkurse!A$5:AU$105,43,FALSE)&gt;0,VLOOKUP(A20,Schlußkurse!A$5:AU$105,43,FALSE)/VLOOKUP(A20,Ergebnis_je_Aktie_verwässert!A$3:AJ$103,14,FALSE),""),"")</f>
        <v>19.451371571072322</v>
      </c>
      <c r="L20" s="70">
        <f>IF(VLOOKUP(A20,Ergebnis_je_Aktie_verwässert!A$3:AJ$103,15,FALSE)&gt;0,IF(VLOOKUP(A20,Schlußkurse!A$5:AU$105,44,FALSE)&gt;0,VLOOKUP(A20,Schlußkurse!A$5:AU$105,44,FALSE)/VLOOKUP(A20,Ergebnis_je_Aktie_verwässert!A$3:AJ$103,15,FALSE),""),"")</f>
        <v>18.216374269005847</v>
      </c>
      <c r="M20" s="70">
        <f>IF(VLOOKUP(A20,Ergebnis_je_Aktie_verwässert!A$3:AJ$103,16,FALSE)&gt;0,IF(VLOOKUP(A20,Schlußkurse!A$5:AU$105,45,FALSE)&gt;0,VLOOKUP(A20,Schlußkurse!A$5:AU$105,45,FALSE)/VLOOKUP(A20,Ergebnis_je_Aktie_verwässert!A$3:AJ$103,16,FALSE),""),"")</f>
        <v>28.074498567335244</v>
      </c>
      <c r="N20" s="70">
        <f>IF(VLOOKUP(A20,Ergebnis_je_Aktie_verwässert!A$3:AJ$103,17,FALSE)&gt;0,IF(VLOOKUP(A20,Schlußkurse!A$5:AU$105,46,FALSE)&gt;0,VLOOKUP(A20,Schlußkurse!A$5:AU$105,46,FALSE)/VLOOKUP(A20,Ergebnis_je_Aktie_verwässert!A$3:AJ$103,17,FALSE),""),"")</f>
        <v>22.589285714285715</v>
      </c>
      <c r="O20" s="70">
        <f>IF(VLOOKUP(A20,Ergebnis_je_Aktie_verwässert!A$3:AJ$103,18,FALSE)&gt;0,IF(VLOOKUP(A20,Schlußkurse!A$5:AU$105,47,FALSE)&gt;0,VLOOKUP(A20,Schlußkurse!A$5:AU$105,47,FALSE)/VLOOKUP(A20,Ergebnis_je_Aktie_verwässert!A$3:AJ$103,18,FALSE),""),"")</f>
        <v>21.073825503355703</v>
      </c>
      <c r="P20" s="70">
        <f t="shared" si="0"/>
        <v>21.105047748976805</v>
      </c>
      <c r="Q20" s="3">
        <f ca="1">VLOOKUP(A20,Schlußkurse!A$5:AU$105,35,FALSE)/VLOOKUP(A20,Ergebnis_je_Aktie_verwässert!A$3:AK$103,23,FALSE)</f>
        <v>23.632752826153375</v>
      </c>
      <c r="R20" s="5">
        <f t="shared" ca="1" si="1"/>
        <v>0.11976779712801711</v>
      </c>
    </row>
    <row r="21" spans="1:18">
      <c r="A21" t="s">
        <v>82</v>
      </c>
      <c r="B21" s="38" t="s">
        <v>190</v>
      </c>
      <c r="C21" s="70">
        <f>IF(VLOOKUP(A21,Ergebnis_je_Aktie_verwässert!A$3:AJ$103,6,FALSE)&gt;0,IF(VLOOKUP(A21,Schlußkurse!A$5:AU$105,35,FALSE)&gt;0,VLOOKUP(A21,Schlußkurse!A$5:AU$105,35,FALSE)/VLOOKUP(A21,Ergebnis_je_Aktie_verwässert!A$3:AJ$103,6,FALSE),""),"")</f>
        <v>15.535416666666666</v>
      </c>
      <c r="D21" s="70">
        <f>IF(VLOOKUP(A21,Ergebnis_je_Aktie_verwässert!A$3:AJ$103,7,FALSE)&gt;0,IF(VLOOKUP(A21,Schlußkurse!A$5:AU$105,36,FALSE)&gt;0,VLOOKUP(A21,Schlußkurse!A$5:AU$105,36,FALSE)/VLOOKUP(A21,Ergebnis_je_Aktie_verwässert!A$3:AJ$103,7,FALSE),""),"")</f>
        <v>15.470954356846471</v>
      </c>
      <c r="E21" s="70">
        <f>IF(VLOOKUP(A21,Ergebnis_je_Aktie_verwässert!A$3:AJ$103,8,FALSE)&gt;0,IF(VLOOKUP(A21,Schlußkurse!A$5:AU$105,37,FALSE)&gt;0,VLOOKUP(A21,Schlußkurse!A$5:AU$105,37,FALSE)/VLOOKUP(A21,Ergebnis_je_Aktie_verwässert!A$3:AJ$103,8,FALSE),""),"")</f>
        <v>17.702702702702698</v>
      </c>
      <c r="F21" s="70">
        <f>IF(VLOOKUP(A21,Ergebnis_je_Aktie_verwässert!A$3:AJ$103,9,FALSE)&gt;0,IF(VLOOKUP(A21,Schlußkurse!A$5:AU$105,38,FALSE)&gt;0,VLOOKUP(A21,Schlußkurse!A$5:AU$105,38,FALSE)/VLOOKUP(A21,Ergebnis_je_Aktie_verwässert!A$3:AJ$103,9,FALSE),""),"")</f>
        <v>16.483660130718953</v>
      </c>
      <c r="G21" s="70">
        <f>IF(VLOOKUP(A21,Ergebnis_je_Aktie_verwässert!A$3:AJ$103,10,FALSE)&gt;0,IF(VLOOKUP(A21,Schlußkurse!A$5:AU$105,39,FALSE)&gt;0,VLOOKUP(A21,Schlußkurse!A$5:AU$105,39,FALSE)/VLOOKUP(A21,Ergebnis_je_Aktie_verwässert!A$3:AJ$103,10,FALSE),""),"")</f>
        <v>19.041975308641977</v>
      </c>
      <c r="H21" s="70">
        <f>IF(VLOOKUP(A21,Ergebnis_je_Aktie_verwässert!A$3:AJ$103,11,FALSE)&gt;0,IF(VLOOKUP(A21,Schlußkurse!A$5:AU$105,40,FALSE)&gt;0,VLOOKUP(A21,Schlußkurse!A$5:AU$105,40,FALSE)/VLOOKUP(A21,Ergebnis_je_Aktie_verwässert!A$3:AJ$103,11,FALSE),""),"")</f>
        <v>20.053370786516854</v>
      </c>
      <c r="I21" s="70">
        <f>IF(VLOOKUP(A21,Ergebnis_je_Aktie_verwässert!A$3:AJ$103,12,FALSE)&gt;0,IF(VLOOKUP(A21,Schlußkurse!A$5:AU$105,41,FALSE)&gt;0,VLOOKUP(A21,Schlußkurse!A$5:AU$105,41,FALSE)/VLOOKUP(A21,Ergebnis_je_Aktie_verwässert!A$3:AJ$103,12,FALSE),""),"")</f>
        <v>12.555309734513276</v>
      </c>
      <c r="J21" s="70">
        <f>IF(VLOOKUP(A21,Ergebnis_je_Aktie_verwässert!A$3:AJ$103,13,FALSE)&gt;0,IF(VLOOKUP(A21,Schlußkurse!A$5:AU$105,42,FALSE)&gt;0,VLOOKUP(A21,Schlußkurse!A$5:AU$105,42,FALSE)/VLOOKUP(A21,Ergebnis_je_Aktie_verwässert!A$3:AJ$103,13,FALSE),""),"")</f>
        <v>9.4940476190476186</v>
      </c>
      <c r="K21" s="70">
        <f>IF(VLOOKUP(A21,Ergebnis_je_Aktie_verwässert!A$3:AJ$103,14,FALSE)&gt;0,IF(VLOOKUP(A21,Schlußkurse!A$5:AU$105,43,FALSE)&gt;0,VLOOKUP(A21,Schlußkurse!A$5:AU$105,43,FALSE)/VLOOKUP(A21,Ergebnis_je_Aktie_verwässert!A$3:AJ$103,14,FALSE),""),"")</f>
        <v>10.46768060836502</v>
      </c>
      <c r="L21" s="70">
        <f>IF(VLOOKUP(A21,Ergebnis_je_Aktie_verwässert!A$3:AJ$103,15,FALSE)&gt;0,IF(VLOOKUP(A21,Schlußkurse!A$5:AU$105,44,FALSE)&gt;0,VLOOKUP(A21,Schlußkurse!A$5:AU$105,44,FALSE)/VLOOKUP(A21,Ergebnis_je_Aktie_verwässert!A$3:AJ$103,15,FALSE),""),"")</f>
        <v>9.5178197064989529</v>
      </c>
      <c r="M21" s="70">
        <f>IF(VLOOKUP(A21,Ergebnis_je_Aktie_verwässert!A$3:AJ$103,16,FALSE)&gt;0,IF(VLOOKUP(A21,Schlußkurse!A$5:AU$105,45,FALSE)&gt;0,VLOOKUP(A21,Schlußkurse!A$5:AU$105,45,FALSE)/VLOOKUP(A21,Ergebnis_je_Aktie_verwässert!A$3:AJ$103,16,FALSE),""),"")</f>
        <v>16.443864229765012</v>
      </c>
      <c r="N21" s="70">
        <f>IF(VLOOKUP(A21,Ergebnis_je_Aktie_verwässert!A$3:AJ$103,17,FALSE)&gt;0,IF(VLOOKUP(A21,Schlußkurse!A$5:AU$105,46,FALSE)&gt;0,VLOOKUP(A21,Schlußkurse!A$5:AU$105,46,FALSE)/VLOOKUP(A21,Ergebnis_je_Aktie_verwässert!A$3:AJ$103,17,FALSE),""),"")</f>
        <v>18.074935400516797</v>
      </c>
      <c r="O21" s="70">
        <f>IF(VLOOKUP(A21,Ergebnis_je_Aktie_verwässert!A$3:AJ$103,18,FALSE)&gt;0,IF(VLOOKUP(A21,Schlußkurse!A$5:AU$105,47,FALSE)&gt;0,VLOOKUP(A21,Schlußkurse!A$5:AU$105,47,FALSE)/VLOOKUP(A21,Ergebnis_je_Aktie_verwässert!A$3:AJ$103,18,FALSE),""),"")</f>
        <v>25.084745762711862</v>
      </c>
      <c r="P21" s="70">
        <f t="shared" si="0"/>
        <v>16.443864229765012</v>
      </c>
      <c r="Q21" s="3">
        <f ca="1">VLOOKUP(A21,Schlußkurse!A$5:AU$105,35,FALSE)/VLOOKUP(A21,Ergebnis_je_Aktie_verwässert!A$3:AK$103,23,FALSE)</f>
        <v>16.374615722441806</v>
      </c>
      <c r="R21" s="5">
        <f t="shared" ca="1" si="1"/>
        <v>-4.2112064631292245E-3</v>
      </c>
    </row>
    <row r="22" spans="1:18">
      <c r="A22" t="s">
        <v>28</v>
      </c>
      <c r="B22" s="38" t="s">
        <v>29</v>
      </c>
      <c r="C22" s="70">
        <f>IF(VLOOKUP(A22,Ergebnis_je_Aktie_verwässert!A$3:AJ$103,6,FALSE)&gt;0,IF(VLOOKUP(A22,Schlußkurse!A$5:AU$105,35,FALSE)&gt;0,VLOOKUP(A22,Schlußkurse!A$5:AU$105,35,FALSE)/VLOOKUP(A22,Ergebnis_je_Aktie_verwässert!A$3:AJ$103,6,FALSE),""),"")</f>
        <v>17.452991452991455</v>
      </c>
      <c r="D22" s="70">
        <f>IF(VLOOKUP(A22,Ergebnis_je_Aktie_verwässert!A$3:AJ$103,7,FALSE)&gt;0,IF(VLOOKUP(A22,Schlußkurse!A$5:AU$105,36,FALSE)&gt;0,VLOOKUP(A22,Schlußkurse!A$5:AU$105,36,FALSE)/VLOOKUP(A22,Ergebnis_je_Aktie_verwässert!A$3:AJ$103,7,FALSE),""),"")</f>
        <v>18.73394495412844</v>
      </c>
      <c r="E22" s="70">
        <f>IF(VLOOKUP(A22,Ergebnis_je_Aktie_verwässert!A$3:AJ$103,8,FALSE)&gt;0,IF(VLOOKUP(A22,Schlußkurse!A$5:AU$105,37,FALSE)&gt;0,VLOOKUP(A22,Schlußkurse!A$5:AU$105,37,FALSE)/VLOOKUP(A22,Ergebnis_je_Aktie_verwässert!A$3:AJ$103,8,FALSE),""),"")</f>
        <v>20.691029900332229</v>
      </c>
      <c r="F22" s="70">
        <f>IF(VLOOKUP(A22,Ergebnis_je_Aktie_verwässert!A$3:AJ$103,9,FALSE)&gt;0,IF(VLOOKUP(A22,Schlußkurse!A$5:AU$105,38,FALSE)&gt;0,VLOOKUP(A22,Schlußkurse!A$5:AU$105,38,FALSE)/VLOOKUP(A22,Ergebnis_je_Aktie_verwässert!A$3:AJ$103,9,FALSE),""),"")</f>
        <v>25.928571428571431</v>
      </c>
      <c r="G22" s="70">
        <f>IF(VLOOKUP(A22,Ergebnis_je_Aktie_verwässert!A$3:AJ$103,10,FALSE)&gt;0,IF(VLOOKUP(A22,Schlußkurse!A$5:AU$105,39,FALSE)&gt;0,VLOOKUP(A22,Schlußkurse!A$5:AU$105,39,FALSE)/VLOOKUP(A22,Ergebnis_je_Aktie_verwässert!A$3:AJ$103,10,FALSE),""),"")</f>
        <v>19.96946564885496</v>
      </c>
      <c r="H22" s="70">
        <f>IF(VLOOKUP(A22,Ergebnis_je_Aktie_verwässert!A$3:AJ$103,11,FALSE)&gt;0,IF(VLOOKUP(A22,Schlußkurse!A$5:AU$105,40,FALSE)&gt;0,VLOOKUP(A22,Schlußkurse!A$5:AU$105,40,FALSE)/VLOOKUP(A22,Ergebnis_je_Aktie_verwässert!A$3:AJ$103,11,FALSE),""),"")</f>
        <v>17.951438848920866</v>
      </c>
      <c r="I22" s="70">
        <f>IF(VLOOKUP(A22,Ergebnis_je_Aktie_verwässert!A$3:AJ$103,12,FALSE)&gt;0,IF(VLOOKUP(A22,Schlußkurse!A$5:AU$105,41,FALSE)&gt;0,VLOOKUP(A22,Schlußkurse!A$5:AU$105,41,FALSE)/VLOOKUP(A22,Ergebnis_je_Aktie_verwässert!A$3:AJ$103,12,FALSE),""),"")</f>
        <v>16.136212624584719</v>
      </c>
      <c r="J22" s="70">
        <f>IF(VLOOKUP(A22,Ergebnis_je_Aktie_verwässert!A$3:AJ$103,13,FALSE)&gt;0,IF(VLOOKUP(A22,Schlußkurse!A$5:AU$105,42,FALSE)&gt;0,VLOOKUP(A22,Schlußkurse!A$5:AU$105,42,FALSE)/VLOOKUP(A22,Ergebnis_je_Aktie_verwässert!A$3:AJ$103,13,FALSE),""),"")</f>
        <v>16.269896193771626</v>
      </c>
      <c r="K22" s="70">
        <f>IF(VLOOKUP(A22,Ergebnis_je_Aktie_verwässert!A$3:AJ$103,14,FALSE)&gt;0,IF(VLOOKUP(A22,Schlußkurse!A$5:AU$105,43,FALSE)&gt;0,VLOOKUP(A22,Schlußkurse!A$5:AU$105,43,FALSE)/VLOOKUP(A22,Ergebnis_je_Aktie_verwässert!A$3:AJ$103,14,FALSE),""),"")</f>
        <v>15.746323529411763</v>
      </c>
      <c r="L22" s="70">
        <f>IF(VLOOKUP(A22,Ergebnis_je_Aktie_verwässert!A$3:AJ$103,15,FALSE)&gt;0,IF(VLOOKUP(A22,Schlußkurse!A$5:AU$105,44,FALSE)&gt;0,VLOOKUP(A22,Schlußkurse!A$5:AU$105,44,FALSE)/VLOOKUP(A22,Ergebnis_je_Aktie_verwässert!A$3:AJ$103,15,FALSE),""),"")</f>
        <v>16.801556420233464</v>
      </c>
      <c r="M22" s="70">
        <f>IF(VLOOKUP(A22,Ergebnis_je_Aktie_verwässert!A$3:AJ$103,16,FALSE)&gt;0,IF(VLOOKUP(A22,Schlußkurse!A$5:AU$105,45,FALSE)&gt;0,VLOOKUP(A22,Schlußkurse!A$5:AU$105,45,FALSE)/VLOOKUP(A22,Ergebnis_je_Aktie_verwässert!A$3:AJ$103,16,FALSE),""),"")</f>
        <v>23.082706766917291</v>
      </c>
      <c r="N22" s="70">
        <f>IF(VLOOKUP(A22,Ergebnis_je_Aktie_verwässert!A$3:AJ$103,17,FALSE)&gt;0,IF(VLOOKUP(A22,Schlußkurse!A$5:AU$105,46,FALSE)&gt;0,VLOOKUP(A22,Schlußkurse!A$5:AU$105,46,FALSE)/VLOOKUP(A22,Ergebnis_je_Aktie_verwässert!A$3:AJ$103,17,FALSE),""),"")</f>
        <v>23.238866396761132</v>
      </c>
      <c r="O22" s="70">
        <f>IF(VLOOKUP(A22,Ergebnis_je_Aktie_verwässert!A$3:AJ$103,18,FALSE)&gt;0,IF(VLOOKUP(A22,Schlußkurse!A$5:AU$105,47,FALSE)&gt;0,VLOOKUP(A22,Schlußkurse!A$5:AU$105,47,FALSE)/VLOOKUP(A22,Ergebnis_je_Aktie_verwässert!A$3:AJ$103,18,FALSE),""),"")</f>
        <v>18.084016393442624</v>
      </c>
      <c r="P22" s="70">
        <f t="shared" si="0"/>
        <v>18.084016393442624</v>
      </c>
      <c r="Q22" s="3">
        <f ca="1">VLOOKUP(A22,Schlußkurse!A$5:AU$105,35,FALSE)/VLOOKUP(A22,Ergebnis_je_Aktie_verwässert!A$3:AK$103,23,FALSE)</f>
        <v>19.838082901554404</v>
      </c>
      <c r="R22" s="5">
        <f t="shared" ca="1" si="1"/>
        <v>9.6995405774339849E-2</v>
      </c>
    </row>
    <row r="23" spans="1:18">
      <c r="A23" t="s">
        <v>30</v>
      </c>
      <c r="B23" s="38" t="s">
        <v>31</v>
      </c>
      <c r="C23" s="70">
        <f>IF(VLOOKUP(A23,Ergebnis_je_Aktie_verwässert!A$3:AJ$103,6,FALSE)&gt;0,IF(VLOOKUP(A23,Schlußkurse!A$5:AU$105,35,FALSE)&gt;0,VLOOKUP(A23,Schlußkurse!A$5:AU$105,35,FALSE)/VLOOKUP(A23,Ergebnis_je_Aktie_verwässert!A$3:AJ$103,6,FALSE),""),"")</f>
        <v>16.115384615384613</v>
      </c>
      <c r="D23" s="70">
        <f>IF(VLOOKUP(A23,Ergebnis_je_Aktie_verwässert!A$3:AJ$103,7,FALSE)&gt;0,IF(VLOOKUP(A23,Schlußkurse!A$5:AU$105,36,FALSE)&gt;0,VLOOKUP(A23,Schlußkurse!A$5:AU$105,36,FALSE)/VLOOKUP(A23,Ergebnis_je_Aktie_verwässert!A$3:AJ$103,7,FALSE),""),"")</f>
        <v>19.308755760368662</v>
      </c>
      <c r="E23" s="70">
        <f>IF(VLOOKUP(A23,Ergebnis_je_Aktie_verwässert!A$3:AJ$103,8,FALSE)&gt;0,IF(VLOOKUP(A23,Schlußkurse!A$5:AU$105,37,FALSE)&gt;0,VLOOKUP(A23,Schlußkurse!A$5:AU$105,37,FALSE)/VLOOKUP(A23,Ergebnis_je_Aktie_verwässert!A$3:AJ$103,8,FALSE),""),"")</f>
        <v>17.704225352112676</v>
      </c>
      <c r="F23" s="70">
        <f>IF(VLOOKUP(A23,Ergebnis_je_Aktie_verwässert!A$3:AJ$103,9,FALSE)&gt;0,IF(VLOOKUP(A23,Schlußkurse!A$5:AU$105,38,FALSE)&gt;0,VLOOKUP(A23,Schlußkurse!A$5:AU$105,38,FALSE)/VLOOKUP(A23,Ergebnis_je_Aktie_verwässert!A$3:AJ$103,9,FALSE),""),"")</f>
        <v>15.217391304347828</v>
      </c>
      <c r="G23" s="70">
        <f>IF(VLOOKUP(A23,Ergebnis_je_Aktie_verwässert!A$3:AJ$103,10,FALSE)&gt;0,IF(VLOOKUP(A23,Schlußkurse!A$5:AU$105,39,FALSE)&gt;0,VLOOKUP(A23,Schlußkurse!A$5:AU$105,39,FALSE)/VLOOKUP(A23,Ergebnis_je_Aktie_verwässert!A$3:AJ$103,10,FALSE),""),"")</f>
        <v>19.389221556886231</v>
      </c>
      <c r="H23" s="70">
        <f>IF(VLOOKUP(A23,Ergebnis_je_Aktie_verwässert!A$3:AJ$103,11,FALSE)&gt;0,IF(VLOOKUP(A23,Schlußkurse!A$5:AU$105,40,FALSE)&gt;0,VLOOKUP(A23,Schlußkurse!A$5:AU$105,40,FALSE)/VLOOKUP(A23,Ergebnis_je_Aktie_verwässert!A$3:AJ$103,11,FALSE),""),"")</f>
        <v>15.224390243902441</v>
      </c>
      <c r="I23" s="70">
        <f>IF(VLOOKUP(A23,Ergebnis_je_Aktie_verwässert!A$3:AJ$103,12,FALSE)&gt;0,IF(VLOOKUP(A23,Schlußkurse!A$5:AU$105,41,FALSE)&gt;0,VLOOKUP(A23,Schlußkurse!A$5:AU$105,41,FALSE)/VLOOKUP(A23,Ergebnis_je_Aktie_verwässert!A$3:AJ$103,12,FALSE),""),"")</f>
        <v>15.51015228426396</v>
      </c>
      <c r="J23" s="70">
        <f>IF(VLOOKUP(A23,Ergebnis_je_Aktie_verwässert!A$3:AJ$103,13,FALSE)&gt;0,IF(VLOOKUP(A23,Schlußkurse!A$5:AU$105,42,FALSE)&gt;0,VLOOKUP(A23,Schlußkurse!A$5:AU$105,42,FALSE)/VLOOKUP(A23,Ergebnis_je_Aktie_verwässert!A$3:AJ$103,13,FALSE),""),"")</f>
        <v>15.791666666666668</v>
      </c>
      <c r="K23" s="70">
        <f>IF(VLOOKUP(A23,Ergebnis_je_Aktie_verwässert!A$3:AJ$103,14,FALSE)&gt;0,IF(VLOOKUP(A23,Schlußkurse!A$5:AU$105,43,FALSE)&gt;0,VLOOKUP(A23,Schlußkurse!A$5:AU$105,43,FALSE)/VLOOKUP(A23,Ergebnis_je_Aktie_verwässert!A$3:AJ$103,14,FALSE),""),"")</f>
        <v>14.003472222222221</v>
      </c>
      <c r="L23" s="70">
        <f>IF(VLOOKUP(A23,Ergebnis_je_Aktie_verwässert!A$3:AJ$103,15,FALSE)&gt;0,IF(VLOOKUP(A23,Schlußkurse!A$5:AU$105,44,FALSE)&gt;0,VLOOKUP(A23,Schlußkurse!A$5:AU$105,44,FALSE)/VLOOKUP(A23,Ergebnis_je_Aktie_verwässert!A$3:AJ$103,15,FALSE),""),"")</f>
        <v>13.235294117647058</v>
      </c>
      <c r="M23" s="70">
        <f>IF(VLOOKUP(A23,Ergebnis_je_Aktie_verwässert!A$3:AJ$103,16,FALSE)&gt;0,IF(VLOOKUP(A23,Schlußkurse!A$5:AU$105,45,FALSE)&gt;0,VLOOKUP(A23,Schlußkurse!A$5:AU$105,45,FALSE)/VLOOKUP(A23,Ergebnis_je_Aktie_verwässert!A$3:AJ$103,16,FALSE),""),"")</f>
        <v>15.97560975609756</v>
      </c>
      <c r="N23" s="70">
        <f>IF(VLOOKUP(A23,Ergebnis_je_Aktie_verwässert!A$3:AJ$103,17,FALSE)&gt;0,IF(VLOOKUP(A23,Schlußkurse!A$5:AU$105,46,FALSE)&gt;0,VLOOKUP(A23,Schlußkurse!A$5:AU$105,46,FALSE)/VLOOKUP(A23,Ergebnis_je_Aktie_verwässert!A$3:AJ$103,17,FALSE),""),"")</f>
        <v>13.740384615384615</v>
      </c>
      <c r="O23" s="70">
        <f>IF(VLOOKUP(A23,Ergebnis_je_Aktie_verwässert!A$3:AJ$103,18,FALSE)&gt;0,IF(VLOOKUP(A23,Schlußkurse!A$5:AU$105,47,FALSE)&gt;0,VLOOKUP(A23,Schlußkurse!A$5:AU$105,47,FALSE)/VLOOKUP(A23,Ergebnis_je_Aktie_verwässert!A$3:AJ$103,18,FALSE),""),"")</f>
        <v>13.184584178498985</v>
      </c>
      <c r="P23" s="70">
        <f t="shared" si="0"/>
        <v>15.51015228426396</v>
      </c>
      <c r="Q23" s="3">
        <f ca="1">VLOOKUP(A23,Schlußkurse!A$5:AU$105,35,FALSE)/VLOOKUP(A23,Ergebnis_je_Aktie_verwässert!A$3:AK$103,23,FALSE)</f>
        <v>19.561157796451916</v>
      </c>
      <c r="R23" s="5">
        <f t="shared" ca="1" si="1"/>
        <v>0.2611841223698339</v>
      </c>
    </row>
    <row r="24" spans="1:18">
      <c r="A24" t="s">
        <v>32</v>
      </c>
      <c r="B24" s="38" t="s">
        <v>33</v>
      </c>
      <c r="C24" s="70">
        <f>IF(VLOOKUP(A24,Ergebnis_je_Aktie_verwässert!A$3:AJ$103,6,FALSE)&gt;0,IF(VLOOKUP(A24,Schlußkurse!A$5:AU$105,35,FALSE)&gt;0,VLOOKUP(A24,Schlußkurse!A$5:AU$105,35,FALSE)/VLOOKUP(A24,Ergebnis_je_Aktie_verwässert!A$3:AJ$103,6,FALSE),""),"")</f>
        <v>17.111111111111111</v>
      </c>
      <c r="D24" s="70">
        <f>IF(VLOOKUP(A24,Ergebnis_je_Aktie_verwässert!A$3:AJ$103,7,FALSE)&gt;0,IF(VLOOKUP(A24,Schlußkurse!A$5:AU$105,36,FALSE)&gt;0,VLOOKUP(A24,Schlußkurse!A$5:AU$105,36,FALSE)/VLOOKUP(A24,Ergebnis_je_Aktie_verwässert!A$3:AJ$103,7,FALSE),""),"")</f>
        <v>17.906976744186046</v>
      </c>
      <c r="E24" s="70">
        <f>IF(VLOOKUP(A24,Ergebnis_je_Aktie_verwässert!A$3:AJ$103,8,FALSE)&gt;0,IF(VLOOKUP(A24,Schlußkurse!A$5:AU$105,37,FALSE)&gt;0,VLOOKUP(A24,Schlußkurse!A$5:AU$105,37,FALSE)/VLOOKUP(A24,Ergebnis_je_Aktie_verwässert!A$3:AJ$103,8,FALSE),""),"")</f>
        <v>17.150753768844222</v>
      </c>
      <c r="F24" s="70">
        <f>IF(VLOOKUP(A24,Ergebnis_je_Aktie_verwässert!A$3:AJ$103,9,FALSE)&gt;0,IF(VLOOKUP(A24,Schlußkurse!A$5:AU$105,38,FALSE)&gt;0,VLOOKUP(A24,Schlußkurse!A$5:AU$105,38,FALSE)/VLOOKUP(A24,Ergebnis_je_Aktie_verwässert!A$3:AJ$103,9,FALSE),""),"")</f>
        <v>15.050847457627119</v>
      </c>
      <c r="G24" s="70">
        <f>IF(VLOOKUP(A24,Ergebnis_je_Aktie_verwässert!A$3:AJ$103,10,FALSE)&gt;0,IF(VLOOKUP(A24,Schlußkurse!A$5:AU$105,39,FALSE)&gt;0,VLOOKUP(A24,Schlußkurse!A$5:AU$105,39,FALSE)/VLOOKUP(A24,Ergebnis_je_Aktie_verwässert!A$3:AJ$103,10,FALSE),""),"")</f>
        <v>15.452702702702704</v>
      </c>
      <c r="H24" s="70">
        <f>IF(VLOOKUP(A24,Ergebnis_je_Aktie_verwässert!A$3:AJ$103,11,FALSE)&gt;0,IF(VLOOKUP(A24,Schlußkurse!A$5:AU$105,40,FALSE)&gt;0,VLOOKUP(A24,Schlußkurse!A$5:AU$105,40,FALSE)/VLOOKUP(A24,Ergebnis_je_Aktie_verwässert!A$3:AJ$103,11,FALSE),""),"")</f>
        <v>23.875000000000004</v>
      </c>
      <c r="I24" s="70">
        <f>IF(VLOOKUP(A24,Ergebnis_je_Aktie_verwässert!A$3:AJ$103,12,FALSE)&gt;0,IF(VLOOKUP(A24,Schlußkurse!A$5:AU$105,41,FALSE)&gt;0,VLOOKUP(A24,Schlußkurse!A$5:AU$105,41,FALSE)/VLOOKUP(A24,Ergebnis_je_Aktie_verwässert!A$3:AJ$103,12,FALSE),""),"")</f>
        <v>31.970588235294112</v>
      </c>
      <c r="J24" s="70">
        <f>IF(VLOOKUP(A24,Ergebnis_je_Aktie_verwässert!A$3:AJ$103,13,FALSE)&gt;0,IF(VLOOKUP(A24,Schlußkurse!A$5:AU$105,42,FALSE)&gt;0,VLOOKUP(A24,Schlußkurse!A$5:AU$105,42,FALSE)/VLOOKUP(A24,Ergebnis_je_Aktie_verwässert!A$3:AJ$103,13,FALSE),""),"")</f>
        <v>10.717514124293784</v>
      </c>
      <c r="K24" s="70">
        <f>IF(VLOOKUP(A24,Ergebnis_je_Aktie_verwässert!A$3:AJ$103,14,FALSE)&gt;0,IF(VLOOKUP(A24,Schlußkurse!A$5:AU$105,43,FALSE)&gt;0,VLOOKUP(A24,Schlußkurse!A$5:AU$105,43,FALSE)/VLOOKUP(A24,Ergebnis_je_Aktie_verwässert!A$3:AJ$103,14,FALSE),""),"")</f>
        <v>12.216216216216216</v>
      </c>
      <c r="L24" s="70">
        <f>IF(VLOOKUP(A24,Ergebnis_je_Aktie_verwässert!A$3:AJ$103,15,FALSE)&gt;0,IF(VLOOKUP(A24,Schlußkurse!A$5:AU$105,44,FALSE)&gt;0,VLOOKUP(A24,Schlußkurse!A$5:AU$105,44,FALSE)/VLOOKUP(A24,Ergebnis_je_Aktie_verwässert!A$3:AJ$103,15,FALSE),""),"")</f>
        <v>27.646153846153844</v>
      </c>
      <c r="M24" s="70">
        <f>IF(VLOOKUP(A24,Ergebnis_je_Aktie_verwässert!A$3:AJ$103,16,FALSE)&gt;0,IF(VLOOKUP(A24,Schlußkurse!A$5:AU$105,45,FALSE)&gt;0,VLOOKUP(A24,Schlußkurse!A$5:AU$105,45,FALSE)/VLOOKUP(A24,Ergebnis_je_Aktie_verwässert!A$3:AJ$103,16,FALSE),""),"")</f>
        <v>44.82</v>
      </c>
      <c r="N24" s="70">
        <f>IF(VLOOKUP(A24,Ergebnis_je_Aktie_verwässert!A$3:AJ$103,17,FALSE)&gt;0,IF(VLOOKUP(A24,Schlußkurse!A$5:AU$105,46,FALSE)&gt;0,VLOOKUP(A24,Schlußkurse!A$5:AU$105,46,FALSE)/VLOOKUP(A24,Ergebnis_je_Aktie_verwässert!A$3:AJ$103,17,FALSE),""),"")</f>
        <v>15.344827586206899</v>
      </c>
      <c r="O24" s="70" t="str">
        <f>IF(VLOOKUP(A24,Ergebnis_je_Aktie_verwässert!A$3:AJ$103,18,FALSE)&gt;0,IF(VLOOKUP(A24,Schlußkurse!A$5:AU$105,47,FALSE)&gt;0,VLOOKUP(A24,Schlußkurse!A$5:AU$105,47,FALSE)/VLOOKUP(A24,Ergebnis_je_Aktie_verwässert!A$3:AJ$103,18,FALSE),""),"")</f>
        <v/>
      </c>
      <c r="P24" s="70">
        <f t="shared" si="0"/>
        <v>17.130932439977666</v>
      </c>
      <c r="Q24" s="3">
        <f ca="1">VLOOKUP(A24,Schlußkurse!A$5:AU$105,35,FALSE)/VLOOKUP(A24,Ergebnis_je_Aktie_verwässert!A$3:AK$103,23,FALSE)</f>
        <v>18.523468405859081</v>
      </c>
      <c r="R24" s="5">
        <f t="shared" ca="1" si="1"/>
        <v>8.1287809099737984E-2</v>
      </c>
    </row>
    <row r="25" spans="1:18">
      <c r="A25" t="s">
        <v>34</v>
      </c>
      <c r="B25" s="38" t="s">
        <v>35</v>
      </c>
      <c r="C25" s="70">
        <f>IF(VLOOKUP(A25,Ergebnis_je_Aktie_verwässert!A$3:AJ$103,6,FALSE)&gt;0,IF(VLOOKUP(A25,Schlußkurse!A$5:AU$105,35,FALSE)&gt;0,VLOOKUP(A25,Schlußkurse!A$5:AU$105,35,FALSE)/VLOOKUP(A25,Ergebnis_je_Aktie_verwässert!A$3:AJ$103,6,FALSE),""),"")</f>
        <v>34.313725490196077</v>
      </c>
      <c r="D25" s="70">
        <f>IF(VLOOKUP(A25,Ergebnis_je_Aktie_verwässert!A$3:AJ$103,7,FALSE)&gt;0,IF(VLOOKUP(A25,Schlußkurse!A$5:AU$105,36,FALSE)&gt;0,VLOOKUP(A25,Schlußkurse!A$5:AU$105,36,FALSE)/VLOOKUP(A25,Ergebnis_je_Aktie_verwässert!A$3:AJ$103,7,FALSE),""),"")</f>
        <v>50.158730158730165</v>
      </c>
      <c r="E25" s="70">
        <f>IF(VLOOKUP(A25,Ergebnis_je_Aktie_verwässert!A$3:AJ$103,8,FALSE)&gt;0,IF(VLOOKUP(A25,Schlußkurse!A$5:AU$105,37,FALSE)&gt;0,VLOOKUP(A25,Schlußkurse!A$5:AU$105,37,FALSE)/VLOOKUP(A25,Ergebnis_je_Aktie_verwässert!A$3:AJ$103,8,FALSE),""),"")</f>
        <v>218.26732673267327</v>
      </c>
      <c r="F25" s="70">
        <f>IF(VLOOKUP(A25,Ergebnis_je_Aktie_verwässert!A$3:AJ$103,9,FALSE)&gt;0,IF(VLOOKUP(A25,Schlußkurse!A$5:AU$105,38,FALSE)&gt;0,VLOOKUP(A25,Schlußkurse!A$5:AU$105,38,FALSE)/VLOOKUP(A25,Ergebnis_je_Aktie_verwässert!A$3:AJ$103,9,FALSE),""),"")</f>
        <v>10.013636363636364</v>
      </c>
      <c r="G25" s="70">
        <f>IF(VLOOKUP(A25,Ergebnis_je_Aktie_verwässert!A$3:AJ$103,10,FALSE)&gt;0,IF(VLOOKUP(A25,Schlußkurse!A$5:AU$105,39,FALSE)&gt;0,VLOOKUP(A25,Schlußkurse!A$5:AU$105,39,FALSE)/VLOOKUP(A25,Ergebnis_je_Aktie_verwässert!A$3:AJ$103,10,FALSE),""),"")</f>
        <v>4.4748201438848927</v>
      </c>
      <c r="H25" s="70">
        <f>IF(VLOOKUP(A25,Ergebnis_je_Aktie_verwässert!A$3:AJ$103,11,FALSE)&gt;0,IF(VLOOKUP(A25,Schlußkurse!A$5:AU$105,40,FALSE)&gt;0,VLOOKUP(A25,Schlußkurse!A$5:AU$105,40,FALSE)/VLOOKUP(A25,Ergebnis_je_Aktie_verwässert!A$3:AJ$103,11,FALSE),""),"")</f>
        <v>197.93103448275863</v>
      </c>
      <c r="I25" s="70">
        <f>IF(VLOOKUP(A25,Ergebnis_je_Aktie_verwässert!A$3:AJ$103,12,FALSE)&gt;0,IF(VLOOKUP(A25,Schlußkurse!A$5:AU$105,41,FALSE)&gt;0,VLOOKUP(A25,Schlußkurse!A$5:AU$105,41,FALSE)/VLOOKUP(A25,Ergebnis_je_Aktie_verwässert!A$3:AJ$103,12,FALSE),""),"")</f>
        <v>12.607142857142856</v>
      </c>
      <c r="J25" s="70">
        <f>IF(VLOOKUP(A25,Ergebnis_je_Aktie_verwässert!A$3:AJ$103,13,FALSE)&gt;0,IF(VLOOKUP(A25,Schlußkurse!A$5:AU$105,42,FALSE)&gt;0,VLOOKUP(A25,Schlußkurse!A$5:AU$105,42,FALSE)/VLOOKUP(A25,Ergebnis_je_Aktie_verwässert!A$3:AJ$103,13,FALSE),""),"")</f>
        <v>10.133333333333335</v>
      </c>
      <c r="K25" s="70">
        <f>IF(VLOOKUP(A25,Ergebnis_je_Aktie_verwässert!A$3:AJ$103,14,FALSE)&gt;0,IF(VLOOKUP(A25,Schlußkurse!A$5:AU$105,43,FALSE)&gt;0,VLOOKUP(A25,Schlußkurse!A$5:AU$105,43,FALSE)/VLOOKUP(A25,Ergebnis_je_Aktie_verwässert!A$3:AJ$103,14,FALSE),""),"")</f>
        <v>7.671875</v>
      </c>
      <c r="L25" s="70">
        <f>IF(VLOOKUP(A25,Ergebnis_je_Aktie_verwässert!A$3:AJ$103,15,FALSE)&gt;0,IF(VLOOKUP(A25,Schlußkurse!A$5:AU$105,44,FALSE)&gt;0,VLOOKUP(A25,Schlußkurse!A$5:AU$105,44,FALSE)/VLOOKUP(A25,Ergebnis_je_Aktie_verwässert!A$3:AJ$103,15,FALSE),""),"")</f>
        <v>25.15</v>
      </c>
      <c r="M25" s="70">
        <f>IF(VLOOKUP(A25,Ergebnis_je_Aktie_verwässert!A$3:AJ$103,16,FALSE)&gt;0,IF(VLOOKUP(A25,Schlußkurse!A$5:AU$105,45,FALSE)&gt;0,VLOOKUP(A25,Schlußkurse!A$5:AU$105,45,FALSE)/VLOOKUP(A25,Ergebnis_je_Aktie_verwässert!A$3:AJ$103,16,FALSE),""),"")</f>
        <v>10.423076923076923</v>
      </c>
      <c r="N25" s="70" t="str">
        <f>IF(VLOOKUP(A25,Ergebnis_je_Aktie_verwässert!A$3:AJ$103,17,FALSE)&gt;0,IF(VLOOKUP(A25,Schlußkurse!A$5:AU$105,46,FALSE)&gt;0,VLOOKUP(A25,Schlußkurse!A$5:AU$105,46,FALSE)/VLOOKUP(A25,Ergebnis_je_Aktie_verwässert!A$3:AJ$103,17,FALSE),""),"")</f>
        <v/>
      </c>
      <c r="O25" s="70" t="str">
        <f>IF(VLOOKUP(A25,Ergebnis_je_Aktie_verwässert!A$3:AJ$103,18,FALSE)&gt;0,IF(VLOOKUP(A25,Schlußkurse!A$5:AU$105,47,FALSE)&gt;0,VLOOKUP(A25,Schlußkurse!A$5:AU$105,47,FALSE)/VLOOKUP(A25,Ergebnis_je_Aktie_verwässert!A$3:AJ$103,18,FALSE),""),"")</f>
        <v/>
      </c>
      <c r="P25" s="70">
        <f t="shared" si="0"/>
        <v>12.607142857142856</v>
      </c>
      <c r="Q25" s="3">
        <f ca="1">VLOOKUP(A25,Schlußkurse!A$5:AU$105,35,FALSE)/VLOOKUP(A25,Ergebnis_je_Aktie_verwässert!A$3:AK$103,23,FALSE)</f>
        <v>50.32072550320725</v>
      </c>
      <c r="R25" s="5">
        <f t="shared" ca="1" si="1"/>
        <v>2.9914456489796124</v>
      </c>
    </row>
    <row r="26" spans="1:18">
      <c r="A26" t="s">
        <v>277</v>
      </c>
      <c r="B26" s="38" t="s">
        <v>278</v>
      </c>
      <c r="C26" s="70">
        <f>IF(VLOOKUP(A26,Ergebnis_je_Aktie_verwässert!A$3:AJ$103,6,FALSE)&gt;0,IF(VLOOKUP(A26,Schlußkurse!A$5:AU$105,35,FALSE)&gt;0,VLOOKUP(A26,Schlußkurse!A$5:AU$105,35,FALSE)/VLOOKUP(A26,Ergebnis_je_Aktie_verwässert!A$3:AJ$103,6,FALSE),""),"")</f>
        <v>17.881141045958795</v>
      </c>
      <c r="D26" s="70">
        <f>IF(VLOOKUP(A26,Ergebnis_je_Aktie_verwässert!A$3:AJ$103,7,FALSE)&gt;0,IF(VLOOKUP(A26,Schlußkurse!A$5:AU$105,36,FALSE)&gt;0,VLOOKUP(A26,Schlußkurse!A$5:AU$105,36,FALSE)/VLOOKUP(A26,Ergebnis_je_Aktie_verwässert!A$3:AJ$103,7,FALSE),""),"")</f>
        <v>19.588541666666668</v>
      </c>
      <c r="E26" s="70">
        <f>IF(VLOOKUP(A26,Ergebnis_je_Aktie_verwässert!A$3:AJ$103,8,FALSE)&gt;0,IF(VLOOKUP(A26,Schlußkurse!A$5:AU$105,37,FALSE)&gt;0,VLOOKUP(A26,Schlußkurse!A$5:AU$105,37,FALSE)/VLOOKUP(A26,Ergebnis_je_Aktie_verwässert!A$3:AJ$103,8,FALSE),""),"")</f>
        <v>16.833928571428572</v>
      </c>
      <c r="F26" s="70">
        <f>IF(VLOOKUP(A26,Ergebnis_je_Aktie_verwässert!A$3:AJ$103,9,FALSE)&gt;0,IF(VLOOKUP(A26,Schlußkurse!A$5:AU$105,38,FALSE)&gt;0,VLOOKUP(A26,Schlußkurse!A$5:AU$105,38,FALSE)/VLOOKUP(A26,Ergebnis_je_Aktie_verwässert!A$3:AJ$103,9,FALSE),""),"")</f>
        <v>16.817427385892117</v>
      </c>
      <c r="G26" s="70">
        <f>IF(VLOOKUP(A26,Ergebnis_je_Aktie_verwässert!A$3:AJ$103,10,FALSE)&gt;0,IF(VLOOKUP(A26,Schlußkurse!A$5:AU$105,39,FALSE)&gt;0,VLOOKUP(A26,Schlußkurse!A$5:AU$105,39,FALSE)/VLOOKUP(A26,Ergebnis_je_Aktie_verwässert!A$3:AJ$103,10,FALSE),""),"")</f>
        <v>15.984513274336285</v>
      </c>
      <c r="H26" s="70">
        <f>IF(VLOOKUP(A26,Ergebnis_je_Aktie_verwässert!A$3:AJ$103,11,FALSE)&gt;0,IF(VLOOKUP(A26,Schlußkurse!A$5:AU$105,40,FALSE)&gt;0,VLOOKUP(A26,Schlußkurse!A$5:AU$105,40,FALSE)/VLOOKUP(A26,Ergebnis_je_Aktie_verwässert!A$3:AJ$103,11,FALSE),""),"")</f>
        <v>14.631828978622329</v>
      </c>
      <c r="I26" s="70">
        <f>IF(VLOOKUP(A26,Ergebnis_je_Aktie_verwässert!A$3:AJ$103,12,FALSE)&gt;0,IF(VLOOKUP(A26,Schlußkurse!A$5:AU$105,41,FALSE)&gt;0,VLOOKUP(A26,Schlußkurse!A$5:AU$105,41,FALSE)/VLOOKUP(A26,Ergebnis_je_Aktie_verwässert!A$3:AJ$103,12,FALSE),""),"")</f>
        <v>13.955729166666668</v>
      </c>
      <c r="J26" s="70">
        <f>IF(VLOOKUP(A26,Ergebnis_je_Aktie_verwässert!A$3:AJ$103,13,FALSE)&gt;0,IF(VLOOKUP(A26,Schlußkurse!A$5:AU$105,42,FALSE)&gt;0,VLOOKUP(A26,Schlußkurse!A$5:AU$105,42,FALSE)/VLOOKUP(A26,Ergebnis_je_Aktie_verwässert!A$3:AJ$103,13,FALSE),""),"")</f>
        <v>10.764705882352942</v>
      </c>
      <c r="K26" s="70">
        <f>IF(VLOOKUP(A26,Ergebnis_je_Aktie_verwässert!A$3:AJ$103,14,FALSE)&gt;0,IF(VLOOKUP(A26,Schlußkurse!A$5:AU$105,43,FALSE)&gt;0,VLOOKUP(A26,Schlußkurse!A$5:AU$105,43,FALSE)/VLOOKUP(A26,Ergebnis_je_Aktie_verwässert!A$3:AJ$103,14,FALSE),""),"")</f>
        <v>12.406015037593985</v>
      </c>
      <c r="L26" s="70">
        <f>IF(VLOOKUP(A26,Ergebnis_je_Aktie_verwässert!A$3:AJ$103,15,FALSE)&gt;0,IF(VLOOKUP(A26,Schlußkurse!A$5:AU$105,44,FALSE)&gt;0,VLOOKUP(A26,Schlußkurse!A$5:AU$105,44,FALSE)/VLOOKUP(A26,Ergebnis_je_Aktie_verwässert!A$3:AJ$103,15,FALSE),""),"")</f>
        <v>15.432835820895521</v>
      </c>
      <c r="M26" s="70">
        <f>IF(VLOOKUP(A26,Ergebnis_je_Aktie_verwässert!A$3:AJ$103,16,FALSE)&gt;0,IF(VLOOKUP(A26,Schlußkurse!A$5:AU$105,45,FALSE)&gt;0,VLOOKUP(A26,Schlußkurse!A$5:AU$105,45,FALSE)/VLOOKUP(A26,Ergebnis_je_Aktie_verwässert!A$3:AJ$103,16,FALSE),""),"")</f>
        <v>15.550943396226415</v>
      </c>
      <c r="N26" s="70">
        <f>IF(VLOOKUP(A26,Ergebnis_je_Aktie_verwässert!A$3:AJ$103,17,FALSE)&gt;0,IF(VLOOKUP(A26,Schlußkurse!A$5:AU$105,46,FALSE)&gt;0,VLOOKUP(A26,Schlußkurse!A$5:AU$105,46,FALSE)/VLOOKUP(A26,Ergebnis_je_Aktie_verwässert!A$3:AJ$103,17,FALSE),""),"")</f>
        <v>15.055837563451776</v>
      </c>
      <c r="O26" s="70">
        <f>IF(VLOOKUP(A26,Ergebnis_je_Aktie_verwässert!A$3:AJ$103,18,FALSE)&gt;0,IF(VLOOKUP(A26,Schlußkurse!A$5:AU$105,47,FALSE)&gt;0,VLOOKUP(A26,Schlußkurse!A$5:AU$105,47,FALSE)/VLOOKUP(A26,Ergebnis_je_Aktie_verwässert!A$3:AJ$103,18,FALSE),""),"")</f>
        <v>15.155279503105588</v>
      </c>
      <c r="P26" s="70">
        <f t="shared" si="0"/>
        <v>15.432835820895521</v>
      </c>
      <c r="Q26" s="3">
        <f ca="1">VLOOKUP(A26,Schlußkurse!A$5:AU$105,35,FALSE)/VLOOKUP(A26,Ergebnis_je_Aktie_verwässert!A$3:AK$103,23,FALSE)</f>
        <v>19.790107577174929</v>
      </c>
      <c r="R26" s="5">
        <f t="shared" ca="1" si="1"/>
        <v>0.28233772502003895</v>
      </c>
    </row>
    <row r="27" spans="1:18">
      <c r="A27" t="s">
        <v>36</v>
      </c>
      <c r="B27" s="38" t="s">
        <v>37</v>
      </c>
      <c r="C27" s="70">
        <f>IF(VLOOKUP(A27,Ergebnis_je_Aktie_verwässert!A$3:AJ$103,6,FALSE)&gt;0,IF(VLOOKUP(A27,Schlußkurse!A$5:AU$105,35,FALSE)&gt;0,VLOOKUP(A27,Schlußkurse!A$5:AU$105,35,FALSE)/VLOOKUP(A27,Ergebnis_je_Aktie_verwässert!A$3:AJ$103,6,FALSE),""),"")</f>
        <v>17.861990950226247</v>
      </c>
      <c r="D27" s="70">
        <f>IF(VLOOKUP(A27,Ergebnis_je_Aktie_verwässert!A$3:AJ$103,7,FALSE)&gt;0,IF(VLOOKUP(A27,Schlußkurse!A$5:AU$105,36,FALSE)&gt;0,VLOOKUP(A27,Schlußkurse!A$5:AU$105,36,FALSE)/VLOOKUP(A27,Ergebnis_je_Aktie_verwässert!A$3:AJ$103,7,FALSE),""),"")</f>
        <v>19.445812807881776</v>
      </c>
      <c r="E27" s="70">
        <f>IF(VLOOKUP(A27,Ergebnis_je_Aktie_verwässert!A$3:AJ$103,8,FALSE)&gt;0,IF(VLOOKUP(A27,Schlußkurse!A$5:AU$105,37,FALSE)&gt;0,VLOOKUP(A27,Schlußkurse!A$5:AU$105,37,FALSE)/VLOOKUP(A27,Ergebnis_je_Aktie_verwässert!A$3:AJ$103,8,FALSE),""),"")</f>
        <v>21.219576719576718</v>
      </c>
      <c r="F27" s="70">
        <f>IF(VLOOKUP(A27,Ergebnis_je_Aktie_verwässert!A$3:AJ$103,9,FALSE)&gt;0,IF(VLOOKUP(A27,Schlußkurse!A$5:AU$105,38,FALSE)&gt;0,VLOOKUP(A27,Schlußkurse!A$5:AU$105,38,FALSE)/VLOOKUP(A27,Ergebnis_je_Aktie_verwässert!A$3:AJ$103,9,FALSE),""),"")</f>
        <v>18.976744186046513</v>
      </c>
      <c r="G27" s="70">
        <f>IF(VLOOKUP(A27,Ergebnis_je_Aktie_verwässert!A$3:AJ$103,10,FALSE)&gt;0,IF(VLOOKUP(A27,Schlußkurse!A$5:AU$105,39,FALSE)&gt;0,VLOOKUP(A27,Schlußkurse!A$5:AU$105,39,FALSE)/VLOOKUP(A27,Ergebnis_je_Aktie_verwässert!A$3:AJ$103,10,FALSE),""),"")</f>
        <v>16.354748603351954</v>
      </c>
      <c r="H27" s="70">
        <f>IF(VLOOKUP(A27,Ergebnis_je_Aktie_verwässert!A$3:AJ$103,11,FALSE)&gt;0,IF(VLOOKUP(A27,Schlußkurse!A$5:AU$105,40,FALSE)&gt;0,VLOOKUP(A27,Schlußkurse!A$5:AU$105,40,FALSE)/VLOOKUP(A27,Ergebnis_je_Aktie_verwässert!A$3:AJ$103,11,FALSE),""),"")</f>
        <v>17.370481927710845</v>
      </c>
      <c r="I27" s="70">
        <f>IF(VLOOKUP(A27,Ergebnis_je_Aktie_verwässert!A$3:AJ$103,12,FALSE)&gt;0,IF(VLOOKUP(A27,Schlußkurse!A$5:AU$105,41,FALSE)&gt;0,VLOOKUP(A27,Schlußkurse!A$5:AU$105,41,FALSE)/VLOOKUP(A27,Ergebnis_je_Aktie_verwässert!A$3:AJ$103,12,FALSE),""),"")</f>
        <v>17.253246753246753</v>
      </c>
      <c r="J27" s="70">
        <f>IF(VLOOKUP(A27,Ergebnis_je_Aktie_verwässert!A$3:AJ$103,13,FALSE)&gt;0,IF(VLOOKUP(A27,Schlußkurse!A$5:AU$105,42,FALSE)&gt;0,VLOOKUP(A27,Schlußkurse!A$5:AU$105,42,FALSE)/VLOOKUP(A27,Ergebnis_je_Aktie_verwässert!A$3:AJ$103,13,FALSE),""),"")</f>
        <v>15.958904109589042</v>
      </c>
      <c r="K27" s="70">
        <f>IF(VLOOKUP(A27,Ergebnis_je_Aktie_verwässert!A$3:AJ$103,14,FALSE)&gt;0,IF(VLOOKUP(A27,Schlußkurse!A$5:AU$105,43,FALSE)&gt;0,VLOOKUP(A27,Schlußkurse!A$5:AU$105,43,FALSE)/VLOOKUP(A27,Ergebnis_je_Aktie_verwässert!A$3:AJ$103,14,FALSE),""),"")</f>
        <v>15.582191780821919</v>
      </c>
      <c r="L27" s="70">
        <f>IF(VLOOKUP(A27,Ergebnis_je_Aktie_verwässert!A$3:AJ$103,15,FALSE)&gt;0,IF(VLOOKUP(A27,Schlußkurse!A$5:AU$105,44,FALSE)&gt;0,VLOOKUP(A27,Schlußkurse!A$5:AU$105,44,FALSE)/VLOOKUP(A27,Ergebnis_je_Aktie_verwässert!A$3:AJ$103,15,FALSE),""),"")</f>
        <v>14.820512820512821</v>
      </c>
      <c r="M27" s="70">
        <f>IF(VLOOKUP(A27,Ergebnis_je_Aktie_verwässert!A$3:AJ$103,16,FALSE)&gt;0,IF(VLOOKUP(A27,Schlußkurse!A$5:AU$105,45,FALSE)&gt;0,VLOOKUP(A27,Schlußkurse!A$5:AU$105,45,FALSE)/VLOOKUP(A27,Ergebnis_je_Aktie_verwässert!A$3:AJ$103,16,FALSE),""),"")</f>
        <v>20.785123966942148</v>
      </c>
      <c r="N27" s="70">
        <f>IF(VLOOKUP(A27,Ergebnis_je_Aktie_verwässert!A$3:AJ$103,17,FALSE)&gt;0,IF(VLOOKUP(A27,Schlußkurse!A$5:AU$105,46,FALSE)&gt;0,VLOOKUP(A27,Schlußkurse!A$5:AU$105,46,FALSE)/VLOOKUP(A27,Ergebnis_je_Aktie_verwässert!A$3:AJ$103,17,FALSE),""),"")</f>
        <v>15.80152671755725</v>
      </c>
      <c r="O27" s="70">
        <f>IF(VLOOKUP(A27,Ergebnis_je_Aktie_verwässert!A$3:AJ$103,18,FALSE)&gt;0,IF(VLOOKUP(A27,Schlußkurse!A$5:AU$105,47,FALSE)&gt;0,VLOOKUP(A27,Schlußkurse!A$5:AU$105,47,FALSE)/VLOOKUP(A27,Ergebnis_je_Aktie_verwässert!A$3:AJ$103,18,FALSE),""),"")</f>
        <v>17.232350312779268</v>
      </c>
      <c r="P27" s="70">
        <f t="shared" si="0"/>
        <v>17.253246753246753</v>
      </c>
      <c r="Q27" s="3">
        <f ca="1">VLOOKUP(A27,Schlußkurse!A$5:AU$105,35,FALSE)/VLOOKUP(A27,Ergebnis_je_Aktie_verwässert!A$3:AK$103,23,FALSE)</f>
        <v>20.432194616977227</v>
      </c>
      <c r="R27" s="5">
        <f t="shared" ca="1" si="1"/>
        <v>0.18425215318573329</v>
      </c>
    </row>
    <row r="28" spans="1:18">
      <c r="A28" t="s">
        <v>38</v>
      </c>
      <c r="B28" s="38" t="s">
        <v>39</v>
      </c>
      <c r="C28" s="70">
        <f>IF(VLOOKUP(A28,Ergebnis_je_Aktie_verwässert!A$3:AJ$103,6,FALSE)&gt;0,IF(VLOOKUP(A28,Schlußkurse!A$5:AU$105,35,FALSE)&gt;0,VLOOKUP(A28,Schlußkurse!A$5:AU$105,35,FALSE)/VLOOKUP(A28,Ergebnis_je_Aktie_verwässert!A$3:AJ$103,6,FALSE),""),"")</f>
        <v>12.459546925566343</v>
      </c>
      <c r="D28" s="70">
        <f>IF(VLOOKUP(A28,Ergebnis_je_Aktie_verwässert!A$3:AJ$103,7,FALSE)&gt;0,IF(VLOOKUP(A28,Schlußkurse!A$5:AU$105,36,FALSE)&gt;0,VLOOKUP(A28,Schlußkurse!A$5:AU$105,36,FALSE)/VLOOKUP(A28,Ergebnis_je_Aktie_verwässert!A$3:AJ$103,7,FALSE),""),"")</f>
        <v>13.556338028169014</v>
      </c>
      <c r="E28" s="70">
        <f>IF(VLOOKUP(A28,Ergebnis_je_Aktie_verwässert!A$3:AJ$103,8,FALSE)&gt;0,IF(VLOOKUP(A28,Schlußkurse!A$5:AU$105,37,FALSE)&gt;0,VLOOKUP(A28,Schlußkurse!A$5:AU$105,37,FALSE)/VLOOKUP(A28,Ergebnis_je_Aktie_verwässert!A$3:AJ$103,8,FALSE),""),"")</f>
        <v>12.839552238805968</v>
      </c>
      <c r="F28" s="70">
        <f>IF(VLOOKUP(A28,Ergebnis_je_Aktie_verwässert!A$3:AJ$103,9,FALSE)&gt;0,IF(VLOOKUP(A28,Schlußkurse!A$5:AU$105,38,FALSE)&gt;0,VLOOKUP(A28,Schlußkurse!A$5:AU$105,38,FALSE)/VLOOKUP(A28,Ergebnis_je_Aktie_verwässert!A$3:AJ$103,9,FALSE),""),"")</f>
        <v>13.937759336099585</v>
      </c>
      <c r="G28" s="70">
        <f>IF(VLOOKUP(A28,Ergebnis_je_Aktie_verwässert!A$3:AJ$103,10,FALSE)&gt;0,IF(VLOOKUP(A28,Schlußkurse!A$5:AU$105,39,FALSE)&gt;0,VLOOKUP(A28,Schlußkurse!A$5:AU$105,39,FALSE)/VLOOKUP(A28,Ergebnis_je_Aktie_verwässert!A$3:AJ$103,10,FALSE),""),"")</f>
        <v>13.842519685039369</v>
      </c>
      <c r="H28" s="70">
        <f>IF(VLOOKUP(A28,Ergebnis_je_Aktie_verwässert!A$3:AJ$103,11,FALSE)&gt;0,IF(VLOOKUP(A28,Schlußkurse!A$5:AU$105,40,FALSE)&gt;0,VLOOKUP(A28,Schlußkurse!A$5:AU$105,40,FALSE)/VLOOKUP(A28,Ergebnis_je_Aktie_verwässert!A$3:AJ$103,11,FALSE),""),"")</f>
        <v>13.484</v>
      </c>
      <c r="I28" s="70">
        <f>IF(VLOOKUP(A28,Ergebnis_je_Aktie_verwässert!A$3:AJ$103,12,FALSE)&gt;0,IF(VLOOKUP(A28,Schlußkurse!A$5:AU$105,41,FALSE)&gt;0,VLOOKUP(A28,Schlußkurse!A$5:AU$105,41,FALSE)/VLOOKUP(A28,Ergebnis_je_Aktie_verwässert!A$3:AJ$103,12,FALSE),""),"")</f>
        <v>13.09090909090909</v>
      </c>
      <c r="J28" s="70">
        <f>IF(VLOOKUP(A28,Ergebnis_je_Aktie_verwässert!A$3:AJ$103,13,FALSE)&gt;0,IF(VLOOKUP(A28,Schlußkurse!A$5:AU$105,42,FALSE)&gt;0,VLOOKUP(A28,Schlußkurse!A$5:AU$105,42,FALSE)/VLOOKUP(A28,Ergebnis_je_Aktie_verwässert!A$3:AJ$103,13,FALSE),""),"")</f>
        <v>13.354545454545454</v>
      </c>
      <c r="K28" s="70">
        <f>IF(VLOOKUP(A28,Ergebnis_je_Aktie_verwässert!A$3:AJ$103,14,FALSE)&gt;0,IF(VLOOKUP(A28,Schlußkurse!A$5:AU$105,43,FALSE)&gt;0,VLOOKUP(A28,Schlußkurse!A$5:AU$105,43,FALSE)/VLOOKUP(A28,Ergebnis_je_Aktie_verwässert!A$3:AJ$103,14,FALSE),""),"")</f>
        <v>12.240174672489083</v>
      </c>
      <c r="L28" s="70">
        <f>IF(VLOOKUP(A28,Ergebnis_je_Aktie_verwässert!A$3:AJ$103,15,FALSE)&gt;0,IF(VLOOKUP(A28,Schlußkurse!A$5:AU$105,44,FALSE)&gt;0,VLOOKUP(A28,Schlußkurse!A$5:AU$105,44,FALSE)/VLOOKUP(A28,Ergebnis_je_Aktie_verwässert!A$3:AJ$103,15,FALSE),""),"")</f>
        <v>13.768115942028986</v>
      </c>
      <c r="M28" s="70">
        <f>IF(VLOOKUP(A28,Ergebnis_je_Aktie_verwässert!A$3:AJ$103,16,FALSE)&gt;0,IF(VLOOKUP(A28,Schlußkurse!A$5:AU$105,45,FALSE)&gt;0,VLOOKUP(A28,Schlußkurse!A$5:AU$105,45,FALSE)/VLOOKUP(A28,Ergebnis_je_Aktie_verwässert!A$3:AJ$103,16,FALSE),""),"")</f>
        <v>19.24074074074074</v>
      </c>
      <c r="N28" s="70">
        <f>IF(VLOOKUP(A28,Ergebnis_je_Aktie_verwässert!A$3:AJ$103,17,FALSE)&gt;0,IF(VLOOKUP(A28,Schlußkurse!A$5:AU$105,46,FALSE)&gt;0,VLOOKUP(A28,Schlußkurse!A$5:AU$105,46,FALSE)/VLOOKUP(A28,Ergebnis_je_Aktie_verwässert!A$3:AJ$103,17,FALSE),""),"")</f>
        <v>18.427835051546392</v>
      </c>
      <c r="O28" s="70">
        <f>IF(VLOOKUP(A28,Ergebnis_je_Aktie_verwässert!A$3:AJ$103,18,FALSE)&gt;0,IF(VLOOKUP(A28,Schlußkurse!A$5:AU$105,47,FALSE)&gt;0,VLOOKUP(A28,Schlußkurse!A$5:AU$105,47,FALSE)/VLOOKUP(A28,Ergebnis_je_Aktie_verwässert!A$3:AJ$103,18,FALSE),""),"")</f>
        <v>12.957671957671957</v>
      </c>
      <c r="P28" s="70">
        <f t="shared" si="0"/>
        <v>13.484</v>
      </c>
      <c r="Q28" s="3">
        <f ca="1">VLOOKUP(A28,Schlußkurse!A$5:AU$105,35,FALSE)/VLOOKUP(A28,Ergebnis_je_Aktie_verwässert!A$3:AK$103,23,FALSE)</f>
        <v>14.112903225806454</v>
      </c>
      <c r="R28" s="5">
        <f t="shared" ca="1" si="1"/>
        <v>4.6640702002851864E-2</v>
      </c>
    </row>
    <row r="29" spans="1:18">
      <c r="A29" t="s">
        <v>318</v>
      </c>
      <c r="B29" s="38" t="s">
        <v>319</v>
      </c>
      <c r="C29" s="70">
        <f>IF(VLOOKUP(A29,Ergebnis_je_Aktie_verwässert!A$3:AJ$103,6,FALSE)&gt;0,IF(VLOOKUP(A29,Schlußkurse!A$5:AU$105,35,FALSE)&gt;0,VLOOKUP(A29,Schlußkurse!A$5:AU$105,35,FALSE)/VLOOKUP(A29,Ergebnis_je_Aktie_verwässert!A$3:AJ$103,6,FALSE),""),"")</f>
        <v>19.37423469387755</v>
      </c>
      <c r="D29" s="70">
        <f>IF(VLOOKUP(A29,Ergebnis_je_Aktie_verwässert!A$3:AJ$103,7,FALSE)&gt;0,IF(VLOOKUP(A29,Schlußkurse!A$5:AU$105,36,FALSE)&gt;0,VLOOKUP(A29,Schlußkurse!A$5:AU$105,36,FALSE)/VLOOKUP(A29,Ergebnis_je_Aktie_verwässert!A$3:AJ$103,7,FALSE),""),"")</f>
        <v>23.084194528875383</v>
      </c>
      <c r="E29" s="70">
        <f>IF(VLOOKUP(A29,Ergebnis_je_Aktie_verwässert!A$3:AJ$103,8,FALSE)&gt;0,IF(VLOOKUP(A29,Schlußkurse!A$5:AU$105,37,FALSE)&gt;0,VLOOKUP(A29,Schlußkurse!A$5:AU$105,37,FALSE)/VLOOKUP(A29,Ergebnis_je_Aktie_verwässert!A$3:AJ$103,8,FALSE),""),"")</f>
        <v>28.188768115942029</v>
      </c>
      <c r="F29" s="70">
        <f>IF(VLOOKUP(A29,Ergebnis_je_Aktie_verwässert!A$3:AJ$103,9,FALSE)&gt;0,IF(VLOOKUP(A29,Schlußkurse!A$5:AU$105,38,FALSE)&gt;0,VLOOKUP(A29,Schlußkurse!A$5:AU$105,38,FALSE)/VLOOKUP(A29,Ergebnis_je_Aktie_verwässert!A$3:AJ$103,9,FALSE),""),"")</f>
        <v>23.233800350262698</v>
      </c>
      <c r="G29" s="70">
        <f>IF(VLOOKUP(A29,Ergebnis_je_Aktie_verwässert!A$3:AJ$103,10,FALSE)&gt;0,IF(VLOOKUP(A29,Schlußkurse!A$5:AU$105,39,FALSE)&gt;0,VLOOKUP(A29,Schlußkurse!A$5:AU$105,39,FALSE)/VLOOKUP(A29,Ergebnis_je_Aktie_verwässert!A$3:AJ$103,10,FALSE),""),"")</f>
        <v>26.658182683158898</v>
      </c>
      <c r="H29" s="70">
        <f>IF(VLOOKUP(A29,Ergebnis_je_Aktie_verwässert!A$3:AJ$103,11,FALSE)&gt;0,IF(VLOOKUP(A29,Schlußkurse!A$5:AU$105,40,FALSE)&gt;0,VLOOKUP(A29,Schlußkurse!A$5:AU$105,40,FALSE)/VLOOKUP(A29,Ergebnis_je_Aktie_verwässert!A$3:AJ$103,11,FALSE),""),"")</f>
        <v>18.546932354483481</v>
      </c>
      <c r="I29" s="70">
        <f>IF(VLOOKUP(A29,Ergebnis_je_Aktie_verwässert!A$3:AJ$103,12,FALSE)&gt;0,IF(VLOOKUP(A29,Schlußkurse!A$5:AU$105,41,FALSE)&gt;0,VLOOKUP(A29,Schlußkurse!A$5:AU$105,41,FALSE)/VLOOKUP(A29,Ergebnis_je_Aktie_verwässert!A$3:AJ$103,12,FALSE),""),"")</f>
        <v>19.04186320754717</v>
      </c>
      <c r="J29" s="70">
        <f>IF(VLOOKUP(A29,Ergebnis_je_Aktie_verwässert!A$3:AJ$103,13,FALSE)&gt;0,IF(VLOOKUP(A29,Schlußkurse!A$5:AU$105,42,FALSE)&gt;0,VLOOKUP(A29,Schlußkurse!A$5:AU$105,42,FALSE)/VLOOKUP(A29,Ergebnis_je_Aktie_verwässert!A$3:AJ$103,13,FALSE),""),"")</f>
        <v>18.989130434782609</v>
      </c>
      <c r="K29" s="70">
        <f>IF(VLOOKUP(A29,Ergebnis_je_Aktie_verwässert!A$3:AJ$103,14,FALSE)&gt;0,IF(VLOOKUP(A29,Schlußkurse!A$5:AU$105,43,FALSE)&gt;0,VLOOKUP(A29,Schlußkurse!A$5:AU$105,43,FALSE)/VLOOKUP(A29,Ergebnis_je_Aktie_verwässert!A$3:AJ$103,14,FALSE),""),"")</f>
        <v>23.555471124620063</v>
      </c>
      <c r="L29" s="70">
        <f>IF(VLOOKUP(A29,Ergebnis_je_Aktie_verwässert!A$3:AJ$103,15,FALSE)&gt;0,IF(VLOOKUP(A29,Schlußkurse!A$5:AU$105,44,FALSE)&gt;0,VLOOKUP(A29,Schlußkurse!A$5:AU$105,44,FALSE)/VLOOKUP(A29,Ergebnis_je_Aktie_verwässert!A$3:AJ$103,15,FALSE),""),"")</f>
        <v>15.065621939275218</v>
      </c>
      <c r="M29" s="70">
        <f>IF(VLOOKUP(A29,Ergebnis_je_Aktie_verwässert!A$3:AJ$103,16,FALSE)&gt;0,IF(VLOOKUP(A29,Schlußkurse!A$5:AU$105,45,FALSE)&gt;0,VLOOKUP(A29,Schlußkurse!A$5:AU$105,45,FALSE)/VLOOKUP(A29,Ergebnis_je_Aktie_verwässert!A$3:AJ$103,16,FALSE),""),"")</f>
        <v>43.374733408606197</v>
      </c>
      <c r="N29" s="70">
        <f>IF(VLOOKUP(A29,Ergebnis_je_Aktie_verwässert!A$3:AJ$103,17,FALSE)&gt;0,IF(VLOOKUP(A29,Schlußkurse!A$5:AU$105,46,FALSE)&gt;0,VLOOKUP(A29,Schlußkurse!A$5:AU$105,46,FALSE)/VLOOKUP(A29,Ergebnis_je_Aktie_verwässert!A$3:AJ$103,17,FALSE),""),"")</f>
        <v>34.622556390977444</v>
      </c>
      <c r="O29" s="70">
        <f>IF(VLOOKUP(A29,Ergebnis_je_Aktie_verwässert!A$3:AJ$103,18,FALSE)&gt;0,IF(VLOOKUP(A29,Schlußkurse!A$5:AU$105,47,FALSE)&gt;0,VLOOKUP(A29,Schlußkurse!A$5:AU$105,47,FALSE)/VLOOKUP(A29,Ergebnis_je_Aktie_verwässert!A$3:AJ$103,18,FALSE),""),"")</f>
        <v>42.846076458752513</v>
      </c>
      <c r="P29" s="70">
        <f t="shared" si="0"/>
        <v>23.233800350262698</v>
      </c>
      <c r="Q29" s="3">
        <f ca="1">VLOOKUP(A29,Schlußkurse!A$5:AU$105,35,FALSE)/VLOOKUP(A29,Ergebnis_je_Aktie_verwässert!A$3:AK$103,23,FALSE)</f>
        <v>26.018156903048993</v>
      </c>
      <c r="R29" s="5">
        <f t="shared" ca="1" si="1"/>
        <v>0.11984077123890824</v>
      </c>
    </row>
    <row r="30" spans="1:18">
      <c r="A30" t="s">
        <v>91</v>
      </c>
      <c r="B30" s="38" t="s">
        <v>194</v>
      </c>
      <c r="C30" s="70">
        <f>IF(VLOOKUP(A30,Ergebnis_je_Aktie_verwässert!A$3:AJ$103,6,FALSE)&gt;0,IF(VLOOKUP(A30,Schlußkurse!A$5:AU$105,35,FALSE)&gt;0,VLOOKUP(A30,Schlußkurse!A$5:AU$105,35,FALSE)/VLOOKUP(A30,Ergebnis_je_Aktie_verwässert!A$3:AJ$103,6,FALSE),""),"")</f>
        <v>13.479674796747968</v>
      </c>
      <c r="D30" s="70">
        <f>IF(VLOOKUP(A30,Ergebnis_je_Aktie_verwässert!A$3:AJ$103,7,FALSE)&gt;0,IF(VLOOKUP(A30,Schlußkurse!A$5:AU$105,36,FALSE)&gt;0,VLOOKUP(A30,Schlußkurse!A$5:AU$105,36,FALSE)/VLOOKUP(A30,Ergebnis_je_Aktie_verwässert!A$3:AJ$103,7,FALSE),""),"")</f>
        <v>14.869955156950674</v>
      </c>
      <c r="E30" s="70">
        <f>IF(VLOOKUP(A30,Ergebnis_je_Aktie_verwässert!A$3:AJ$103,8,FALSE)&gt;0,IF(VLOOKUP(A30,Schlußkurse!A$5:AU$105,37,FALSE)&gt;0,VLOOKUP(A30,Schlußkurse!A$5:AU$105,37,FALSE)/VLOOKUP(A30,Ergebnis_je_Aktie_verwässert!A$3:AJ$103,8,FALSE),""),"")</f>
        <v>17.462564102564102</v>
      </c>
      <c r="F30" s="70">
        <f>IF(VLOOKUP(A30,Ergebnis_je_Aktie_verwässert!A$3:AJ$103,9,FALSE)&gt;0,IF(VLOOKUP(A30,Schlußkurse!A$5:AU$105,38,FALSE)&gt;0,VLOOKUP(A30,Schlußkurse!A$5:AU$105,38,FALSE)/VLOOKUP(A30,Ergebnis_je_Aktie_verwässert!A$3:AJ$103,9,FALSE),""),"")</f>
        <v>18.24285714285714</v>
      </c>
      <c r="G30" s="70">
        <f>IF(VLOOKUP(A30,Ergebnis_je_Aktie_verwässert!A$3:AJ$103,10,FALSE)&gt;0,IF(VLOOKUP(A30,Schlußkurse!A$5:AU$105,39,FALSE)&gt;0,VLOOKUP(A30,Schlußkurse!A$5:AU$105,39,FALSE)/VLOOKUP(A30,Ergebnis_je_Aktie_verwässert!A$3:AJ$103,10,FALSE),""),"")</f>
        <v>16.363495346432266</v>
      </c>
      <c r="H30" s="70">
        <f>IF(VLOOKUP(A30,Ergebnis_je_Aktie_verwässert!A$3:AJ$103,11,FALSE)&gt;0,IF(VLOOKUP(A30,Schlußkurse!A$5:AU$105,40,FALSE)&gt;0,VLOOKUP(A30,Schlußkurse!A$5:AU$105,40,FALSE)/VLOOKUP(A30,Ergebnis_je_Aktie_verwässert!A$3:AJ$103,11,FALSE),""),"")</f>
        <v>12.467430639324489</v>
      </c>
      <c r="I30" s="70">
        <f>IF(VLOOKUP(A30,Ergebnis_je_Aktie_verwässert!A$3:AJ$103,12,FALSE)&gt;0,IF(VLOOKUP(A30,Schlußkurse!A$5:AU$105,41,FALSE)&gt;0,VLOOKUP(A30,Schlußkurse!A$5:AU$105,41,FALSE)/VLOOKUP(A30,Ergebnis_je_Aktie_verwässert!A$3:AJ$103,12,FALSE),""),"")</f>
        <v>13.029239766081872</v>
      </c>
      <c r="J30" s="70">
        <f>IF(VLOOKUP(A30,Ergebnis_je_Aktie_verwässert!A$3:AJ$103,13,FALSE)&gt;0,IF(VLOOKUP(A30,Schlußkurse!A$5:AU$105,42,FALSE)&gt;0,VLOOKUP(A30,Schlußkurse!A$5:AU$105,42,FALSE)/VLOOKUP(A30,Ergebnis_je_Aktie_verwässert!A$3:AJ$103,13,FALSE),""),"")</f>
        <v>16.082700421940931</v>
      </c>
      <c r="K30" s="70">
        <f>IF(VLOOKUP(A30,Ergebnis_je_Aktie_verwässert!A$3:AJ$103,14,FALSE)&gt;0,IF(VLOOKUP(A30,Schlußkurse!A$5:AU$105,43,FALSE)&gt;0,VLOOKUP(A30,Schlußkurse!A$5:AU$105,43,FALSE)/VLOOKUP(A30,Ergebnis_je_Aktie_verwässert!A$3:AJ$103,14,FALSE),""),"")</f>
        <v>21.224862888482633</v>
      </c>
      <c r="L30" s="70">
        <f>IF(VLOOKUP(A30,Ergebnis_je_Aktie_verwässert!A$3:AJ$103,15,FALSE)&gt;0,IF(VLOOKUP(A30,Schlußkurse!A$5:AU$105,44,FALSE)&gt;0,VLOOKUP(A30,Schlußkurse!A$5:AU$105,44,FALSE)/VLOOKUP(A30,Ergebnis_je_Aktie_verwässert!A$3:AJ$103,15,FALSE),""),"")</f>
        <v>18.814866760168304</v>
      </c>
      <c r="M30" s="70">
        <f>IF(VLOOKUP(A30,Ergebnis_je_Aktie_verwässert!A$3:AJ$103,16,FALSE)&gt;0,IF(VLOOKUP(A30,Schlußkurse!A$5:AU$105,45,FALSE)&gt;0,VLOOKUP(A30,Schlußkurse!A$5:AU$105,45,FALSE)/VLOOKUP(A30,Ergebnis_je_Aktie_verwässert!A$3:AJ$103,16,FALSE),""),"")</f>
        <v>33.612403100775197</v>
      </c>
      <c r="N30" s="70">
        <f>IF(VLOOKUP(A30,Ergebnis_je_Aktie_verwässert!A$3:AJ$103,17,FALSE)&gt;0,IF(VLOOKUP(A30,Schlußkurse!A$5:AU$105,46,FALSE)&gt;0,VLOOKUP(A30,Schlußkurse!A$5:AU$105,46,FALSE)/VLOOKUP(A30,Ergebnis_je_Aktie_verwässert!A$3:AJ$103,17,FALSE),""),"")</f>
        <v>18.64749082007344</v>
      </c>
      <c r="O30" s="70">
        <f>IF(VLOOKUP(A30,Ergebnis_je_Aktie_verwässert!A$3:AJ$103,18,FALSE)&gt;0,IF(VLOOKUP(A30,Schlußkurse!A$5:AU$105,47,FALSE)&gt;0,VLOOKUP(A30,Schlußkurse!A$5:AU$105,47,FALSE)/VLOOKUP(A30,Ergebnis_je_Aktie_verwässert!A$3:AJ$103,18,FALSE),""),"")</f>
        <v>20.26078799249531</v>
      </c>
      <c r="P30" s="70">
        <f t="shared" si="0"/>
        <v>17.462564102564102</v>
      </c>
      <c r="Q30" s="3">
        <f ca="1">VLOOKUP(A30,Schlußkurse!A$5:AU$105,35,FALSE)/VLOOKUP(A30,Ergebnis_je_Aktie_verwässert!A$3:AK$103,23,FALSE)</f>
        <v>16.302851524090464</v>
      </c>
      <c r="R30" s="5">
        <f t="shared" ca="1" si="1"/>
        <v>-6.6411356984129921E-2</v>
      </c>
    </row>
    <row r="31" spans="1:18">
      <c r="A31" t="s">
        <v>267</v>
      </c>
      <c r="B31" s="38" t="s">
        <v>273</v>
      </c>
      <c r="C31" s="70">
        <f>IF(VLOOKUP(A31,Ergebnis_je_Aktie_verwässert!A$3:AJ$103,6,FALSE)&gt;0,IF(VLOOKUP(A31,Schlußkurse!A$5:AU$105,35,FALSE)&gt;0,VLOOKUP(A31,Schlußkurse!A$5:AU$105,35,FALSE)/VLOOKUP(A31,Ergebnis_je_Aktie_verwässert!A$3:AJ$103,6,FALSE),""),"")</f>
        <v>14.352192362093351</v>
      </c>
      <c r="D31" s="70">
        <f>IF(VLOOKUP(A31,Ergebnis_je_Aktie_verwässert!A$3:AJ$103,7,FALSE)&gt;0,IF(VLOOKUP(A31,Schlußkurse!A$5:AU$105,36,FALSE)&gt;0,VLOOKUP(A31,Schlußkurse!A$5:AU$105,36,FALSE)/VLOOKUP(A31,Ergebnis_je_Aktie_verwässert!A$3:AJ$103,7,FALSE),""),"")</f>
        <v>16.366129032258065</v>
      </c>
      <c r="E31" s="70">
        <f>IF(VLOOKUP(A31,Ergebnis_je_Aktie_verwässert!A$3:AJ$103,8,FALSE)&gt;0,IF(VLOOKUP(A31,Schlußkurse!A$5:AU$105,37,FALSE)&gt;0,VLOOKUP(A31,Schlußkurse!A$5:AU$105,37,FALSE)/VLOOKUP(A31,Ergebnis_je_Aktie_verwässert!A$3:AJ$103,8,FALSE),""),"")</f>
        <v>17.939449541284404</v>
      </c>
      <c r="F31" s="70">
        <f>IF(VLOOKUP(A31,Ergebnis_je_Aktie_verwässert!A$3:AJ$103,9,FALSE)&gt;0,IF(VLOOKUP(A31,Schlußkurse!A$5:AU$105,38,FALSE)&gt;0,VLOOKUP(A31,Schlußkurse!A$5:AU$105,38,FALSE)/VLOOKUP(A31,Ergebnis_je_Aktie_verwässert!A$3:AJ$103,9,FALSE),""),"")</f>
        <v>20.106471816283925</v>
      </c>
      <c r="G31" s="70">
        <f>IF(VLOOKUP(A31,Ergebnis_je_Aktie_verwässert!A$3:AJ$103,10,FALSE)&gt;0,IF(VLOOKUP(A31,Schlußkurse!A$5:AU$105,39,FALSE)&gt;0,VLOOKUP(A31,Schlußkurse!A$5:AU$105,39,FALSE)/VLOOKUP(A31,Ergebnis_je_Aktie_verwässert!A$3:AJ$103,10,FALSE),""),"")</f>
        <v>16.919621749408979</v>
      </c>
      <c r="H31" s="70">
        <f>IF(VLOOKUP(A31,Ergebnis_je_Aktie_verwässert!A$3:AJ$103,11,FALSE)&gt;0,IF(VLOOKUP(A31,Schlußkurse!A$5:AU$105,40,FALSE)&gt;0,VLOOKUP(A31,Schlußkurse!A$5:AU$105,40,FALSE)/VLOOKUP(A31,Ergebnis_je_Aktie_verwässert!A$3:AJ$103,11,FALSE),""),"")</f>
        <v>13.032345013477089</v>
      </c>
      <c r="I31" s="70">
        <f>IF(VLOOKUP(A31,Ergebnis_je_Aktie_verwässert!A$3:AJ$103,12,FALSE)&gt;0,IF(VLOOKUP(A31,Schlußkurse!A$5:AU$105,41,FALSE)&gt;0,VLOOKUP(A31,Schlußkurse!A$5:AU$105,41,FALSE)/VLOOKUP(A31,Ergebnis_je_Aktie_verwässert!A$3:AJ$103,12,FALSE),""),"")</f>
        <v>12.74375</v>
      </c>
      <c r="J31" s="70">
        <f>IF(VLOOKUP(A31,Ergebnis_je_Aktie_verwässert!A$3:AJ$103,13,FALSE)&gt;0,IF(VLOOKUP(A31,Schlußkurse!A$5:AU$105,42,FALSE)&gt;0,VLOOKUP(A31,Schlußkurse!A$5:AU$105,42,FALSE)/VLOOKUP(A31,Ergebnis_je_Aktie_verwässert!A$3:AJ$103,13,FALSE),""),"")</f>
        <v>13.688976377952757</v>
      </c>
      <c r="K31" s="70">
        <f>IF(VLOOKUP(A31,Ergebnis_je_Aktie_verwässert!A$3:AJ$103,14,FALSE)&gt;0,IF(VLOOKUP(A31,Schlußkurse!A$5:AU$105,43,FALSE)&gt;0,VLOOKUP(A31,Schlußkurse!A$5:AU$105,43,FALSE)/VLOOKUP(A31,Ergebnis_je_Aktie_verwässert!A$3:AJ$103,14,FALSE),""),"")</f>
        <v>12.935742971887549</v>
      </c>
      <c r="L31" s="70">
        <f>IF(VLOOKUP(A31,Ergebnis_je_Aktie_verwässert!A$3:AJ$103,15,FALSE)&gt;0,IF(VLOOKUP(A31,Schlußkurse!A$5:AU$105,44,FALSE)&gt;0,VLOOKUP(A31,Schlußkurse!A$5:AU$105,44,FALSE)/VLOOKUP(A31,Ergebnis_je_Aktie_verwässert!A$3:AJ$103,15,FALSE),""),"")</f>
        <v>11.82716049382716</v>
      </c>
      <c r="M31" s="70">
        <f>IF(VLOOKUP(A31,Ergebnis_je_Aktie_verwässert!A$3:AJ$103,16,FALSE)&gt;0,IF(VLOOKUP(A31,Schlußkurse!A$5:AU$105,45,FALSE)&gt;0,VLOOKUP(A31,Schlußkurse!A$5:AU$105,45,FALSE)/VLOOKUP(A31,Ergebnis_je_Aktie_verwässert!A$3:AJ$103,16,FALSE),""),"")</f>
        <v>18.23394495412844</v>
      </c>
      <c r="N31" s="70">
        <f>IF(VLOOKUP(A31,Ergebnis_je_Aktie_verwässert!A$3:AJ$103,17,FALSE)&gt;0,IF(VLOOKUP(A31,Schlußkurse!A$5:AU$105,46,FALSE)&gt;0,VLOOKUP(A31,Schlußkurse!A$5:AU$105,46,FALSE)/VLOOKUP(A31,Ergebnis_je_Aktie_verwässert!A$3:AJ$103,17,FALSE),""),"")</f>
        <v>16.098958333333336</v>
      </c>
      <c r="O31" s="70">
        <f>IF(VLOOKUP(A31,Ergebnis_je_Aktie_verwässert!A$3:AJ$103,18,FALSE)&gt;0,IF(VLOOKUP(A31,Schlußkurse!A$5:AU$105,47,FALSE)&gt;0,VLOOKUP(A31,Schlußkurse!A$5:AU$105,47,FALSE)/VLOOKUP(A31,Ergebnis_je_Aktie_verwässert!A$3:AJ$103,18,FALSE),""),"")</f>
        <v>16.481249999999999</v>
      </c>
      <c r="P31" s="70">
        <f t="shared" si="0"/>
        <v>16.098958333333336</v>
      </c>
      <c r="Q31" s="3">
        <f ca="1">VLOOKUP(A31,Schlußkurse!A$5:AU$105,35,FALSE)/VLOOKUP(A31,Ergebnis_je_Aktie_verwässert!A$3:AK$103,23,FALSE)</f>
        <v>17.880176211453744</v>
      </c>
      <c r="R31" s="5">
        <f t="shared" ca="1" si="1"/>
        <v>0.11064180931708778</v>
      </c>
    </row>
    <row r="32" spans="1:18">
      <c r="A32" t="s">
        <v>279</v>
      </c>
      <c r="B32" s="38" t="s">
        <v>280</v>
      </c>
      <c r="C32" s="70">
        <f>IF(VLOOKUP(A32,Ergebnis_je_Aktie_verwässert!A$3:AJ$103,6,FALSE)&gt;0,IF(VLOOKUP(A32,Schlußkurse!A$5:AU$105,35,FALSE)&gt;0,VLOOKUP(A32,Schlußkurse!A$5:AU$105,35,FALSE)/VLOOKUP(A32,Ergebnis_je_Aktie_verwässert!A$3:AJ$103,6,FALSE),""),"")</f>
        <v>13.185714285714285</v>
      </c>
      <c r="D32" s="70">
        <f>IF(VLOOKUP(A32,Ergebnis_je_Aktie_verwässert!A$3:AJ$103,7,FALSE)&gt;0,IF(VLOOKUP(A32,Schlußkurse!A$5:AU$105,36,FALSE)&gt;0,VLOOKUP(A32,Schlußkurse!A$5:AU$105,36,FALSE)/VLOOKUP(A32,Ergebnis_je_Aktie_verwässert!A$3:AJ$103,7,FALSE),""),"")</f>
        <v>13.061320754716981</v>
      </c>
      <c r="E32" s="70">
        <f>IF(VLOOKUP(A32,Ergebnis_je_Aktie_verwässert!A$3:AJ$103,8,FALSE)&gt;0,IF(VLOOKUP(A32,Schlußkurse!A$5:AU$105,37,FALSE)&gt;0,VLOOKUP(A32,Schlußkurse!A$5:AU$105,37,FALSE)/VLOOKUP(A32,Ergebnis_je_Aktie_verwässert!A$3:AJ$103,8,FALSE),""),"")</f>
        <v>13.796116504854369</v>
      </c>
      <c r="F32" s="70">
        <f>IF(VLOOKUP(A32,Ergebnis_je_Aktie_verwässert!A$3:AJ$103,9,FALSE)&gt;0,IF(VLOOKUP(A32,Schlußkurse!A$5:AU$105,38,FALSE)&gt;0,VLOOKUP(A32,Schlußkurse!A$5:AU$105,38,FALSE)/VLOOKUP(A32,Ergebnis_je_Aktie_verwässert!A$3:AJ$103,9,FALSE),""),"")</f>
        <v>14.417142857142858</v>
      </c>
      <c r="G32" s="70">
        <f>IF(VLOOKUP(A32,Ergebnis_je_Aktie_verwässert!A$3:AJ$103,10,FALSE)&gt;0,IF(VLOOKUP(A32,Schlußkurse!A$5:AU$105,39,FALSE)&gt;0,VLOOKUP(A32,Schlußkurse!A$5:AU$105,39,FALSE)/VLOOKUP(A32,Ergebnis_je_Aktie_verwässert!A$3:AJ$103,10,FALSE),""),"")</f>
        <v>16.196202531645568</v>
      </c>
      <c r="H32" s="70">
        <f>IF(VLOOKUP(A32,Ergebnis_je_Aktie_verwässert!A$3:AJ$103,11,FALSE)&gt;0,IF(VLOOKUP(A32,Schlußkurse!A$5:AU$105,40,FALSE)&gt;0,VLOOKUP(A32,Schlußkurse!A$5:AU$105,40,FALSE)/VLOOKUP(A32,Ergebnis_je_Aktie_verwässert!A$3:AJ$103,11,FALSE),""),"")</f>
        <v>9.5508982035928138</v>
      </c>
      <c r="I32" s="70">
        <f>IF(VLOOKUP(A32,Ergebnis_je_Aktie_verwässert!A$3:AJ$103,12,FALSE)&gt;0,IF(VLOOKUP(A32,Schlußkurse!A$5:AU$105,41,FALSE)&gt;0,VLOOKUP(A32,Schlußkurse!A$5:AU$105,41,FALSE)/VLOOKUP(A32,Ergebnis_je_Aktie_verwässert!A$3:AJ$103,12,FALSE),""),"")</f>
        <v>10.718120805369129</v>
      </c>
      <c r="J32" s="70">
        <f>IF(VLOOKUP(A32,Ergebnis_je_Aktie_verwässert!A$3:AJ$103,13,FALSE)&gt;0,IF(VLOOKUP(A32,Schlußkurse!A$5:AU$105,42,FALSE)&gt;0,VLOOKUP(A32,Schlußkurse!A$5:AU$105,42,FALSE)/VLOOKUP(A32,Ergebnis_je_Aktie_verwässert!A$3:AJ$103,13,FALSE),""),"")</f>
        <v>17.883720930232556</v>
      </c>
      <c r="K32" s="70">
        <f>IF(VLOOKUP(A32,Ergebnis_je_Aktie_verwässert!A$3:AJ$103,14,FALSE)&gt;0,IF(VLOOKUP(A32,Schlußkurse!A$5:AU$105,43,FALSE)&gt;0,VLOOKUP(A32,Schlußkurse!A$5:AU$105,43,FALSE)/VLOOKUP(A32,Ergebnis_je_Aktie_verwässert!A$3:AJ$103,14,FALSE),""),"")</f>
        <v>16.548872180451127</v>
      </c>
      <c r="L32" s="70">
        <f>IF(VLOOKUP(A32,Ergebnis_je_Aktie_verwässert!A$3:AJ$103,15,FALSE)&gt;0,IF(VLOOKUP(A32,Schlußkurse!A$5:AU$105,44,FALSE)&gt;0,VLOOKUP(A32,Schlußkurse!A$5:AU$105,44,FALSE)/VLOOKUP(A32,Ergebnis_je_Aktie_verwässert!A$3:AJ$103,15,FALSE),""),"")</f>
        <v>20.94285714285714</v>
      </c>
      <c r="M32" s="70">
        <f>IF(VLOOKUP(A32,Ergebnis_je_Aktie_verwässert!A$3:AJ$103,16,FALSE)&gt;0,IF(VLOOKUP(A32,Schlußkurse!A$5:AU$105,45,FALSE)&gt;0,VLOOKUP(A32,Schlußkurse!A$5:AU$105,45,FALSE)/VLOOKUP(A32,Ergebnis_je_Aktie_verwässert!A$3:AJ$103,16,FALSE),""),"")</f>
        <v>22.068702290076335</v>
      </c>
      <c r="N32" s="70">
        <f>IF(VLOOKUP(A32,Ergebnis_je_Aktie_verwässert!A$3:AJ$103,17,FALSE)&gt;0,IF(VLOOKUP(A32,Schlußkurse!A$5:AU$105,46,FALSE)&gt;0,VLOOKUP(A32,Schlußkurse!A$5:AU$105,46,FALSE)/VLOOKUP(A32,Ergebnis_je_Aktie_verwässert!A$3:AJ$103,17,FALSE),""),"")</f>
        <v>15.282051282051283</v>
      </c>
      <c r="O32" s="70">
        <f>IF(VLOOKUP(A32,Ergebnis_je_Aktie_verwässert!A$3:AJ$103,18,FALSE)&gt;0,IF(VLOOKUP(A32,Schlußkurse!A$5:AU$105,47,FALSE)&gt;0,VLOOKUP(A32,Schlußkurse!A$5:AU$105,47,FALSE)/VLOOKUP(A32,Ergebnis_je_Aktie_verwässert!A$3:AJ$103,18,FALSE),""),"")</f>
        <v>21.516853932584269</v>
      </c>
      <c r="P32" s="70">
        <f t="shared" si="0"/>
        <v>15.282051282051283</v>
      </c>
      <c r="Q32" s="3">
        <f ca="1">VLOOKUP(A32,Schlußkurse!A$5:AU$105,35,FALSE)/VLOOKUP(A32,Ergebnis_je_Aktie_verwässert!A$3:AK$103,23,FALSE)</f>
        <v>13.166904422253923</v>
      </c>
      <c r="R32" s="5">
        <f t="shared" ca="1" si="1"/>
        <v>-0.13840726095989431</v>
      </c>
    </row>
    <row r="33" spans="1:18">
      <c r="A33" t="s">
        <v>40</v>
      </c>
      <c r="B33" s="38" t="s">
        <v>41</v>
      </c>
      <c r="C33" s="70">
        <f>IF(VLOOKUP(A33,Ergebnis_je_Aktie_verwässert!A$3:AJ$103,6,FALSE)&gt;0,IF(VLOOKUP(A33,Schlußkurse!A$5:AU$105,35,FALSE)&gt;0,VLOOKUP(A33,Schlußkurse!A$5:AU$105,35,FALSE)/VLOOKUP(A33,Ergebnis_je_Aktie_verwässert!A$3:AJ$103,6,FALSE),""),"")</f>
        <v>21.112612612612608</v>
      </c>
      <c r="D33" s="70">
        <f>IF(VLOOKUP(A33,Ergebnis_je_Aktie_verwässert!A$3:AJ$103,7,FALSE)&gt;0,IF(VLOOKUP(A33,Schlußkurse!A$5:AU$105,36,FALSE)&gt;0,VLOOKUP(A33,Schlußkurse!A$5:AU$105,36,FALSE)/VLOOKUP(A33,Ergebnis_je_Aktie_verwässert!A$3:AJ$103,7,FALSE),""),"")</f>
        <v>22.975490196078429</v>
      </c>
      <c r="E33" s="70">
        <f>IF(VLOOKUP(A33,Ergebnis_je_Aktie_verwässert!A$3:AJ$103,8,FALSE)&gt;0,IF(VLOOKUP(A33,Schlußkurse!A$5:AU$105,37,FALSE)&gt;0,VLOOKUP(A33,Schlußkurse!A$5:AU$105,37,FALSE)/VLOOKUP(A33,Ergebnis_je_Aktie_verwässert!A$3:AJ$103,8,FALSE),""),"")</f>
        <v>22.375</v>
      </c>
      <c r="F33" s="70">
        <f>IF(VLOOKUP(A33,Ergebnis_je_Aktie_verwässert!A$3:AJ$103,9,FALSE)&gt;0,IF(VLOOKUP(A33,Schlußkurse!A$5:AU$105,38,FALSE)&gt;0,VLOOKUP(A33,Schlußkurse!A$5:AU$105,38,FALSE)/VLOOKUP(A33,Ergebnis_je_Aktie_verwässert!A$3:AJ$103,9,FALSE),""),"")</f>
        <v>21.11</v>
      </c>
      <c r="G33" s="70">
        <f>IF(VLOOKUP(A33,Ergebnis_je_Aktie_verwässert!A$3:AJ$103,10,FALSE)&gt;0,IF(VLOOKUP(A33,Schlußkurse!A$5:AU$105,39,FALSE)&gt;0,VLOOKUP(A33,Schlußkurse!A$5:AU$105,39,FALSE)/VLOOKUP(A33,Ergebnis_je_Aktie_verwässert!A$3:AJ$103,10,FALSE),""),"")</f>
        <v>20.25</v>
      </c>
      <c r="H33" s="70">
        <f>IF(VLOOKUP(A33,Ergebnis_je_Aktie_verwässert!A$3:AJ$103,11,FALSE)&gt;0,IF(VLOOKUP(A33,Schlußkurse!A$5:AU$105,40,FALSE)&gt;0,VLOOKUP(A33,Schlußkurse!A$5:AU$105,40,FALSE)/VLOOKUP(A33,Ergebnis_je_Aktie_verwässert!A$3:AJ$103,11,FALSE),""),"")</f>
        <v>17.427884615384613</v>
      </c>
      <c r="I33" s="70">
        <f>IF(VLOOKUP(A33,Ergebnis_je_Aktie_verwässert!A$3:AJ$103,12,FALSE)&gt;0,IF(VLOOKUP(A33,Schlußkurse!A$5:AU$105,41,FALSE)&gt;0,VLOOKUP(A33,Schlußkurse!A$5:AU$105,41,FALSE)/VLOOKUP(A33,Ergebnis_je_Aktie_verwässert!A$3:AJ$103,12,FALSE),""),"")</f>
        <v>18.221354166666668</v>
      </c>
      <c r="J33" s="70">
        <f>IF(VLOOKUP(A33,Ergebnis_je_Aktie_verwässert!A$3:AJ$103,13,FALSE)&gt;0,IF(VLOOKUP(A33,Schlußkurse!A$5:AU$105,42,FALSE)&gt;0,VLOOKUP(A33,Schlußkurse!A$5:AU$105,42,FALSE)/VLOOKUP(A33,Ergebnis_je_Aktie_verwässert!A$3:AJ$103,13,FALSE),""),"")</f>
        <v>17.127604166666668</v>
      </c>
      <c r="K33" s="70">
        <f>IF(VLOOKUP(A33,Ergebnis_je_Aktie_verwässert!A$3:AJ$103,14,FALSE)&gt;0,IF(VLOOKUP(A33,Schlußkurse!A$5:AU$105,43,FALSE)&gt;0,VLOOKUP(A33,Schlußkurse!A$5:AU$105,43,FALSE)/VLOOKUP(A33,Ergebnis_je_Aktie_verwässert!A$3:AJ$103,14,FALSE),""),"")</f>
        <v>16.332378223495702</v>
      </c>
      <c r="L33" s="70">
        <f>IF(VLOOKUP(A33,Ergebnis_je_Aktie_verwässert!A$3:AJ$103,15,FALSE)&gt;0,IF(VLOOKUP(A33,Schlußkurse!A$5:AU$105,44,FALSE)&gt;0,VLOOKUP(A33,Schlußkurse!A$5:AU$105,44,FALSE)/VLOOKUP(A33,Ergebnis_je_Aktie_verwässert!A$3:AJ$103,15,FALSE),""),"")</f>
        <v>14.794117647058824</v>
      </c>
      <c r="M33" s="70">
        <f>IF(VLOOKUP(A33,Ergebnis_je_Aktie_verwässert!A$3:AJ$103,16,FALSE)&gt;0,IF(VLOOKUP(A33,Schlußkurse!A$5:AU$105,45,FALSE)&gt;0,VLOOKUP(A33,Schlußkurse!A$5:AU$105,45,FALSE)/VLOOKUP(A33,Ergebnis_je_Aktie_verwässert!A$3:AJ$103,16,FALSE),""),"")</f>
        <v>19.482539682539681</v>
      </c>
      <c r="N33" s="70">
        <f>IF(VLOOKUP(A33,Ergebnis_je_Aktie_verwässert!A$3:AJ$103,17,FALSE)&gt;0,IF(VLOOKUP(A33,Schlußkurse!A$5:AU$105,46,FALSE)&gt;0,VLOOKUP(A33,Schlußkurse!A$5:AU$105,46,FALSE)/VLOOKUP(A33,Ergebnis_je_Aktie_verwässert!A$3:AJ$103,17,FALSE),""),"")</f>
        <v>17.925925925925924</v>
      </c>
      <c r="O33" s="70">
        <f>IF(VLOOKUP(A33,Ergebnis_je_Aktie_verwässert!A$3:AJ$103,18,FALSE)&gt;0,IF(VLOOKUP(A33,Schlußkurse!A$5:AU$105,47,FALSE)&gt;0,VLOOKUP(A33,Schlußkurse!A$5:AU$105,47,FALSE)/VLOOKUP(A33,Ergebnis_je_Aktie_verwässert!A$3:AJ$103,18,FALSE),""),"")</f>
        <v>17.008438818565402</v>
      </c>
      <c r="P33" s="70">
        <f t="shared" si="0"/>
        <v>18.221354166666668</v>
      </c>
      <c r="Q33" s="3">
        <f ca="1">VLOOKUP(A33,Schlußkurse!A$5:AU$105,35,FALSE)/VLOOKUP(A33,Ergebnis_je_Aktie_verwässert!A$3:AK$103,23,FALSE)</f>
        <v>23.962167689161554</v>
      </c>
      <c r="R33" s="5">
        <f t="shared" ca="1" si="1"/>
        <v>0.31505965308532735</v>
      </c>
    </row>
    <row r="34" spans="1:18">
      <c r="A34" t="s">
        <v>42</v>
      </c>
      <c r="B34" s="38" t="s">
        <v>43</v>
      </c>
      <c r="C34" s="70">
        <f>IF(VLOOKUP(A34,Ergebnis_je_Aktie_verwässert!A$3:AJ$103,6,FALSE)&gt;0,IF(VLOOKUP(A34,Schlußkurse!A$5:AU$105,35,FALSE)&gt;0,VLOOKUP(A34,Schlußkurse!A$5:AU$105,35,FALSE)/VLOOKUP(A34,Ergebnis_je_Aktie_verwässert!A$3:AJ$103,6,FALSE),""),"")</f>
        <v>21.800613496932513</v>
      </c>
      <c r="D34" s="70">
        <f>IF(VLOOKUP(A34,Ergebnis_je_Aktie_verwässert!A$3:AJ$103,7,FALSE)&gt;0,IF(VLOOKUP(A34,Schlußkurse!A$5:AU$105,36,FALSE)&gt;0,VLOOKUP(A34,Schlußkurse!A$5:AU$105,36,FALSE)/VLOOKUP(A34,Ergebnis_je_Aktie_verwässert!A$3:AJ$103,7,FALSE),""),"")</f>
        <v>23.769230769230766</v>
      </c>
      <c r="E34" s="70">
        <f>IF(VLOOKUP(A34,Ergebnis_je_Aktie_verwässert!A$3:AJ$103,8,FALSE)&gt;0,IF(VLOOKUP(A34,Schlußkurse!A$5:AU$105,37,FALSE)&gt;0,VLOOKUP(A34,Schlußkurse!A$5:AU$105,37,FALSE)/VLOOKUP(A34,Ergebnis_je_Aktie_verwässert!A$3:AJ$103,8,FALSE),""),"")</f>
        <v>24.225454545454546</v>
      </c>
      <c r="F34" s="70">
        <f>IF(VLOOKUP(A34,Ergebnis_je_Aktie_verwässert!A$3:AJ$103,9,FALSE)&gt;0,IF(VLOOKUP(A34,Schlußkurse!A$5:AU$105,38,FALSE)&gt;0,VLOOKUP(A34,Schlußkurse!A$5:AU$105,38,FALSE)/VLOOKUP(A34,Ergebnis_je_Aktie_verwässert!A$3:AJ$103,9,FALSE),""),"")</f>
        <v>24.622775800711743</v>
      </c>
      <c r="G34" s="70">
        <f>IF(VLOOKUP(A34,Ergebnis_je_Aktie_verwässert!A$3:AJ$103,10,FALSE)&gt;0,IF(VLOOKUP(A34,Schlußkurse!A$5:AU$105,39,FALSE)&gt;0,VLOOKUP(A34,Schlußkurse!A$5:AU$105,39,FALSE)/VLOOKUP(A34,Ergebnis_je_Aktie_verwässert!A$3:AJ$103,10,FALSE),""),"")</f>
        <v>22.332191780821915</v>
      </c>
      <c r="H34" s="70">
        <f>IF(VLOOKUP(A34,Ergebnis_je_Aktie_verwässert!A$3:AJ$103,11,FALSE)&gt;0,IF(VLOOKUP(A34,Schlußkurse!A$5:AU$105,40,FALSE)&gt;0,VLOOKUP(A34,Schlußkurse!A$5:AU$105,40,FALSE)/VLOOKUP(A34,Ergebnis_je_Aktie_verwässert!A$3:AJ$103,11,FALSE),""),"")</f>
        <v>18.404929577464792</v>
      </c>
      <c r="I34" s="70">
        <f>IF(VLOOKUP(A34,Ergebnis_je_Aktie_verwässert!A$3:AJ$103,12,FALSE)&gt;0,IF(VLOOKUP(A34,Schlußkurse!A$5:AU$105,41,FALSE)&gt;0,VLOOKUP(A34,Schlußkurse!A$5:AU$105,41,FALSE)/VLOOKUP(A34,Ergebnis_je_Aktie_verwässert!A$3:AJ$103,12,FALSE),""),"")</f>
        <v>17.236940298507463</v>
      </c>
      <c r="J34" s="70">
        <f>IF(VLOOKUP(A34,Ergebnis_je_Aktie_verwässert!A$3:AJ$103,13,FALSE)&gt;0,IF(VLOOKUP(A34,Schlußkurse!A$5:AU$105,42,FALSE)&gt;0,VLOOKUP(A34,Schlußkurse!A$5:AU$105,42,FALSE)/VLOOKUP(A34,Ergebnis_je_Aktie_verwässert!A$3:AJ$103,13,FALSE),""),"")</f>
        <v>15.978131212723659</v>
      </c>
      <c r="K34" s="70">
        <f>IF(VLOOKUP(A34,Ergebnis_je_Aktie_verwässert!A$3:AJ$103,14,FALSE)&gt;0,IF(VLOOKUP(A34,Schlußkurse!A$5:AU$105,43,FALSE)&gt;0,VLOOKUP(A34,Schlußkurse!A$5:AU$105,43,FALSE)/VLOOKUP(A34,Ergebnis_je_Aktie_verwässert!A$3:AJ$103,14,FALSE),""),"")</f>
        <v>16.43</v>
      </c>
      <c r="L34" s="70">
        <f>IF(VLOOKUP(A34,Ergebnis_je_Aktie_verwässert!A$3:AJ$103,15,FALSE)&gt;0,IF(VLOOKUP(A34,Schlußkurse!A$5:AU$105,44,FALSE)&gt;0,VLOOKUP(A34,Schlußkurse!A$5:AU$105,44,FALSE)/VLOOKUP(A34,Ergebnis_je_Aktie_verwässert!A$3:AJ$103,15,FALSE),""),"")</f>
        <v>15.130242825607064</v>
      </c>
      <c r="M34" s="70">
        <f>IF(VLOOKUP(A34,Ergebnis_je_Aktie_verwässert!A$3:AJ$103,16,FALSE)&gt;0,IF(VLOOKUP(A34,Schlußkurse!A$5:AU$105,45,FALSE)&gt;0,VLOOKUP(A34,Schlußkurse!A$5:AU$105,45,FALSE)/VLOOKUP(A34,Ergebnis_je_Aktie_verwässert!A$3:AJ$103,16,FALSE),""),"")</f>
        <v>19.344913151364761</v>
      </c>
      <c r="N34" s="70">
        <f>IF(VLOOKUP(A34,Ergebnis_je_Aktie_verwässert!A$3:AJ$103,17,FALSE)&gt;0,IF(VLOOKUP(A34,Schlußkurse!A$5:AU$105,46,FALSE)&gt;0,VLOOKUP(A34,Schlußkurse!A$5:AU$105,46,FALSE)/VLOOKUP(A34,Ergebnis_je_Aktie_verwässert!A$3:AJ$103,17,FALSE),""),"")</f>
        <v>18.451977401129941</v>
      </c>
      <c r="O34" s="70">
        <f>IF(VLOOKUP(A34,Ergebnis_je_Aktie_verwässert!A$3:AJ$103,18,FALSE)&gt;0,IF(VLOOKUP(A34,Schlußkurse!A$5:AU$105,47,FALSE)&gt;0,VLOOKUP(A34,Schlußkurse!A$5:AU$105,47,FALSE)/VLOOKUP(A34,Ergebnis_je_Aktie_verwässert!A$3:AJ$103,18,FALSE),""),"")</f>
        <v>18.065359477124183</v>
      </c>
      <c r="P34" s="70">
        <f t="shared" si="0"/>
        <v>18.451977401129941</v>
      </c>
      <c r="Q34" s="3">
        <f ca="1">VLOOKUP(A34,Schlußkurse!A$5:AU$105,35,FALSE)/VLOOKUP(A34,Ergebnis_je_Aktie_verwässert!A$3:AK$103,23,FALSE)</f>
        <v>25.184266477675404</v>
      </c>
      <c r="R34" s="5">
        <f t="shared" ca="1" si="1"/>
        <v>0.36485461315019818</v>
      </c>
    </row>
    <row r="35" spans="1:18">
      <c r="A35" t="s">
        <v>44</v>
      </c>
      <c r="B35" s="38" t="s">
        <v>45</v>
      </c>
      <c r="C35" s="70">
        <f>IF(VLOOKUP(A35,Ergebnis_je_Aktie_verwässert!A$3:AJ$103,6,FALSE)&gt;0,IF(VLOOKUP(A35,Schlußkurse!A$5:AU$105,35,FALSE)&gt;0,VLOOKUP(A35,Schlußkurse!A$5:AU$105,35,FALSE)/VLOOKUP(A35,Ergebnis_je_Aktie_verwässert!A$3:AJ$103,6,FALSE),""),"")</f>
        <v>15.953367875647668</v>
      </c>
      <c r="D35" s="70">
        <f>IF(VLOOKUP(A35,Ergebnis_je_Aktie_verwässert!A$3:AJ$103,7,FALSE)&gt;0,IF(VLOOKUP(A35,Schlußkurse!A$5:AU$105,36,FALSE)&gt;0,VLOOKUP(A35,Schlußkurse!A$5:AU$105,36,FALSE)/VLOOKUP(A35,Ergebnis_je_Aktie_verwässert!A$3:AJ$103,7,FALSE),""),"")</f>
        <v>18.774390243902438</v>
      </c>
      <c r="E35" s="70">
        <f>IF(VLOOKUP(A35,Ergebnis_je_Aktie_verwässert!A$3:AJ$103,8,FALSE)&gt;0,IF(VLOOKUP(A35,Schlußkurse!A$5:AU$105,37,FALSE)&gt;0,VLOOKUP(A35,Schlußkurse!A$5:AU$105,37,FALSE)/VLOOKUP(A35,Ergebnis_je_Aktie_verwässert!A$3:AJ$103,8,FALSE),""),"")</f>
        <v>21.93661971830986</v>
      </c>
      <c r="F35" s="70">
        <f>IF(VLOOKUP(A35,Ergebnis_je_Aktie_verwässert!A$3:AJ$103,9,FALSE)&gt;0,IF(VLOOKUP(A35,Schlußkurse!A$5:AU$105,38,FALSE)&gt;0,VLOOKUP(A35,Schlußkurse!A$5:AU$105,38,FALSE)/VLOOKUP(A35,Ergebnis_je_Aktie_verwässert!A$3:AJ$103,9,FALSE),""),"")</f>
        <v>19.29007633587786</v>
      </c>
      <c r="G35" s="70">
        <f>IF(VLOOKUP(A35,Ergebnis_je_Aktie_verwässert!A$3:AJ$103,10,FALSE)&gt;0,IF(VLOOKUP(A35,Schlußkurse!A$5:AU$105,39,FALSE)&gt;0,VLOOKUP(A35,Schlußkurse!A$5:AU$105,39,FALSE)/VLOOKUP(A35,Ergebnis_je_Aktie_verwässert!A$3:AJ$103,10,FALSE),""),"")</f>
        <v>18.686666666666667</v>
      </c>
      <c r="H35" s="70">
        <f>IF(VLOOKUP(A35,Ergebnis_je_Aktie_verwässert!A$3:AJ$103,11,FALSE)&gt;0,IF(VLOOKUP(A35,Schlußkurse!A$5:AU$105,40,FALSE)&gt;0,VLOOKUP(A35,Schlußkurse!A$5:AU$105,40,FALSE)/VLOOKUP(A35,Ergebnis_je_Aktie_verwässert!A$3:AJ$103,11,FALSE),""),"")</f>
        <v>16.527559055118108</v>
      </c>
      <c r="I35" s="70">
        <f>IF(VLOOKUP(A35,Ergebnis_je_Aktie_verwässert!A$3:AJ$103,12,FALSE)&gt;0,IF(VLOOKUP(A35,Schlußkurse!A$5:AU$105,41,FALSE)&gt;0,VLOOKUP(A35,Schlußkurse!A$5:AU$105,41,FALSE)/VLOOKUP(A35,Ergebnis_je_Aktie_verwässert!A$3:AJ$103,12,FALSE),""),"")</f>
        <v>13.883720930232558</v>
      </c>
      <c r="J35" s="70">
        <f>IF(VLOOKUP(A35,Ergebnis_je_Aktie_verwässert!A$3:AJ$103,13,FALSE)&gt;0,IF(VLOOKUP(A35,Schlußkurse!A$5:AU$105,42,FALSE)&gt;0,VLOOKUP(A35,Schlußkurse!A$5:AU$105,42,FALSE)/VLOOKUP(A35,Ergebnis_je_Aktie_verwässert!A$3:AJ$103,13,FALSE),""),"")</f>
        <v>14.869918699186991</v>
      </c>
      <c r="K35" s="70">
        <f>IF(VLOOKUP(A35,Ergebnis_je_Aktie_verwässert!A$3:AJ$103,14,FALSE)&gt;0,IF(VLOOKUP(A35,Schlußkurse!A$5:AU$105,43,FALSE)&gt;0,VLOOKUP(A35,Schlußkurse!A$5:AU$105,43,FALSE)/VLOOKUP(A35,Ergebnis_je_Aktie_verwässert!A$3:AJ$103,14,FALSE),""),"")</f>
        <v>14.273584905660377</v>
      </c>
      <c r="L35" s="70">
        <f>IF(VLOOKUP(A35,Ergebnis_je_Aktie_verwässert!A$3:AJ$103,15,FALSE)&gt;0,IF(VLOOKUP(A35,Schlußkurse!A$5:AU$105,44,FALSE)&gt;0,VLOOKUP(A35,Schlußkurse!A$5:AU$105,44,FALSE)/VLOOKUP(A35,Ergebnis_je_Aktie_verwässert!A$3:AJ$103,15,FALSE),""),"")</f>
        <v>16.03960396039604</v>
      </c>
      <c r="M35" s="70">
        <f>IF(VLOOKUP(A35,Ergebnis_je_Aktie_verwässert!A$3:AJ$103,16,FALSE)&gt;0,IF(VLOOKUP(A35,Schlußkurse!A$5:AU$105,45,FALSE)&gt;0,VLOOKUP(A35,Schlußkurse!A$5:AU$105,45,FALSE)/VLOOKUP(A35,Ergebnis_je_Aktie_verwässert!A$3:AJ$103,16,FALSE),""),"")</f>
        <v>21.552325581395348</v>
      </c>
      <c r="N35" s="70">
        <f>IF(VLOOKUP(A35,Ergebnis_je_Aktie_verwässert!A$3:AJ$103,17,FALSE)&gt;0,IF(VLOOKUP(A35,Schlußkurse!A$5:AU$105,46,FALSE)&gt;0,VLOOKUP(A35,Schlußkurse!A$5:AU$105,46,FALSE)/VLOOKUP(A35,Ergebnis_je_Aktie_verwässert!A$3:AJ$103,17,FALSE),""),"")</f>
        <v>17.208294930875574</v>
      </c>
      <c r="O35" s="70">
        <f>IF(VLOOKUP(A35,Ergebnis_je_Aktie_verwässert!A$3:AJ$103,18,FALSE)&gt;0,IF(VLOOKUP(A35,Schlußkurse!A$5:AU$105,47,FALSE)&gt;0,VLOOKUP(A35,Schlußkurse!A$5:AU$105,47,FALSE)/VLOOKUP(A35,Ergebnis_je_Aktie_verwässert!A$3:AJ$103,18,FALSE),""),"")</f>
        <v>17.524999999999999</v>
      </c>
      <c r="P35" s="70">
        <f t="shared" si="0"/>
        <v>17.208294930875574</v>
      </c>
      <c r="Q35" s="3">
        <f ca="1">VLOOKUP(A35,Schlußkurse!A$5:AU$105,35,FALSE)/VLOOKUP(A35,Ergebnis_je_Aktie_verwässert!A$3:AK$103,23,FALSE)</f>
        <v>20.720053835800812</v>
      </c>
      <c r="R35" s="5">
        <f t="shared" ca="1" si="1"/>
        <v>0.20407361211739494</v>
      </c>
    </row>
    <row r="36" spans="1:18">
      <c r="A36" t="s">
        <v>46</v>
      </c>
      <c r="B36" s="38" t="s">
        <v>47</v>
      </c>
      <c r="C36" s="70">
        <f>IF(VLOOKUP(A36,Ergebnis_je_Aktie_verwässert!A$3:AJ$103,6,FALSE)&gt;0,IF(VLOOKUP(A36,Schlußkurse!A$5:AU$105,35,FALSE)&gt;0,VLOOKUP(A36,Schlußkurse!A$5:AU$105,35,FALSE)/VLOOKUP(A36,Ergebnis_je_Aktie_verwässert!A$3:AJ$103,6,FALSE),""),"")</f>
        <v>9.7614379084967311</v>
      </c>
      <c r="D36" s="70">
        <f>IF(VLOOKUP(A36,Ergebnis_je_Aktie_verwässert!A$3:AJ$103,7,FALSE)&gt;0,IF(VLOOKUP(A36,Schlußkurse!A$5:AU$105,36,FALSE)&gt;0,VLOOKUP(A36,Schlußkurse!A$5:AU$105,36,FALSE)/VLOOKUP(A36,Ergebnis_je_Aktie_verwässert!A$3:AJ$103,7,FALSE),""),"")</f>
        <v>11.57751937984496</v>
      </c>
      <c r="E36" s="70">
        <f>IF(VLOOKUP(A36,Ergebnis_je_Aktie_verwässert!A$3:AJ$103,8,FALSE)&gt;0,IF(VLOOKUP(A36,Schlußkurse!A$5:AU$105,37,FALSE)&gt;0,VLOOKUP(A36,Schlußkurse!A$5:AU$105,37,FALSE)/VLOOKUP(A36,Ergebnis_je_Aktie_verwässert!A$3:AJ$103,8,FALSE),""),"")</f>
        <v>11.188617886178861</v>
      </c>
      <c r="F36" s="70">
        <f>IF(VLOOKUP(A36,Ergebnis_je_Aktie_verwässert!A$3:AJ$103,9,FALSE)&gt;0,IF(VLOOKUP(A36,Schlußkurse!A$5:AU$105,38,FALSE)&gt;0,VLOOKUP(A36,Schlußkurse!A$5:AU$105,38,FALSE)/VLOOKUP(A36,Ergebnis_je_Aktie_verwässert!A$3:AJ$103,9,FALSE),""),"")</f>
        <v>11.180487804878048</v>
      </c>
      <c r="G36" s="70">
        <f>IF(VLOOKUP(A36,Ergebnis_je_Aktie_verwässert!A$3:AJ$103,10,FALSE)&gt;0,IF(VLOOKUP(A36,Schlußkurse!A$5:AU$105,39,FALSE)&gt;0,VLOOKUP(A36,Schlußkurse!A$5:AU$105,39,FALSE)/VLOOKUP(A36,Ergebnis_je_Aktie_verwässert!A$3:AJ$103,10,FALSE),""),"")</f>
        <v>11.81915563957152</v>
      </c>
      <c r="H36" s="70">
        <f>IF(VLOOKUP(A36,Ergebnis_je_Aktie_verwässert!A$3:AJ$103,11,FALSE)&gt;0,IF(VLOOKUP(A36,Schlußkurse!A$5:AU$105,40,FALSE)&gt;0,VLOOKUP(A36,Schlußkurse!A$5:AU$105,40,FALSE)/VLOOKUP(A36,Ergebnis_je_Aktie_verwässert!A$3:AJ$103,11,FALSE),""),"")</f>
        <v>12.278846153846155</v>
      </c>
      <c r="I36" s="70">
        <f>IF(VLOOKUP(A36,Ergebnis_je_Aktie_verwässert!A$3:AJ$103,12,FALSE)&gt;0,IF(VLOOKUP(A36,Schlußkurse!A$5:AU$105,41,FALSE)&gt;0,VLOOKUP(A36,Schlußkurse!A$5:AU$105,41,FALSE)/VLOOKUP(A36,Ergebnis_je_Aktie_verwässert!A$3:AJ$103,12,FALSE),""),"")</f>
        <v>12.508843537414966</v>
      </c>
      <c r="J36" s="70">
        <f>IF(VLOOKUP(A36,Ergebnis_je_Aktie_verwässert!A$3:AJ$103,13,FALSE)&gt;0,IF(VLOOKUP(A36,Schlußkurse!A$5:AU$105,42,FALSE)&gt;0,VLOOKUP(A36,Schlußkurse!A$5:AU$105,42,FALSE)/VLOOKUP(A36,Ergebnis_je_Aktie_verwässert!A$3:AJ$103,13,FALSE),""),"")</f>
        <v>11.263238679969302</v>
      </c>
      <c r="K36" s="70">
        <f>IF(VLOOKUP(A36,Ergebnis_je_Aktie_verwässert!A$3:AJ$103,14,FALSE)&gt;0,IF(VLOOKUP(A36,Schlußkurse!A$5:AU$105,43,FALSE)&gt;0,VLOOKUP(A36,Schlußkurse!A$5:AU$105,43,FALSE)/VLOOKUP(A36,Ergebnis_je_Aktie_verwässert!A$3:AJ$103,14,FALSE),""),"")</f>
        <v>11.563604240282686</v>
      </c>
      <c r="L36" s="70">
        <f>IF(VLOOKUP(A36,Ergebnis_je_Aktie_verwässert!A$3:AJ$103,15,FALSE)&gt;0,IF(VLOOKUP(A36,Schlußkurse!A$5:AU$105,44,FALSE)&gt;0,VLOOKUP(A36,Schlußkurse!A$5:AU$105,44,FALSE)/VLOOKUP(A36,Ergebnis_je_Aktie_verwässert!A$3:AJ$103,15,FALSE),""),"")</f>
        <v>8.4075924075924071</v>
      </c>
      <c r="M36" s="70">
        <f>IF(VLOOKUP(A36,Ergebnis_je_Aktie_verwässert!A$3:AJ$103,16,FALSE)&gt;0,IF(VLOOKUP(A36,Schlußkurse!A$5:AU$105,45,FALSE)&gt;0,VLOOKUP(A36,Schlußkurse!A$5:AU$105,45,FALSE)/VLOOKUP(A36,Ergebnis_je_Aktie_verwässert!A$3:AJ$103,16,FALSE),""),"")</f>
        <v>12.105263157894736</v>
      </c>
      <c r="N36" s="70">
        <f>IF(VLOOKUP(A36,Ergebnis_je_Aktie_verwässert!A$3:AJ$103,17,FALSE)&gt;0,IF(VLOOKUP(A36,Schlußkurse!A$5:AU$105,46,FALSE)&gt;0,VLOOKUP(A36,Schlußkurse!A$5:AU$105,46,FALSE)/VLOOKUP(A36,Ergebnis_je_Aktie_verwässert!A$3:AJ$103,17,FALSE),""),"")</f>
        <v>13.555710306406686</v>
      </c>
      <c r="O36" s="70">
        <f>IF(VLOOKUP(A36,Ergebnis_je_Aktie_verwässert!A$3:AJ$103,18,FALSE)&gt;0,IF(VLOOKUP(A36,Schlußkurse!A$5:AU$105,47,FALSE)&gt;0,VLOOKUP(A36,Schlußkurse!A$5:AU$105,47,FALSE)/VLOOKUP(A36,Ergebnis_je_Aktie_verwässert!A$3:AJ$103,18,FALSE),""),"")</f>
        <v>13.453355155482814</v>
      </c>
      <c r="P36" s="70">
        <f t="shared" ref="P36:P67" si="2">MEDIAN(C36:O36)</f>
        <v>11.57751937984496</v>
      </c>
      <c r="Q36" s="3">
        <f ca="1">VLOOKUP(A36,Schlußkurse!A$5:AU$105,35,FALSE)/VLOOKUP(A36,Ergebnis_je_Aktie_verwässert!A$3:AK$103,23,FALSE)</f>
        <v>11.967147435897434</v>
      </c>
      <c r="R36" s="5">
        <f t="shared" ref="R36:R67" ca="1" si="3">(Q36/P36)-1</f>
        <v>3.3653846153846256E-2</v>
      </c>
    </row>
    <row r="37" spans="1:18">
      <c r="A37" t="s">
        <v>48</v>
      </c>
      <c r="B37" s="38" t="s">
        <v>49</v>
      </c>
      <c r="C37" s="70">
        <f>IF(VLOOKUP(A37,Ergebnis_je_Aktie_verwässert!A$3:AJ$103,6,FALSE)&gt;0,IF(VLOOKUP(A37,Schlußkurse!A$5:AU$105,35,FALSE)&gt;0,VLOOKUP(A37,Schlußkurse!A$5:AU$105,35,FALSE)/VLOOKUP(A37,Ergebnis_je_Aktie_verwässert!A$3:AJ$103,6,FALSE),""),"")</f>
        <v>15.765895953757225</v>
      </c>
      <c r="D37" s="70">
        <f>IF(VLOOKUP(A37,Ergebnis_je_Aktie_verwässert!A$3:AJ$103,7,FALSE)&gt;0,IF(VLOOKUP(A37,Schlußkurse!A$5:AU$105,36,FALSE)&gt;0,VLOOKUP(A37,Schlußkurse!A$5:AU$105,36,FALSE)/VLOOKUP(A37,Ergebnis_je_Aktie_verwässert!A$3:AJ$103,7,FALSE),""),"")</f>
        <v>16.888544891640866</v>
      </c>
      <c r="E37" s="70">
        <f>IF(VLOOKUP(A37,Ergebnis_je_Aktie_verwässert!A$3:AJ$103,8,FALSE)&gt;0,IF(VLOOKUP(A37,Schlußkurse!A$5:AU$105,37,FALSE)&gt;0,VLOOKUP(A37,Schlußkurse!A$5:AU$105,37,FALSE)/VLOOKUP(A37,Ergebnis_je_Aktie_verwässert!A$3:AJ$103,8,FALSE),""),"")</f>
        <v>17.148580968280466</v>
      </c>
      <c r="F37" s="70">
        <f>IF(VLOOKUP(A37,Ergebnis_je_Aktie_verwässert!A$3:AJ$103,9,FALSE)&gt;0,IF(VLOOKUP(A37,Schlußkurse!A$5:AU$105,38,FALSE)&gt;0,VLOOKUP(A37,Schlußkurse!A$5:AU$105,38,FALSE)/VLOOKUP(A37,Ergebnis_je_Aktie_verwässert!A$3:AJ$103,9,FALSE),""),"")</f>
        <v>17.998278829604132</v>
      </c>
      <c r="G37" s="70">
        <f>IF(VLOOKUP(A37,Ergebnis_je_Aktie_verwässert!A$3:AJ$103,10,FALSE)&gt;0,IF(VLOOKUP(A37,Schlußkurse!A$5:AU$105,39,FALSE)&gt;0,VLOOKUP(A37,Schlußkurse!A$5:AU$105,39,FALSE)/VLOOKUP(A37,Ergebnis_je_Aktie_verwässert!A$3:AJ$103,10,FALSE),""),"")</f>
        <v>15.33500837520938</v>
      </c>
      <c r="H37" s="70">
        <f>IF(VLOOKUP(A37,Ergebnis_je_Aktie_verwässert!A$3:AJ$103,11,FALSE)&gt;0,IF(VLOOKUP(A37,Schlußkurse!A$5:AU$105,40,FALSE)&gt;0,VLOOKUP(A37,Schlußkurse!A$5:AU$105,40,FALSE)/VLOOKUP(A37,Ergebnis_je_Aktie_verwässert!A$3:AJ$103,11,FALSE),""),"")</f>
        <v>12.341549295774648</v>
      </c>
      <c r="I37" s="70">
        <f>IF(VLOOKUP(A37,Ergebnis_je_Aktie_verwässert!A$3:AJ$103,12,FALSE)&gt;0,IF(VLOOKUP(A37,Schlußkurse!A$5:AU$105,41,FALSE)&gt;0,VLOOKUP(A37,Schlußkurse!A$5:AU$105,41,FALSE)/VLOOKUP(A37,Ergebnis_je_Aktie_verwässert!A$3:AJ$103,12,FALSE),""),"")</f>
        <v>12.858823529411765</v>
      </c>
      <c r="J37" s="70">
        <f>IF(VLOOKUP(A37,Ergebnis_je_Aktie_verwässert!A$3:AJ$103,13,FALSE)&gt;0,IF(VLOOKUP(A37,Schlußkurse!A$5:AU$105,42,FALSE)&gt;0,VLOOKUP(A37,Schlußkurse!A$5:AU$105,42,FALSE)/VLOOKUP(A37,Ergebnis_je_Aktie_verwässert!A$3:AJ$103,13,FALSE),""),"")</f>
        <v>12.370000000000001</v>
      </c>
      <c r="K37" s="70">
        <f>IF(VLOOKUP(A37,Ergebnis_je_Aktie_verwässert!A$3:AJ$103,14,FALSE)&gt;0,IF(VLOOKUP(A37,Schlußkurse!A$5:AU$105,43,FALSE)&gt;0,VLOOKUP(A37,Schlußkurse!A$5:AU$105,43,FALSE)/VLOOKUP(A37,Ergebnis_je_Aktie_verwässert!A$3:AJ$103,14,FALSE),""),"")</f>
        <v>13.531512605042018</v>
      </c>
      <c r="L37" s="70">
        <f>IF(VLOOKUP(A37,Ergebnis_je_Aktie_verwässert!A$3:AJ$103,15,FALSE)&gt;0,IF(VLOOKUP(A37,Schlußkurse!A$5:AU$105,44,FALSE)&gt;0,VLOOKUP(A37,Schlußkurse!A$5:AU$105,44,FALSE)/VLOOKUP(A37,Ergebnis_je_Aktie_verwässert!A$3:AJ$103,15,FALSE),""),"")</f>
        <v>12.922246220302375</v>
      </c>
      <c r="M37" s="70">
        <f>IF(VLOOKUP(A37,Ergebnis_je_Aktie_verwässert!A$3:AJ$103,16,FALSE)&gt;0,IF(VLOOKUP(A37,Schlußkurse!A$5:AU$105,45,FALSE)&gt;0,VLOOKUP(A37,Schlußkurse!A$5:AU$105,45,FALSE)/VLOOKUP(A37,Ergebnis_je_Aktie_verwässert!A$3:AJ$103,16,FALSE),""),"")</f>
        <v>14.659340659340661</v>
      </c>
      <c r="N37" s="70">
        <f>IF(VLOOKUP(A37,Ergebnis_je_Aktie_verwässert!A$3:AJ$103,17,FALSE)&gt;0,IF(VLOOKUP(A37,Schlußkurse!A$5:AU$105,46,FALSE)&gt;0,VLOOKUP(A37,Schlußkurse!A$5:AU$105,46,FALSE)/VLOOKUP(A37,Ergebnis_je_Aktie_verwässert!A$3:AJ$103,17,FALSE),""),"")</f>
        <v>15.922891566265058</v>
      </c>
      <c r="O37" s="70">
        <f>IF(VLOOKUP(A37,Ergebnis_je_Aktie_verwässert!A$3:AJ$103,18,FALSE)&gt;0,IF(VLOOKUP(A37,Schlußkurse!A$5:AU$105,47,FALSE)&gt;0,VLOOKUP(A37,Schlußkurse!A$5:AU$105,47,FALSE)/VLOOKUP(A37,Ergebnis_je_Aktie_verwässert!A$3:AJ$103,18,FALSE),""),"")</f>
        <v>15.984042553191491</v>
      </c>
      <c r="P37" s="70">
        <f t="shared" si="2"/>
        <v>15.33500837520938</v>
      </c>
      <c r="Q37" s="3">
        <f ca="1">VLOOKUP(A37,Schlußkurse!A$5:AU$105,35,FALSE)/VLOOKUP(A37,Ergebnis_je_Aktie_verwässert!A$3:AK$103,23,FALSE)</f>
        <v>17.794813244168974</v>
      </c>
      <c r="R37" s="5">
        <f t="shared" ca="1" si="3"/>
        <v>0.1604045337814175</v>
      </c>
    </row>
    <row r="38" spans="1:18">
      <c r="A38" t="s">
        <v>314</v>
      </c>
      <c r="B38" s="38" t="s">
        <v>315</v>
      </c>
      <c r="C38" s="70">
        <f>IF(VLOOKUP(A38,Ergebnis_je_Aktie_verwässert!A$3:AJ$103,6,FALSE)&gt;0,IF(VLOOKUP(A38,Schlußkurse!A$5:AU$105,35,FALSE)&gt;0,VLOOKUP(A38,Schlußkurse!A$5:AU$105,35,FALSE)/VLOOKUP(A38,Ergebnis_je_Aktie_verwässert!A$3:AJ$103,6,FALSE),""),"")</f>
        <v>19.139024390243904</v>
      </c>
      <c r="D38" s="70">
        <f>IF(VLOOKUP(A38,Ergebnis_je_Aktie_verwässert!A$3:AJ$103,7,FALSE)&gt;0,IF(VLOOKUP(A38,Schlußkurse!A$5:AU$105,36,FALSE)&gt;0,VLOOKUP(A38,Schlußkurse!A$5:AU$105,36,FALSE)/VLOOKUP(A38,Ergebnis_je_Aktie_verwässert!A$3:AJ$103,7,FALSE),""),"")</f>
        <v>21.150943396226413</v>
      </c>
      <c r="E38" s="70">
        <f>IF(VLOOKUP(A38,Ergebnis_je_Aktie_verwässert!A$3:AJ$103,8,FALSE)&gt;0,IF(VLOOKUP(A38,Schlußkurse!A$5:AU$105,37,FALSE)&gt;0,VLOOKUP(A38,Schlußkurse!A$5:AU$105,37,FALSE)/VLOOKUP(A38,Ergebnis_je_Aktie_verwässert!A$3:AJ$103,8,FALSE),""),"")</f>
        <v>25.619718309859159</v>
      </c>
      <c r="F38" s="70" t="str">
        <f>IF(VLOOKUP(A38,Ergebnis_je_Aktie_verwässert!A$3:AJ$103,9,FALSE)&gt;0,IF(VLOOKUP(A38,Schlußkurse!A$5:AU$105,38,FALSE)&gt;0,VLOOKUP(A38,Schlußkurse!A$5:AU$105,38,FALSE)/VLOOKUP(A38,Ergebnis_je_Aktie_verwässert!A$3:AJ$103,9,FALSE),""),"")</f>
        <v/>
      </c>
      <c r="G38" s="70" t="str">
        <f>IF(VLOOKUP(A38,Ergebnis_je_Aktie_verwässert!A$3:AJ$103,10,FALSE)&gt;0,IF(VLOOKUP(A38,Schlußkurse!A$5:AU$105,39,FALSE)&gt;0,VLOOKUP(A38,Schlußkurse!A$5:AU$105,39,FALSE)/VLOOKUP(A38,Ergebnis_je_Aktie_verwässert!A$3:AJ$103,10,FALSE),""),"")</f>
        <v/>
      </c>
      <c r="H38" s="70" t="str">
        <f>IF(VLOOKUP(A38,Ergebnis_je_Aktie_verwässert!A$3:AJ$103,11,FALSE)&gt;0,IF(VLOOKUP(A38,Schlußkurse!A$5:AU$105,40,FALSE)&gt;0,VLOOKUP(A38,Schlußkurse!A$5:AU$105,40,FALSE)/VLOOKUP(A38,Ergebnis_je_Aktie_verwässert!A$3:AJ$103,11,FALSE),""),"")</f>
        <v/>
      </c>
      <c r="I38" s="70" t="str">
        <f>IF(VLOOKUP(A38,Ergebnis_je_Aktie_verwässert!A$3:AJ$103,12,FALSE)&gt;0,IF(VLOOKUP(A38,Schlußkurse!A$5:AU$105,41,FALSE)&gt;0,VLOOKUP(A38,Schlußkurse!A$5:AU$105,41,FALSE)/VLOOKUP(A38,Ergebnis_je_Aktie_verwässert!A$3:AJ$103,12,FALSE),""),"")</f>
        <v/>
      </c>
      <c r="J38" s="70" t="str">
        <f>IF(VLOOKUP(A38,Ergebnis_je_Aktie_verwässert!A$3:AJ$103,13,FALSE)&gt;0,IF(VLOOKUP(A38,Schlußkurse!A$5:AU$105,42,FALSE)&gt;0,VLOOKUP(A38,Schlußkurse!A$5:AU$105,42,FALSE)/VLOOKUP(A38,Ergebnis_je_Aktie_verwässert!A$3:AJ$103,13,FALSE),""),"")</f>
        <v/>
      </c>
      <c r="K38" s="70" t="str">
        <f>IF(VLOOKUP(A38,Ergebnis_je_Aktie_verwässert!A$3:AJ$103,14,FALSE)&gt;0,IF(VLOOKUP(A38,Schlußkurse!A$5:AU$105,43,FALSE)&gt;0,VLOOKUP(A38,Schlußkurse!A$5:AU$105,43,FALSE)/VLOOKUP(A38,Ergebnis_je_Aktie_verwässert!A$3:AJ$103,14,FALSE),""),"")</f>
        <v/>
      </c>
      <c r="L38" s="70" t="str">
        <f>IF(VLOOKUP(A38,Ergebnis_je_Aktie_verwässert!A$3:AJ$103,15,FALSE)&gt;0,IF(VLOOKUP(A38,Schlußkurse!A$5:AU$105,44,FALSE)&gt;0,VLOOKUP(A38,Schlußkurse!A$5:AU$105,44,FALSE)/VLOOKUP(A38,Ergebnis_je_Aktie_verwässert!A$3:AJ$103,15,FALSE),""),"")</f>
        <v/>
      </c>
      <c r="M38" s="70" t="str">
        <f>IF(VLOOKUP(A38,Ergebnis_je_Aktie_verwässert!A$3:AJ$103,16,FALSE)&gt;0,IF(VLOOKUP(A38,Schlußkurse!A$5:AU$105,45,FALSE)&gt;0,VLOOKUP(A38,Schlußkurse!A$5:AU$105,45,FALSE)/VLOOKUP(A38,Ergebnis_je_Aktie_verwässert!A$3:AJ$103,16,FALSE),""),"")</f>
        <v/>
      </c>
      <c r="N38" s="70" t="str">
        <f>IF(VLOOKUP(A38,Ergebnis_je_Aktie_verwässert!A$3:AJ$103,17,FALSE)&gt;0,IF(VLOOKUP(A38,Schlußkurse!A$5:AU$105,46,FALSE)&gt;0,VLOOKUP(A38,Schlußkurse!A$5:AU$105,46,FALSE)/VLOOKUP(A38,Ergebnis_je_Aktie_verwässert!A$3:AJ$103,17,FALSE),""),"")</f>
        <v/>
      </c>
      <c r="O38" s="70" t="str">
        <f>IF(VLOOKUP(A38,Ergebnis_je_Aktie_verwässert!A$3:AJ$103,18,FALSE)&gt;0,IF(VLOOKUP(A38,Schlußkurse!A$5:AU$105,47,FALSE)&gt;0,VLOOKUP(A38,Schlußkurse!A$5:AU$105,47,FALSE)/VLOOKUP(A38,Ergebnis_je_Aktie_verwässert!A$3:AJ$103,18,FALSE),""),"")</f>
        <v/>
      </c>
      <c r="P38" s="70">
        <f t="shared" si="2"/>
        <v>21.150943396226413</v>
      </c>
      <c r="Q38" s="3">
        <f ca="1">VLOOKUP(A38,Schlußkurse!A$5:AU$105,35,FALSE)/VLOOKUP(A38,Ergebnis_je_Aktie_verwässert!A$3:AK$103,23,FALSE)</f>
        <v>25.304740406320541</v>
      </c>
      <c r="R38" s="5">
        <f t="shared" ca="1" si="3"/>
        <v>0.19638826185101577</v>
      </c>
    </row>
    <row r="39" spans="1:18">
      <c r="A39" t="s">
        <v>50</v>
      </c>
      <c r="B39" s="38" t="s">
        <v>51</v>
      </c>
      <c r="C39" s="70">
        <f>IF(VLOOKUP(A39,Ergebnis_je_Aktie_verwässert!A$3:AJ$103,6,FALSE)&gt;0,IF(VLOOKUP(A39,Schlußkurse!A$5:AU$105,35,FALSE)&gt;0,VLOOKUP(A39,Schlußkurse!A$5:AU$105,35,FALSE)/VLOOKUP(A39,Ergebnis_je_Aktie_verwässert!A$3:AJ$103,6,FALSE),""),"")</f>
        <v>19.417298937784523</v>
      </c>
      <c r="D39" s="70">
        <f>IF(VLOOKUP(A39,Ergebnis_je_Aktie_verwässert!A$3:AJ$103,7,FALSE)&gt;0,IF(VLOOKUP(A39,Schlußkurse!A$5:AU$105,36,FALSE)&gt;0,VLOOKUP(A39,Schlußkurse!A$5:AU$105,36,FALSE)/VLOOKUP(A39,Ergebnis_je_Aktie_verwässert!A$3:AJ$103,7,FALSE),""),"")</f>
        <v>21.080724876441515</v>
      </c>
      <c r="E39" s="70">
        <f>IF(VLOOKUP(A39,Ergebnis_je_Aktie_verwässert!A$3:AJ$103,8,FALSE)&gt;0,IF(VLOOKUP(A39,Schlußkurse!A$5:AU$105,37,FALSE)&gt;0,VLOOKUP(A39,Schlußkurse!A$5:AU$105,37,FALSE)/VLOOKUP(A39,Ergebnis_je_Aktie_verwässert!A$3:AJ$103,8,FALSE),""),"")</f>
        <v>21.837338262476894</v>
      </c>
      <c r="F39" s="70">
        <f>IF(VLOOKUP(A39,Ergebnis_je_Aktie_verwässert!A$3:AJ$103,9,FALSE)&gt;0,IF(VLOOKUP(A39,Schlußkurse!A$5:AU$105,38,FALSE)&gt;0,VLOOKUP(A39,Schlußkurse!A$5:AU$105,38,FALSE)/VLOOKUP(A39,Ergebnis_je_Aktie_verwässert!A$3:AJ$103,9,FALSE),""),"")</f>
        <v>18.815261044176705</v>
      </c>
      <c r="G39" s="70">
        <f>IF(VLOOKUP(A39,Ergebnis_je_Aktie_verwässert!A$3:AJ$103,10,FALSE)&gt;0,IF(VLOOKUP(A39,Schlußkurse!A$5:AU$105,39,FALSE)&gt;0,VLOOKUP(A39,Schlußkurse!A$5:AU$105,39,FALSE)/VLOOKUP(A39,Ergebnis_je_Aktie_verwässert!A$3:AJ$103,10,FALSE),""),"")</f>
        <v>18.102611940298505</v>
      </c>
      <c r="H39" s="70">
        <f>IF(VLOOKUP(A39,Ergebnis_je_Aktie_verwässert!A$3:AJ$103,11,FALSE)&gt;0,IF(VLOOKUP(A39,Schlußkurse!A$5:AU$105,40,FALSE)&gt;0,VLOOKUP(A39,Schlußkurse!A$5:AU$105,40,FALSE)/VLOOKUP(A39,Ergebnis_je_Aktie_verwässert!A$3:AJ$103,11,FALSE),""),"")</f>
        <v>15.893693693693693</v>
      </c>
      <c r="I39" s="70">
        <f>IF(VLOOKUP(A39,Ergebnis_je_Aktie_verwässert!A$3:AJ$103,12,FALSE)&gt;0,IF(VLOOKUP(A39,Schlußkurse!A$5:AU$105,41,FALSE)&gt;0,VLOOKUP(A39,Schlußkurse!A$5:AU$105,41,FALSE)/VLOOKUP(A39,Ergebnis_je_Aktie_verwässert!A$3:AJ$103,12,FALSE),""),"")</f>
        <v>18.718283582089551</v>
      </c>
      <c r="J39" s="70">
        <f>IF(VLOOKUP(A39,Ergebnis_je_Aktie_verwässert!A$3:AJ$103,13,FALSE)&gt;0,IF(VLOOKUP(A39,Schlußkurse!A$5:AU$105,42,FALSE)&gt;0,VLOOKUP(A39,Schlußkurse!A$5:AU$105,42,FALSE)/VLOOKUP(A39,Ergebnis_je_Aktie_verwässert!A$3:AJ$103,13,FALSE),""),"")</f>
        <v>14.565464895635676</v>
      </c>
      <c r="K39" s="70">
        <f>IF(VLOOKUP(A39,Ergebnis_je_Aktie_verwässert!A$3:AJ$103,14,FALSE)&gt;0,IF(VLOOKUP(A39,Schlußkurse!A$5:AU$105,43,FALSE)&gt;0,VLOOKUP(A39,Schlußkurse!A$5:AU$105,43,FALSE)/VLOOKUP(A39,Ergebnis_je_Aktie_verwässert!A$3:AJ$103,14,FALSE),""),"")</f>
        <v>13.573913043478262</v>
      </c>
      <c r="L39" s="70">
        <f>IF(VLOOKUP(A39,Ergebnis_je_Aktie_verwässert!A$3:AJ$103,15,FALSE)&gt;0,IF(VLOOKUP(A39,Schlußkurse!A$5:AU$105,44,FALSE)&gt;0,VLOOKUP(A39,Schlußkurse!A$5:AU$105,44,FALSE)/VLOOKUP(A39,Ergebnis_je_Aktie_verwässert!A$3:AJ$103,15,FALSE),""),"")</f>
        <v>15.625628140703517</v>
      </c>
      <c r="M39" s="70">
        <f>IF(VLOOKUP(A39,Ergebnis_je_Aktie_verwässert!A$3:AJ$103,16,FALSE)&gt;0,IF(VLOOKUP(A39,Schlußkurse!A$5:AU$105,45,FALSE)&gt;0,VLOOKUP(A39,Schlußkurse!A$5:AU$105,45,FALSE)/VLOOKUP(A39,Ergebnis_je_Aktie_verwässert!A$3:AJ$103,16,FALSE),""),"")</f>
        <v>16.051771117166211</v>
      </c>
      <c r="N39" s="70">
        <f>IF(VLOOKUP(A39,Ergebnis_je_Aktie_verwässert!A$3:AJ$103,17,FALSE)&gt;0,IF(VLOOKUP(A39,Schlußkurse!A$5:AU$105,46,FALSE)&gt;0,VLOOKUP(A39,Schlußkurse!A$5:AU$105,46,FALSE)/VLOOKUP(A39,Ergebnis_je_Aktie_verwässert!A$3:AJ$103,17,FALSE),""),"")</f>
        <v>14.605263157894736</v>
      </c>
      <c r="O39" s="70">
        <f>IF(VLOOKUP(A39,Ergebnis_je_Aktie_verwässert!A$3:AJ$103,18,FALSE)&gt;0,IF(VLOOKUP(A39,Schlußkurse!A$5:AU$105,47,FALSE)&gt;0,VLOOKUP(A39,Schlußkurse!A$5:AU$105,47,FALSE)/VLOOKUP(A39,Ergebnis_je_Aktie_verwässert!A$3:AJ$103,18,FALSE),""),"")</f>
        <v>11.627586206896552</v>
      </c>
      <c r="P39" s="70">
        <f t="shared" si="2"/>
        <v>16.051771117166211</v>
      </c>
      <c r="Q39" s="3">
        <f ca="1">VLOOKUP(A39,Schlußkurse!A$5:AU$105,35,FALSE)/VLOOKUP(A39,Ergebnis_je_Aktie_verwässert!A$3:AK$103,23,FALSE)</f>
        <v>22.817403708987158</v>
      </c>
      <c r="R39" s="5">
        <f t="shared" ca="1" si="3"/>
        <v>0.42148822970604094</v>
      </c>
    </row>
    <row r="40" spans="1:18">
      <c r="A40" t="s">
        <v>52</v>
      </c>
      <c r="B40" s="38" t="s">
        <v>53</v>
      </c>
      <c r="C40" s="70">
        <f>IF(VLOOKUP(A40,Ergebnis_je_Aktie_verwässert!A$3:AJ$103,6,FALSE)&gt;0,IF(VLOOKUP(A40,Schlußkurse!A$5:AU$105,35,FALSE)&gt;0,VLOOKUP(A40,Schlußkurse!A$5:AU$105,35,FALSE)/VLOOKUP(A40,Ergebnis_je_Aktie_verwässert!A$3:AJ$103,6,FALSE),""),"")</f>
        <v>15.335180055401663</v>
      </c>
      <c r="D40" s="70">
        <f>IF(VLOOKUP(A40,Ergebnis_je_Aktie_verwässert!A$3:AJ$103,7,FALSE)&gt;0,IF(VLOOKUP(A40,Schlußkurse!A$5:AU$105,36,FALSE)&gt;0,VLOOKUP(A40,Schlußkurse!A$5:AU$105,36,FALSE)/VLOOKUP(A40,Ergebnis_je_Aktie_verwässert!A$3:AJ$103,7,FALSE),""),"")</f>
        <v>19.631205673758867</v>
      </c>
      <c r="E40" s="70">
        <f>IF(VLOOKUP(A40,Ergebnis_je_Aktie_verwässert!A$3:AJ$103,8,FALSE)&gt;0,IF(VLOOKUP(A40,Schlußkurse!A$5:AU$105,37,FALSE)&gt;0,VLOOKUP(A40,Schlußkurse!A$5:AU$105,37,FALSE)/VLOOKUP(A40,Ergebnis_je_Aktie_verwässert!A$3:AJ$103,8,FALSE),""),"")</f>
        <v>21.212851405622487</v>
      </c>
      <c r="F40" s="70">
        <f>IF(VLOOKUP(A40,Ergebnis_je_Aktie_verwässert!A$3:AJ$103,9,FALSE)&gt;0,IF(VLOOKUP(A40,Schlußkurse!A$5:AU$105,38,FALSE)&gt;0,VLOOKUP(A40,Schlußkurse!A$5:AU$105,38,FALSE)/VLOOKUP(A40,Ergebnis_je_Aktie_verwässert!A$3:AJ$103,9,FALSE),""),"")</f>
        <v>36.403846153846153</v>
      </c>
      <c r="G40" s="70">
        <f>IF(VLOOKUP(A40,Ergebnis_je_Aktie_verwässert!A$3:AJ$103,10,FALSE)&gt;0,IF(VLOOKUP(A40,Schlußkurse!A$5:AU$105,39,FALSE)&gt;0,VLOOKUP(A40,Schlußkurse!A$5:AU$105,39,FALSE)/VLOOKUP(A40,Ergebnis_je_Aktie_verwässert!A$3:AJ$103,10,FALSE),""),"")</f>
        <v>35.852435530085963</v>
      </c>
      <c r="H40" s="70">
        <f>IF(VLOOKUP(A40,Ergebnis_je_Aktie_verwässert!A$3:AJ$103,11,FALSE)&gt;0,IF(VLOOKUP(A40,Schlußkurse!A$5:AU$105,40,FALSE)&gt;0,VLOOKUP(A40,Schlußkurse!A$5:AU$105,40,FALSE)/VLOOKUP(A40,Ergebnis_je_Aktie_verwässert!A$3:AJ$103,11,FALSE),""),"")</f>
        <v>27.85034013605442</v>
      </c>
      <c r="I40" s="70">
        <f>IF(VLOOKUP(A40,Ergebnis_je_Aktie_verwässert!A$3:AJ$103,12,FALSE)&gt;0,IF(VLOOKUP(A40,Schlußkurse!A$5:AU$105,41,FALSE)&gt;0,VLOOKUP(A40,Schlußkurse!A$5:AU$105,41,FALSE)/VLOOKUP(A40,Ergebnis_je_Aktie_verwässert!A$3:AJ$103,12,FALSE),""),"")</f>
        <v>18.850000000000001</v>
      </c>
      <c r="J40" s="70">
        <f>IF(VLOOKUP(A40,Ergebnis_je_Aktie_verwässert!A$3:AJ$103,13,FALSE)&gt;0,IF(VLOOKUP(A40,Schlußkurse!A$5:AU$105,42,FALSE)&gt;0,VLOOKUP(A40,Schlußkurse!A$5:AU$105,42,FALSE)/VLOOKUP(A40,Ergebnis_je_Aktie_verwässert!A$3:AJ$103,13,FALSE),""),"")</f>
        <v>17.841584158415841</v>
      </c>
      <c r="K40" s="70">
        <f>IF(VLOOKUP(A40,Ergebnis_je_Aktie_verwässert!A$3:AJ$103,14,FALSE)&gt;0,IF(VLOOKUP(A40,Schlußkurse!A$5:AU$105,43,FALSE)&gt;0,VLOOKUP(A40,Schlußkurse!A$5:AU$105,43,FALSE)/VLOOKUP(A40,Ergebnis_je_Aktie_verwässert!A$3:AJ$103,14,FALSE),""),"")</f>
        <v>10.684210526315789</v>
      </c>
      <c r="L40" s="70">
        <f>IF(VLOOKUP(A40,Ergebnis_je_Aktie_verwässert!A$3:AJ$103,15,FALSE)&gt;0,IF(VLOOKUP(A40,Schlußkurse!A$5:AU$105,44,FALSE)&gt;0,VLOOKUP(A40,Schlußkurse!A$5:AU$105,44,FALSE)/VLOOKUP(A40,Ergebnis_je_Aktie_verwässert!A$3:AJ$103,15,FALSE),""),"")</f>
        <v>17.988165680473372</v>
      </c>
      <c r="M40" s="70">
        <f>IF(VLOOKUP(A40,Ergebnis_je_Aktie_verwässert!A$3:AJ$103,16,FALSE)&gt;0,IF(VLOOKUP(A40,Schlußkurse!A$5:AU$105,45,FALSE)&gt;0,VLOOKUP(A40,Schlußkurse!A$5:AU$105,45,FALSE)/VLOOKUP(A40,Ergebnis_je_Aktie_verwässert!A$3:AJ$103,16,FALSE),""),"")</f>
        <v>20.389473684210525</v>
      </c>
      <c r="N40" s="70">
        <f>IF(VLOOKUP(A40,Ergebnis_je_Aktie_verwässert!A$3:AJ$103,17,FALSE)&gt;0,IF(VLOOKUP(A40,Schlußkurse!A$5:AU$105,46,FALSE)&gt;0,VLOOKUP(A40,Schlußkurse!A$5:AU$105,46,FALSE)/VLOOKUP(A40,Ergebnis_je_Aktie_verwässert!A$3:AJ$103,17,FALSE),""),"")</f>
        <v>12.24782242202866</v>
      </c>
      <c r="O40" s="70">
        <f>IF(VLOOKUP(A40,Ergebnis_je_Aktie_verwässert!A$3:AJ$103,18,FALSE)&gt;0,IF(VLOOKUP(A40,Schlußkurse!A$5:AU$105,47,FALSE)&gt;0,VLOOKUP(A40,Schlußkurse!A$5:AU$105,47,FALSE)/VLOOKUP(A40,Ergebnis_je_Aktie_verwässert!A$3:AJ$103,18,FALSE),""),"")</f>
        <v>15.669950738916256</v>
      </c>
      <c r="P40" s="70">
        <f t="shared" si="2"/>
        <v>18.850000000000001</v>
      </c>
      <c r="Q40" s="3">
        <f ca="1">VLOOKUP(A40,Schlußkurse!A$5:AU$105,35,FALSE)/VLOOKUP(A40,Ergebnis_je_Aktie_verwässert!A$3:AK$103,23,FALSE)</f>
        <v>21.382773271533409</v>
      </c>
      <c r="R40" s="5">
        <f t="shared" ca="1" si="3"/>
        <v>0.13436462978957064</v>
      </c>
    </row>
    <row r="41" spans="1:18">
      <c r="A41" t="s">
        <v>54</v>
      </c>
      <c r="B41" s="38" t="s">
        <v>55</v>
      </c>
      <c r="C41" s="70">
        <f>IF(VLOOKUP(A41,Ergebnis_je_Aktie_verwässert!A$3:AJ$103,6,FALSE)&gt;0,IF(VLOOKUP(A41,Schlußkurse!A$5:AU$105,35,FALSE)&gt;0,VLOOKUP(A41,Schlußkurse!A$5:AU$105,35,FALSE)/VLOOKUP(A41,Ergebnis_je_Aktie_verwässert!A$3:AJ$103,6,FALSE),""),"")</f>
        <v>14.909589041095892</v>
      </c>
      <c r="D41" s="70">
        <f>IF(VLOOKUP(A41,Ergebnis_je_Aktie_verwässert!A$3:AJ$103,7,FALSE)&gt;0,IF(VLOOKUP(A41,Schlußkurse!A$5:AU$105,36,FALSE)&gt;0,VLOOKUP(A41,Schlußkurse!A$5:AU$105,36,FALSE)/VLOOKUP(A41,Ergebnis_je_Aktie_verwässert!A$3:AJ$103,7,FALSE),""),"")</f>
        <v>18.200668896321069</v>
      </c>
      <c r="E41" s="70">
        <f>IF(VLOOKUP(A41,Ergebnis_je_Aktie_verwässert!A$3:AJ$103,8,FALSE)&gt;0,IF(VLOOKUP(A41,Schlußkurse!A$5:AU$105,37,FALSE)&gt;0,VLOOKUP(A41,Schlußkurse!A$5:AU$105,37,FALSE)/VLOOKUP(A41,Ergebnis_je_Aktie_verwässert!A$3:AJ$103,8,FALSE),""),"")</f>
        <v>17.802419354838708</v>
      </c>
      <c r="F41" s="70">
        <f>IF(VLOOKUP(A41,Ergebnis_je_Aktie_verwässert!A$3:AJ$103,9,FALSE)&gt;0,IF(VLOOKUP(A41,Schlußkurse!A$5:AU$105,38,FALSE)&gt;0,VLOOKUP(A41,Schlußkurse!A$5:AU$105,38,FALSE)/VLOOKUP(A41,Ergebnis_je_Aktie_verwässert!A$3:AJ$103,9,FALSE),""),"")</f>
        <v>15.855513307984793</v>
      </c>
      <c r="G41" s="70">
        <f>IF(VLOOKUP(A41,Ergebnis_je_Aktie_verwässert!A$3:AJ$103,10,FALSE)&gt;0,IF(VLOOKUP(A41,Schlußkurse!A$5:AU$105,39,FALSE)&gt;0,VLOOKUP(A41,Schlußkurse!A$5:AU$105,39,FALSE)/VLOOKUP(A41,Ergebnis_je_Aktie_verwässert!A$3:AJ$103,10,FALSE),""),"")</f>
        <v>13.134980988593156</v>
      </c>
      <c r="H41" s="70">
        <f>IF(VLOOKUP(A41,Ergebnis_je_Aktie_verwässert!A$3:AJ$103,11,FALSE)&gt;0,IF(VLOOKUP(A41,Schlußkurse!A$5:AU$105,40,FALSE)&gt;0,VLOOKUP(A41,Schlußkurse!A$5:AU$105,40,FALSE)/VLOOKUP(A41,Ergebnis_je_Aktie_verwässert!A$3:AJ$103,11,FALSE),""),"")</f>
        <v>11.456928838951312</v>
      </c>
      <c r="I41" s="70">
        <f>IF(VLOOKUP(A41,Ergebnis_je_Aktie_verwässert!A$3:AJ$103,12,FALSE)&gt;0,IF(VLOOKUP(A41,Schlußkurse!A$5:AU$105,41,FALSE)&gt;0,VLOOKUP(A41,Schlußkurse!A$5:AU$105,41,FALSE)/VLOOKUP(A41,Ergebnis_je_Aktie_verwässert!A$3:AJ$103,12,FALSE),""),"")</f>
        <v>9.5238095238095237</v>
      </c>
      <c r="J41" s="70">
        <f>IF(VLOOKUP(A41,Ergebnis_je_Aktie_verwässert!A$3:AJ$103,13,FALSE)&gt;0,IF(VLOOKUP(A41,Schlußkurse!A$5:AU$105,42,FALSE)&gt;0,VLOOKUP(A41,Schlußkurse!A$5:AU$105,42,FALSE)/VLOOKUP(A41,Ergebnis_je_Aktie_verwässert!A$3:AJ$103,13,FALSE),""),"")</f>
        <v>8.5539033457249083</v>
      </c>
      <c r="K41" s="70">
        <f>IF(VLOOKUP(A41,Ergebnis_je_Aktie_verwässert!A$3:AJ$103,14,FALSE)&gt;0,IF(VLOOKUP(A41,Schlußkurse!A$5:AU$105,43,FALSE)&gt;0,VLOOKUP(A41,Schlußkurse!A$5:AU$105,43,FALSE)/VLOOKUP(A41,Ergebnis_je_Aktie_verwässert!A$3:AJ$103,14,FALSE),""),"")</f>
        <v>11.319047619047618</v>
      </c>
      <c r="L41" s="70">
        <f>IF(VLOOKUP(A41,Ergebnis_je_Aktie_verwässert!A$3:AJ$103,15,FALSE)&gt;0,IF(VLOOKUP(A41,Schlußkurse!A$5:AU$105,44,FALSE)&gt;0,VLOOKUP(A41,Schlußkurse!A$5:AU$105,44,FALSE)/VLOOKUP(A41,Ergebnis_je_Aktie_verwässert!A$3:AJ$103,15,FALSE),""),"")</f>
        <v>16.981481481481481</v>
      </c>
      <c r="M41" s="70">
        <f>IF(VLOOKUP(A41,Ergebnis_je_Aktie_verwässert!A$3:AJ$103,16,FALSE)&gt;0,IF(VLOOKUP(A41,Schlußkurse!A$5:AU$105,45,FALSE)&gt;0,VLOOKUP(A41,Schlußkurse!A$5:AU$105,45,FALSE)/VLOOKUP(A41,Ergebnis_je_Aktie_verwässert!A$3:AJ$103,16,FALSE),""),"")</f>
        <v>15.759358288770052</v>
      </c>
      <c r="N41" s="70">
        <f>IF(VLOOKUP(A41,Ergebnis_je_Aktie_verwässert!A$3:AJ$103,17,FALSE)&gt;0,IF(VLOOKUP(A41,Schlußkurse!A$5:AU$105,46,FALSE)&gt;0,VLOOKUP(A41,Schlußkurse!A$5:AU$105,46,FALSE)/VLOOKUP(A41,Ergebnis_je_Aktie_verwässert!A$3:AJ$103,17,FALSE),""),"")</f>
        <v>16.408450704225352</v>
      </c>
      <c r="O41" s="70">
        <f>IF(VLOOKUP(A41,Ergebnis_je_Aktie_verwässert!A$3:AJ$103,18,FALSE)&gt;0,IF(VLOOKUP(A41,Schlußkurse!A$5:AU$105,47,FALSE)&gt;0,VLOOKUP(A41,Schlußkurse!A$5:AU$105,47,FALSE)/VLOOKUP(A41,Ergebnis_je_Aktie_verwässert!A$3:AJ$103,18,FALSE),""),"")</f>
        <v>20.7</v>
      </c>
      <c r="P41" s="70">
        <f t="shared" si="2"/>
        <v>15.759358288770052</v>
      </c>
      <c r="Q41" s="3">
        <f ca="1">VLOOKUP(A41,Schlußkurse!A$5:AU$105,35,FALSE)/VLOOKUP(A41,Ergebnis_je_Aktie_verwässert!A$3:AK$103,23,FALSE)</f>
        <v>18.83425143483402</v>
      </c>
      <c r="R41" s="5">
        <f t="shared" ca="1" si="3"/>
        <v>0.1951153777787451</v>
      </c>
    </row>
    <row r="42" spans="1:18">
      <c r="A42" t="s">
        <v>56</v>
      </c>
      <c r="B42" s="38" t="s">
        <v>57</v>
      </c>
      <c r="C42" s="70">
        <f>IF(VLOOKUP(A42,Ergebnis_je_Aktie_verwässert!A$3:AJ$103,6,FALSE)&gt;0,IF(VLOOKUP(A42,Schlußkurse!A$5:AU$105,35,FALSE)&gt;0,VLOOKUP(A42,Schlußkurse!A$5:AU$105,35,FALSE)/VLOOKUP(A42,Ergebnis_je_Aktie_verwässert!A$3:AJ$103,6,FALSE),""),"")</f>
        <v>19.149321266968325</v>
      </c>
      <c r="D42" s="70">
        <f>IF(VLOOKUP(A42,Ergebnis_je_Aktie_verwässert!A$3:AJ$103,7,FALSE)&gt;0,IF(VLOOKUP(A42,Schlußkurse!A$5:AU$105,36,FALSE)&gt;0,VLOOKUP(A42,Schlußkurse!A$5:AU$105,36,FALSE)/VLOOKUP(A42,Ergebnis_je_Aktie_verwässert!A$3:AJ$103,7,FALSE),""),"")</f>
        <v>21.482233502538072</v>
      </c>
      <c r="E42" s="70">
        <f>IF(VLOOKUP(A42,Ergebnis_je_Aktie_verwässert!A$3:AJ$103,8,FALSE)&gt;0,IF(VLOOKUP(A42,Schlußkurse!A$5:AU$105,37,FALSE)&gt;0,VLOOKUP(A42,Schlußkurse!A$5:AU$105,37,FALSE)/VLOOKUP(A42,Ergebnis_je_Aktie_verwässert!A$3:AJ$103,8,FALSE),""),"")</f>
        <v>26.222222222222225</v>
      </c>
      <c r="F42" s="70">
        <f>IF(VLOOKUP(A42,Ergebnis_je_Aktie_verwässert!A$3:AJ$103,9,FALSE)&gt;0,IF(VLOOKUP(A42,Schlußkurse!A$5:AU$105,38,FALSE)&gt;0,VLOOKUP(A42,Schlußkurse!A$5:AU$105,38,FALSE)/VLOOKUP(A42,Ergebnis_je_Aktie_verwässert!A$3:AJ$103,9,FALSE),""),"")</f>
        <v>20.75714285714286</v>
      </c>
      <c r="G42" s="70">
        <f>IF(VLOOKUP(A42,Ergebnis_je_Aktie_verwässert!A$3:AJ$103,10,FALSE)&gt;0,IF(VLOOKUP(A42,Schlußkurse!A$5:AU$105,39,FALSE)&gt;0,VLOOKUP(A42,Schlußkurse!A$5:AU$105,39,FALSE)/VLOOKUP(A42,Ergebnis_je_Aktie_verwässert!A$3:AJ$103,10,FALSE),""),"")</f>
        <v>20.171428571428571</v>
      </c>
      <c r="H42" s="70">
        <f>IF(VLOOKUP(A42,Ergebnis_je_Aktie_verwässert!A$3:AJ$103,11,FALSE)&gt;0,IF(VLOOKUP(A42,Schlußkurse!A$5:AU$105,40,FALSE)&gt;0,VLOOKUP(A42,Schlußkurse!A$5:AU$105,40,FALSE)/VLOOKUP(A42,Ergebnis_je_Aktie_verwässert!A$3:AJ$103,11,FALSE),""),"")</f>
        <v>8.3766233766233764</v>
      </c>
      <c r="I42" s="70">
        <f>IF(VLOOKUP(A42,Ergebnis_je_Aktie_verwässert!A$3:AJ$103,12,FALSE)&gt;0,IF(VLOOKUP(A42,Schlußkurse!A$5:AU$105,41,FALSE)&gt;0,VLOOKUP(A42,Schlußkurse!A$5:AU$105,41,FALSE)/VLOOKUP(A42,Ergebnis_je_Aktie_verwässert!A$3:AJ$103,12,FALSE),""),"")</f>
        <v>21.09186046511628</v>
      </c>
      <c r="J42" s="70">
        <f>IF(VLOOKUP(A42,Ergebnis_je_Aktie_verwässert!A$3:AJ$103,13,FALSE)&gt;0,IF(VLOOKUP(A42,Schlußkurse!A$5:AU$105,42,FALSE)&gt;0,VLOOKUP(A42,Schlußkurse!A$5:AU$105,42,FALSE)/VLOOKUP(A42,Ergebnis_je_Aktie_verwässert!A$3:AJ$103,13,FALSE),""),"")</f>
        <v>5.1319587628865975</v>
      </c>
      <c r="K42" s="70">
        <f>IF(VLOOKUP(A42,Ergebnis_je_Aktie_verwässert!A$3:AJ$103,14,FALSE)&gt;0,IF(VLOOKUP(A42,Schlußkurse!A$5:AU$105,43,FALSE)&gt;0,VLOOKUP(A42,Schlußkurse!A$5:AU$105,43,FALSE)/VLOOKUP(A42,Ergebnis_je_Aktie_verwässert!A$3:AJ$103,14,FALSE),""),"")</f>
        <v>19.95</v>
      </c>
      <c r="L42" s="70">
        <f>IF(VLOOKUP(A42,Ergebnis_je_Aktie_verwässert!A$3:AJ$103,15,FALSE)&gt;0,IF(VLOOKUP(A42,Schlußkurse!A$5:AU$105,44,FALSE)&gt;0,VLOOKUP(A42,Schlußkurse!A$5:AU$105,44,FALSE)/VLOOKUP(A42,Ergebnis_je_Aktie_verwässert!A$3:AJ$103,15,FALSE),""),"")</f>
        <v>2.1789473684210527</v>
      </c>
      <c r="M42" s="70" t="str">
        <f>IF(VLOOKUP(A42,Ergebnis_je_Aktie_verwässert!A$3:AJ$103,16,FALSE)&gt;0,IF(VLOOKUP(A42,Schlußkurse!A$5:AU$105,45,FALSE)&gt;0,VLOOKUP(A42,Schlußkurse!A$5:AU$105,45,FALSE)/VLOOKUP(A42,Ergebnis_je_Aktie_verwässert!A$3:AJ$103,16,FALSE),""),"")</f>
        <v/>
      </c>
      <c r="N42" s="70" t="str">
        <f>IF(VLOOKUP(A42,Ergebnis_je_Aktie_verwässert!A$3:AJ$103,17,FALSE)&gt;0,IF(VLOOKUP(A42,Schlußkurse!A$5:AU$105,46,FALSE)&gt;0,VLOOKUP(A42,Schlußkurse!A$5:AU$105,46,FALSE)/VLOOKUP(A42,Ergebnis_je_Aktie_verwässert!A$3:AJ$103,17,FALSE),""),"")</f>
        <v/>
      </c>
      <c r="O42" s="70" t="str">
        <f>IF(VLOOKUP(A42,Ergebnis_je_Aktie_verwässert!A$3:AJ$103,18,FALSE)&gt;0,IF(VLOOKUP(A42,Schlußkurse!A$5:AU$105,47,FALSE)&gt;0,VLOOKUP(A42,Schlußkurse!A$5:AU$105,47,FALSE)/VLOOKUP(A42,Ergebnis_je_Aktie_verwässert!A$3:AJ$103,18,FALSE),""),"")</f>
        <v/>
      </c>
      <c r="P42" s="70">
        <f t="shared" si="2"/>
        <v>20.060714285714283</v>
      </c>
      <c r="Q42" s="3">
        <f ca="1">VLOOKUP(A42,Schlußkurse!A$5:AU$105,35,FALSE)/VLOOKUP(A42,Ergebnis_je_Aktie_verwässert!A$3:AK$103,23,FALSE)</f>
        <v>23.66890380313199</v>
      </c>
      <c r="R42" s="5">
        <f t="shared" ca="1" si="3"/>
        <v>0.17986346179044999</v>
      </c>
    </row>
    <row r="43" spans="1:18">
      <c r="A43" t="s">
        <v>58</v>
      </c>
      <c r="B43" s="38" t="s">
        <v>59</v>
      </c>
      <c r="C43" s="70">
        <f>IF(VLOOKUP(A43,Ergebnis_je_Aktie_verwässert!A$3:AJ$103,6,FALSE)&gt;0,IF(VLOOKUP(A43,Schlußkurse!A$5:AU$105,35,FALSE)&gt;0,VLOOKUP(A43,Schlußkurse!A$5:AU$105,35,FALSE)/VLOOKUP(A43,Ergebnis_je_Aktie_verwässert!A$3:AJ$103,6,FALSE),""),"")</f>
        <v>13.24617737003058</v>
      </c>
      <c r="D43" s="70">
        <f>IF(VLOOKUP(A43,Ergebnis_je_Aktie_verwässert!A$3:AJ$103,7,FALSE)&gt;0,IF(VLOOKUP(A43,Schlußkurse!A$5:AU$105,36,FALSE)&gt;0,VLOOKUP(A43,Schlußkurse!A$5:AU$105,36,FALSE)/VLOOKUP(A43,Ergebnis_je_Aktie_verwässert!A$3:AJ$103,7,FALSE),""),"")</f>
        <v>15.469642857142857</v>
      </c>
      <c r="E43" s="70">
        <f>IF(VLOOKUP(A43,Ergebnis_je_Aktie_verwässert!A$3:AJ$103,8,FALSE)&gt;0,IF(VLOOKUP(A43,Schlußkurse!A$5:AU$105,37,FALSE)&gt;0,VLOOKUP(A43,Schlußkurse!A$5:AU$105,37,FALSE)/VLOOKUP(A43,Ergebnis_je_Aktie_verwässert!A$3:AJ$103,8,FALSE),""),"")</f>
        <v>23.53012048192771</v>
      </c>
      <c r="F43" s="70">
        <f>IF(VLOOKUP(A43,Ergebnis_je_Aktie_verwässert!A$3:AJ$103,9,FALSE)&gt;0,IF(VLOOKUP(A43,Schlußkurse!A$5:AU$105,38,FALSE)&gt;0,VLOOKUP(A43,Schlußkurse!A$5:AU$105,38,FALSE)/VLOOKUP(A43,Ergebnis_je_Aktie_verwässert!A$3:AJ$103,9,FALSE),""),"")</f>
        <v>20.183246073298427</v>
      </c>
      <c r="G43" s="70">
        <f>IF(VLOOKUP(A43,Ergebnis_je_Aktie_verwässert!A$3:AJ$103,10,FALSE)&gt;0,IF(VLOOKUP(A43,Schlußkurse!A$5:AU$105,39,FALSE)&gt;0,VLOOKUP(A43,Schlußkurse!A$5:AU$105,39,FALSE)/VLOOKUP(A43,Ergebnis_je_Aktie_verwässert!A$3:AJ$103,10,FALSE),""),"")</f>
        <v>18.717017208413001</v>
      </c>
      <c r="H43" s="70">
        <f>IF(VLOOKUP(A43,Ergebnis_je_Aktie_verwässert!A$3:AJ$103,11,FALSE)&gt;0,IF(VLOOKUP(A43,Schlußkurse!A$5:AU$105,40,FALSE)&gt;0,VLOOKUP(A43,Schlußkurse!A$5:AU$105,40,FALSE)/VLOOKUP(A43,Ergebnis_je_Aktie_verwässert!A$3:AJ$103,11,FALSE),""),"")</f>
        <v>19.103070175438599</v>
      </c>
      <c r="I43" s="70">
        <f>IF(VLOOKUP(A43,Ergebnis_je_Aktie_verwässert!A$3:AJ$103,12,FALSE)&gt;0,IF(VLOOKUP(A43,Schlußkurse!A$5:AU$105,41,FALSE)&gt;0,VLOOKUP(A43,Schlußkurse!A$5:AU$105,41,FALSE)/VLOOKUP(A43,Ergebnis_je_Aktie_verwässert!A$3:AJ$103,12,FALSE),""),"")</f>
        <v>18.629729729729732</v>
      </c>
      <c r="J43" s="70">
        <f>IF(VLOOKUP(A43,Ergebnis_je_Aktie_verwässert!A$3:AJ$103,13,FALSE)&gt;0,IF(VLOOKUP(A43,Schlußkurse!A$5:AU$105,42,FALSE)&gt;0,VLOOKUP(A43,Schlußkurse!A$5:AU$105,42,FALSE)/VLOOKUP(A43,Ergebnis_je_Aktie_verwässert!A$3:AJ$103,13,FALSE),""),"")</f>
        <v>17.787162162162161</v>
      </c>
      <c r="K43" s="70">
        <f>IF(VLOOKUP(A43,Ergebnis_je_Aktie_verwässert!A$3:AJ$103,14,FALSE)&gt;0,IF(VLOOKUP(A43,Schlußkurse!A$5:AU$105,43,FALSE)&gt;0,VLOOKUP(A43,Schlußkurse!A$5:AU$105,43,FALSE)/VLOOKUP(A43,Ergebnis_je_Aktie_verwässert!A$3:AJ$103,14,FALSE),""),"")</f>
        <v>34.80497925311203</v>
      </c>
      <c r="L43" s="70">
        <f>IF(VLOOKUP(A43,Ergebnis_je_Aktie_verwässert!A$3:AJ$103,15,FALSE)&gt;0,IF(VLOOKUP(A43,Schlußkurse!A$5:AU$105,44,FALSE)&gt;0,VLOOKUP(A43,Schlußkurse!A$5:AU$105,44,FALSE)/VLOOKUP(A43,Ergebnis_je_Aktie_verwässert!A$3:AJ$103,15,FALSE),""),"")</f>
        <v>25.90702947845805</v>
      </c>
      <c r="M43" s="70">
        <f>IF(VLOOKUP(A43,Ergebnis_je_Aktie_verwässert!A$3:AJ$103,16,FALSE)&gt;0,IF(VLOOKUP(A43,Schlußkurse!A$5:AU$105,45,FALSE)&gt;0,VLOOKUP(A43,Schlußkurse!A$5:AU$105,45,FALSE)/VLOOKUP(A43,Ergebnis_je_Aktie_verwässert!A$3:AJ$103,16,FALSE),""),"")</f>
        <v>19.159340659340657</v>
      </c>
      <c r="N43" s="70">
        <f>IF(VLOOKUP(A43,Ergebnis_je_Aktie_verwässert!A$3:AJ$103,17,FALSE)&gt;0,IF(VLOOKUP(A43,Schlußkurse!A$5:AU$105,46,FALSE)&gt;0,VLOOKUP(A43,Schlußkurse!A$5:AU$105,46,FALSE)/VLOOKUP(A43,Ergebnis_je_Aktie_verwässert!A$3:AJ$103,17,FALSE),""),"")</f>
        <v>23.949494949494952</v>
      </c>
      <c r="O43" s="70">
        <f>IF(VLOOKUP(A43,Ergebnis_je_Aktie_verwässert!A$3:AJ$103,18,FALSE)&gt;0,IF(VLOOKUP(A43,Schlußkurse!A$5:AU$105,47,FALSE)&gt;0,VLOOKUP(A43,Schlußkurse!A$5:AU$105,47,FALSE)/VLOOKUP(A43,Ergebnis_je_Aktie_verwässert!A$3:AJ$103,18,FALSE),""),"")</f>
        <v>24.5</v>
      </c>
      <c r="P43" s="70">
        <f t="shared" si="2"/>
        <v>19.159340659340657</v>
      </c>
      <c r="Q43" s="3">
        <f ca="1">VLOOKUP(A43,Schlußkurse!A$5:AU$105,35,FALSE)/VLOOKUP(A43,Ergebnis_je_Aktie_verwässert!A$3:AK$103,23,FALSE)</f>
        <v>17.092403814534691</v>
      </c>
      <c r="R43" s="5">
        <f t="shared" ca="1" si="3"/>
        <v>-0.10788141834089071</v>
      </c>
    </row>
    <row r="44" spans="1:18">
      <c r="A44" t="s">
        <v>60</v>
      </c>
      <c r="B44" s="38" t="s">
        <v>61</v>
      </c>
      <c r="C44" s="70">
        <f>IF(VLOOKUP(A44,Ergebnis_je_Aktie_verwässert!A$3:AJ$103,6,FALSE)&gt;0,IF(VLOOKUP(A44,Schlußkurse!A$5:AU$105,35,FALSE)&gt;0,VLOOKUP(A44,Schlußkurse!A$5:AU$105,35,FALSE)/VLOOKUP(A44,Ergebnis_je_Aktie_verwässert!A$3:AJ$103,6,FALSE),""),"")</f>
        <v>16.015873015873016</v>
      </c>
      <c r="D44" s="70">
        <f>IF(VLOOKUP(A44,Ergebnis_je_Aktie_verwässert!A$3:AJ$103,7,FALSE)&gt;0,IF(VLOOKUP(A44,Schlußkurse!A$5:AU$105,36,FALSE)&gt;0,VLOOKUP(A44,Schlußkurse!A$5:AU$105,36,FALSE)/VLOOKUP(A44,Ergebnis_je_Aktie_verwässert!A$3:AJ$103,7,FALSE),""),"")</f>
        <v>17.701754385964914</v>
      </c>
      <c r="E44" s="70">
        <f>IF(VLOOKUP(A44,Ergebnis_je_Aktie_verwässert!A$3:AJ$103,8,FALSE)&gt;0,IF(VLOOKUP(A44,Schlußkurse!A$5:AU$105,37,FALSE)&gt;0,VLOOKUP(A44,Schlußkurse!A$5:AU$105,37,FALSE)/VLOOKUP(A44,Ergebnis_je_Aktie_verwässert!A$3:AJ$103,8,FALSE),""),"")</f>
        <v>20.808612440191389</v>
      </c>
      <c r="F44" s="70">
        <f>IF(VLOOKUP(A44,Ergebnis_je_Aktie_verwässert!A$3:AJ$103,9,FALSE)&gt;0,IF(VLOOKUP(A44,Schlußkurse!A$5:AU$105,38,FALSE)&gt;0,VLOOKUP(A44,Schlußkurse!A$5:AU$105,38,FALSE)/VLOOKUP(A44,Ergebnis_je_Aktie_verwässert!A$3:AJ$103,9,FALSE),""),"")</f>
        <v>19.013574660633484</v>
      </c>
      <c r="G44" s="70">
        <f>IF(VLOOKUP(A44,Ergebnis_je_Aktie_verwässert!A$3:AJ$103,10,FALSE)&gt;0,IF(VLOOKUP(A44,Schlußkurse!A$5:AU$105,39,FALSE)&gt;0,VLOOKUP(A44,Schlußkurse!A$5:AU$105,39,FALSE)/VLOOKUP(A44,Ergebnis_je_Aktie_verwässert!A$3:AJ$103,10,FALSE),""),"")</f>
        <v>14.193277310924371</v>
      </c>
      <c r="H44" s="70">
        <f>IF(VLOOKUP(A44,Ergebnis_je_Aktie_verwässert!A$3:AJ$103,11,FALSE)&gt;0,IF(VLOOKUP(A44,Schlußkurse!A$5:AU$105,40,FALSE)&gt;0,VLOOKUP(A44,Schlußkurse!A$5:AU$105,40,FALSE)/VLOOKUP(A44,Ergebnis_je_Aktie_verwässert!A$3:AJ$103,11,FALSE),""),"")</f>
        <v>11.712389380530974</v>
      </c>
      <c r="I44" s="70">
        <f>IF(VLOOKUP(A44,Ergebnis_je_Aktie_verwässert!A$3:AJ$103,12,FALSE)&gt;0,IF(VLOOKUP(A44,Schlußkurse!A$5:AU$105,41,FALSE)&gt;0,VLOOKUP(A44,Schlußkurse!A$5:AU$105,41,FALSE)/VLOOKUP(A44,Ergebnis_je_Aktie_verwässert!A$3:AJ$103,12,FALSE),""),"")</f>
        <v>17.459183673469386</v>
      </c>
      <c r="J44" s="70">
        <f>IF(VLOOKUP(A44,Ergebnis_je_Aktie_verwässert!A$3:AJ$103,13,FALSE)&gt;0,IF(VLOOKUP(A44,Schlußkurse!A$5:AU$105,42,FALSE)&gt;0,VLOOKUP(A44,Schlußkurse!A$5:AU$105,42,FALSE)/VLOOKUP(A44,Ergebnis_je_Aktie_verwässert!A$3:AJ$103,13,FALSE),""),"")</f>
        <v>13.514970059880241</v>
      </c>
      <c r="K44" s="70">
        <f>IF(VLOOKUP(A44,Ergebnis_je_Aktie_verwässert!A$3:AJ$103,14,FALSE)&gt;0,IF(VLOOKUP(A44,Schlußkurse!A$5:AU$105,43,FALSE)&gt;0,VLOOKUP(A44,Schlußkurse!A$5:AU$105,43,FALSE)/VLOOKUP(A44,Ergebnis_je_Aktie_verwässert!A$3:AJ$103,14,FALSE),""),"")</f>
        <v>16.190082644628099</v>
      </c>
      <c r="L44" s="70">
        <f>IF(VLOOKUP(A44,Ergebnis_je_Aktie_verwässert!A$3:AJ$103,15,FALSE)&gt;0,IF(VLOOKUP(A44,Schlußkurse!A$5:AU$105,44,FALSE)&gt;0,VLOOKUP(A44,Schlußkurse!A$5:AU$105,44,FALSE)/VLOOKUP(A44,Ergebnis_je_Aktie_verwässert!A$3:AJ$103,15,FALSE),""),"")</f>
        <v>20.954128440366972</v>
      </c>
      <c r="M44" s="70">
        <f>IF(VLOOKUP(A44,Ergebnis_je_Aktie_verwässert!A$3:AJ$103,16,FALSE)&gt;0,IF(VLOOKUP(A44,Schlußkurse!A$5:AU$105,45,FALSE)&gt;0,VLOOKUP(A44,Schlußkurse!A$5:AU$105,45,FALSE)/VLOOKUP(A44,Ergebnis_je_Aktie_verwässert!A$3:AJ$103,16,FALSE),""),"")</f>
        <v>18.283018867924525</v>
      </c>
      <c r="N44" s="70">
        <f>IF(VLOOKUP(A44,Ergebnis_je_Aktie_verwässert!A$3:AJ$103,17,FALSE)&gt;0,IF(VLOOKUP(A44,Schlußkurse!A$5:AU$105,46,FALSE)&gt;0,VLOOKUP(A44,Schlußkurse!A$5:AU$105,46,FALSE)/VLOOKUP(A44,Ergebnis_je_Aktie_verwässert!A$3:AJ$103,17,FALSE),""),"")</f>
        <v>17.555555555555554</v>
      </c>
      <c r="O44" s="70">
        <f>IF(VLOOKUP(A44,Ergebnis_je_Aktie_verwässert!A$3:AJ$103,18,FALSE)&gt;0,IF(VLOOKUP(A44,Schlußkurse!A$5:AU$105,47,FALSE)&gt;0,VLOOKUP(A44,Schlußkurse!A$5:AU$105,47,FALSE)/VLOOKUP(A44,Ergebnis_je_Aktie_verwässert!A$3:AJ$103,18,FALSE),""),"")</f>
        <v>20</v>
      </c>
      <c r="P44" s="70">
        <f t="shared" si="2"/>
        <v>17.555555555555554</v>
      </c>
      <c r="Q44" s="3">
        <f ca="1">VLOOKUP(A44,Schlußkurse!A$5:AU$105,35,FALSE)/VLOOKUP(A44,Ergebnis_je_Aktie_verwässert!A$3:AK$103,23,FALSE)</f>
        <v>17.875544400974388</v>
      </c>
      <c r="R44" s="5">
        <f t="shared" ca="1" si="3"/>
        <v>1.8227212713731067E-2</v>
      </c>
    </row>
    <row r="45" spans="1:18">
      <c r="A45" t="s">
        <v>62</v>
      </c>
      <c r="B45" s="38" t="s">
        <v>63</v>
      </c>
      <c r="C45" s="70">
        <f>IF(VLOOKUP(A45,Ergebnis_je_Aktie_verwässert!A$3:AJ$103,6,FALSE)&gt;0,IF(VLOOKUP(A45,Schlußkurse!A$5:AU$105,35,FALSE)&gt;0,VLOOKUP(A45,Schlußkurse!A$5:AU$105,35,FALSE)/VLOOKUP(A45,Ergebnis_je_Aktie_verwässert!A$3:AJ$103,6,FALSE),""),"")</f>
        <v>19.351749539594845</v>
      </c>
      <c r="D45" s="70">
        <f>IF(VLOOKUP(A45,Ergebnis_je_Aktie_verwässert!A$3:AJ$103,7,FALSE)&gt;0,IF(VLOOKUP(A45,Schlußkurse!A$5:AU$105,36,FALSE)&gt;0,VLOOKUP(A45,Schlußkurse!A$5:AU$105,36,FALSE)/VLOOKUP(A45,Ergebnis_je_Aktie_verwässert!A$3:AJ$103,7,FALSE),""),"")</f>
        <v>20.766798418972332</v>
      </c>
      <c r="E45" s="70">
        <f>IF(VLOOKUP(A45,Ergebnis_je_Aktie_verwässert!A$3:AJ$103,8,FALSE)&gt;0,IF(VLOOKUP(A45,Schlußkurse!A$5:AU$105,37,FALSE)&gt;0,VLOOKUP(A45,Schlußkurse!A$5:AU$105,37,FALSE)/VLOOKUP(A45,Ergebnis_je_Aktie_verwässert!A$3:AJ$103,8,FALSE),""),"")</f>
        <v>21.350427350427353</v>
      </c>
      <c r="F45" s="70">
        <f>IF(VLOOKUP(A45,Ergebnis_je_Aktie_verwässert!A$3:AJ$103,9,FALSE)&gt;0,IF(VLOOKUP(A45,Schlußkurse!A$5:AU$105,38,FALSE)&gt;0,VLOOKUP(A45,Schlußkurse!A$5:AU$105,38,FALSE)/VLOOKUP(A45,Ergebnis_je_Aktie_verwässert!A$3:AJ$103,9,FALSE),""),"")</f>
        <v>20.691466083150985</v>
      </c>
      <c r="G45" s="70">
        <f>IF(VLOOKUP(A45,Ergebnis_je_Aktie_verwässert!A$3:AJ$103,10,FALSE)&gt;0,IF(VLOOKUP(A45,Schlußkurse!A$5:AU$105,39,FALSE)&gt;0,VLOOKUP(A45,Schlußkurse!A$5:AU$105,39,FALSE)/VLOOKUP(A45,Ergebnis_je_Aktie_verwässert!A$3:AJ$103,10,FALSE),""),"")</f>
        <v>17.913606911447083</v>
      </c>
      <c r="H45" s="70">
        <f>IF(VLOOKUP(A45,Ergebnis_je_Aktie_verwässert!A$3:AJ$103,11,FALSE)&gt;0,IF(VLOOKUP(A45,Schlußkurse!A$5:AU$105,40,FALSE)&gt;0,VLOOKUP(A45,Schlußkurse!A$5:AU$105,40,FALSE)/VLOOKUP(A45,Ergebnis_je_Aktie_verwässert!A$3:AJ$103,11,FALSE),""),"")</f>
        <v>15.659038901601832</v>
      </c>
      <c r="I45" s="70">
        <f>IF(VLOOKUP(A45,Ergebnis_je_Aktie_verwässert!A$3:AJ$103,12,FALSE)&gt;0,IF(VLOOKUP(A45,Schlußkurse!A$5:AU$105,41,FALSE)&gt;0,VLOOKUP(A45,Schlußkurse!A$5:AU$105,41,FALSE)/VLOOKUP(A45,Ergebnis_je_Aktie_verwässert!A$3:AJ$103,12,FALSE),""),"")</f>
        <v>16.182926829268293</v>
      </c>
      <c r="J45" s="70">
        <f>IF(VLOOKUP(A45,Ergebnis_je_Aktie_verwässert!A$3:AJ$103,13,FALSE)&gt;0,IF(VLOOKUP(A45,Schlußkurse!A$5:AU$105,42,FALSE)&gt;0,VLOOKUP(A45,Schlußkurse!A$5:AU$105,42,FALSE)/VLOOKUP(A45,Ergebnis_je_Aktie_verwässert!A$3:AJ$103,13,FALSE),""),"")</f>
        <v>14.847727272727271</v>
      </c>
      <c r="K45" s="70">
        <f>IF(VLOOKUP(A45,Ergebnis_je_Aktie_verwässert!A$3:AJ$103,14,FALSE)&gt;0,IF(VLOOKUP(A45,Schlußkurse!A$5:AU$105,43,FALSE)&gt;0,VLOOKUP(A45,Schlußkurse!A$5:AU$105,43,FALSE)/VLOOKUP(A45,Ergebnis_je_Aktie_verwässert!A$3:AJ$103,14,FALSE),""),"")</f>
        <v>14.721549636803873</v>
      </c>
      <c r="L45" s="70">
        <f>IF(VLOOKUP(A45,Ergebnis_je_Aktie_verwässert!A$3:AJ$103,15,FALSE)&gt;0,IF(VLOOKUP(A45,Schlußkurse!A$5:AU$105,44,FALSE)&gt;0,VLOOKUP(A45,Schlußkurse!A$5:AU$105,44,FALSE)/VLOOKUP(A45,Ergebnis_je_Aktie_verwässert!A$3:AJ$103,15,FALSE),""),"")</f>
        <v>14.762803234501348</v>
      </c>
      <c r="M45" s="70">
        <f>IF(VLOOKUP(A45,Ergebnis_je_Aktie_verwässert!A$3:AJ$103,16,FALSE)&gt;0,IF(VLOOKUP(A45,Schlußkurse!A$5:AU$105,45,FALSE)&gt;0,VLOOKUP(A45,Schlußkurse!A$5:AU$105,45,FALSE)/VLOOKUP(A45,Ergebnis_je_Aktie_verwässert!A$3:AJ$103,16,FALSE),""),"")</f>
        <v>20.625</v>
      </c>
      <c r="N45" s="70">
        <f>IF(VLOOKUP(A45,Ergebnis_je_Aktie_verwässert!A$3:AJ$103,17,FALSE)&gt;0,IF(VLOOKUP(A45,Schlußkurse!A$5:AU$105,46,FALSE)&gt;0,VLOOKUP(A45,Schlußkurse!A$5:AU$105,46,FALSE)/VLOOKUP(A45,Ergebnis_je_Aktie_verwässert!A$3:AJ$103,17,FALSE),""),"")</f>
        <v>18.538461538461537</v>
      </c>
      <c r="O45" s="70">
        <f>IF(VLOOKUP(A45,Ergebnis_je_Aktie_verwässert!A$3:AJ$103,18,FALSE)&gt;0,IF(VLOOKUP(A45,Schlußkurse!A$5:AU$105,47,FALSE)&gt;0,VLOOKUP(A45,Schlußkurse!A$5:AU$105,47,FALSE)/VLOOKUP(A45,Ergebnis_je_Aktie_verwässert!A$3:AJ$103,18,FALSE),""),"")</f>
        <v>19.78</v>
      </c>
      <c r="P45" s="70">
        <f t="shared" si="2"/>
        <v>18.538461538461537</v>
      </c>
      <c r="Q45" s="3">
        <f ca="1">VLOOKUP(A45,Schlußkurse!A$5:AU$105,35,FALSE)/VLOOKUP(A45,Ergebnis_je_Aktie_verwässert!A$3:AK$103,23,FALSE)</f>
        <v>21.919065498539844</v>
      </c>
      <c r="R45" s="5">
        <f t="shared" ca="1" si="3"/>
        <v>0.182356230211693</v>
      </c>
    </row>
    <row r="46" spans="1:18">
      <c r="A46" t="s">
        <v>64</v>
      </c>
      <c r="B46" s="38" t="s">
        <v>65</v>
      </c>
      <c r="C46" s="70">
        <f>IF(VLOOKUP(A46,Ergebnis_je_Aktie_verwässert!A$3:AJ$103,6,FALSE)&gt;0,IF(VLOOKUP(A46,Schlußkurse!A$5:AU$105,35,FALSE)&gt;0,VLOOKUP(A46,Schlußkurse!A$5:AU$105,35,FALSE)/VLOOKUP(A46,Ergebnis_je_Aktie_verwässert!A$3:AJ$103,6,FALSE),""),"")</f>
        <v>12.645914396887161</v>
      </c>
      <c r="D46" s="70">
        <f>IF(VLOOKUP(A46,Ergebnis_je_Aktie_verwässert!A$3:AJ$103,7,FALSE)&gt;0,IF(VLOOKUP(A46,Schlußkurse!A$5:AU$105,36,FALSE)&gt;0,VLOOKUP(A46,Schlußkurse!A$5:AU$105,36,FALSE)/VLOOKUP(A46,Ergebnis_je_Aktie_verwässert!A$3:AJ$103,7,FALSE),""),"")</f>
        <v>14.508928571428569</v>
      </c>
      <c r="E46" s="70">
        <f>IF(VLOOKUP(A46,Ergebnis_je_Aktie_verwässert!A$3:AJ$103,8,FALSE)&gt;0,IF(VLOOKUP(A46,Schlußkurse!A$5:AU$105,37,FALSE)&gt;0,VLOOKUP(A46,Schlußkurse!A$5:AU$105,37,FALSE)/VLOOKUP(A46,Ergebnis_je_Aktie_verwässert!A$3:AJ$103,8,FALSE),""),"")</f>
        <v>19.100591715976332</v>
      </c>
      <c r="F46" s="70">
        <f>IF(VLOOKUP(A46,Ergebnis_je_Aktie_verwässert!A$3:AJ$103,9,FALSE)&gt;0,IF(VLOOKUP(A46,Schlußkurse!A$5:AU$105,38,FALSE)&gt;0,VLOOKUP(A46,Schlußkurse!A$5:AU$105,38,FALSE)/VLOOKUP(A46,Ergebnis_je_Aktie_verwässert!A$3:AJ$103,9,FALSE),""),"")</f>
        <v>28.063063063063058</v>
      </c>
      <c r="G46" s="70">
        <f>IF(VLOOKUP(A46,Ergebnis_je_Aktie_verwässert!A$3:AJ$103,10,FALSE)&gt;0,IF(VLOOKUP(A46,Schlußkurse!A$5:AU$105,39,FALSE)&gt;0,VLOOKUP(A46,Schlußkurse!A$5:AU$105,39,FALSE)/VLOOKUP(A46,Ergebnis_je_Aktie_verwässert!A$3:AJ$103,10,FALSE),""),"")</f>
        <v>21.570422535211268</v>
      </c>
      <c r="H46" s="70">
        <f>IF(VLOOKUP(A46,Ergebnis_je_Aktie_verwässert!A$3:AJ$103,11,FALSE)&gt;0,IF(VLOOKUP(A46,Schlußkurse!A$5:AU$105,40,FALSE)&gt;0,VLOOKUP(A46,Schlußkurse!A$5:AU$105,40,FALSE)/VLOOKUP(A46,Ergebnis_je_Aktie_verwässert!A$3:AJ$103,11,FALSE),""),"")</f>
        <v>15.199575757575758</v>
      </c>
      <c r="I46" s="70">
        <f>IF(VLOOKUP(A46,Ergebnis_je_Aktie_verwässert!A$3:AJ$103,12,FALSE)&gt;0,IF(VLOOKUP(A46,Schlußkurse!A$5:AU$105,41,FALSE)&gt;0,VLOOKUP(A46,Schlußkurse!A$5:AU$105,41,FALSE)/VLOOKUP(A46,Ergebnis_je_Aktie_verwässert!A$3:AJ$103,12,FALSE),""),"")</f>
        <v>11.154639175257733</v>
      </c>
      <c r="J46" s="70">
        <f>IF(VLOOKUP(A46,Ergebnis_je_Aktie_verwässert!A$3:AJ$103,13,FALSE)&gt;0,IF(VLOOKUP(A46,Schlußkurse!A$5:AU$105,42,FALSE)&gt;0,VLOOKUP(A46,Schlußkurse!A$5:AU$105,42,FALSE)/VLOOKUP(A46,Ergebnis_je_Aktie_verwässert!A$3:AJ$103,13,FALSE),""),"")</f>
        <v>13.78740157480315</v>
      </c>
      <c r="K46" s="70">
        <f>IF(VLOOKUP(A46,Ergebnis_je_Aktie_verwässert!A$3:AJ$103,14,FALSE)&gt;0,IF(VLOOKUP(A46,Schlußkurse!A$5:AU$105,43,FALSE)&gt;0,VLOOKUP(A46,Schlußkurse!A$5:AU$105,43,FALSE)/VLOOKUP(A46,Ergebnis_je_Aktie_verwässert!A$3:AJ$103,14,FALSE),""),"")</f>
        <v>17.833333333333336</v>
      </c>
      <c r="L46" s="70">
        <f>IF(VLOOKUP(A46,Ergebnis_je_Aktie_verwässert!A$3:AJ$103,15,FALSE)&gt;0,IF(VLOOKUP(A46,Schlußkurse!A$5:AU$105,44,FALSE)&gt;0,VLOOKUP(A46,Schlußkurse!A$5:AU$105,44,FALSE)/VLOOKUP(A46,Ergebnis_je_Aktie_verwässert!A$3:AJ$103,15,FALSE),""),"")</f>
        <v>14.398373983739837</v>
      </c>
      <c r="M46" s="70">
        <f>IF(VLOOKUP(A46,Ergebnis_je_Aktie_verwässert!A$3:AJ$103,16,FALSE)&gt;0,IF(VLOOKUP(A46,Schlußkurse!A$5:AU$105,45,FALSE)&gt;0,VLOOKUP(A46,Schlußkurse!A$5:AU$105,45,FALSE)/VLOOKUP(A46,Ergebnis_je_Aktie_verwässert!A$3:AJ$103,16,FALSE),""),"")</f>
        <v>18.941666666666666</v>
      </c>
      <c r="N46" s="70">
        <f>IF(VLOOKUP(A46,Ergebnis_je_Aktie_verwässert!A$3:AJ$103,17,FALSE)&gt;0,IF(VLOOKUP(A46,Schlußkurse!A$5:AU$105,46,FALSE)&gt;0,VLOOKUP(A46,Schlußkurse!A$5:AU$105,46,FALSE)/VLOOKUP(A46,Ergebnis_je_Aktie_verwässert!A$3:AJ$103,17,FALSE),""),"")</f>
        <v>22.196581196581196</v>
      </c>
      <c r="O46" s="70">
        <f>IF(VLOOKUP(A46,Ergebnis_je_Aktie_verwässert!A$3:AJ$103,18,FALSE)&gt;0,IF(VLOOKUP(A46,Schlußkurse!A$5:AU$105,47,FALSE)&gt;0,VLOOKUP(A46,Schlußkurse!A$5:AU$105,47,FALSE)/VLOOKUP(A46,Ergebnis_je_Aktie_verwässert!A$3:AJ$103,18,FALSE),""),"")</f>
        <v>15.342105263157896</v>
      </c>
      <c r="P46" s="70">
        <f t="shared" si="2"/>
        <v>15.342105263157896</v>
      </c>
      <c r="Q46" s="3">
        <f ca="1">VLOOKUP(A46,Schlußkurse!A$5:AU$105,35,FALSE)/VLOOKUP(A46,Ergebnis_je_Aktie_verwässert!A$3:AK$103,23,FALSE)</f>
        <v>17.520215633423181</v>
      </c>
      <c r="R46" s="5">
        <f t="shared" ca="1" si="3"/>
        <v>0.14196945809619343</v>
      </c>
    </row>
    <row r="47" spans="1:18">
      <c r="A47" t="s">
        <v>66</v>
      </c>
      <c r="B47" s="38" t="s">
        <v>67</v>
      </c>
      <c r="C47" s="70">
        <f>IF(VLOOKUP(A47,Ergebnis_je_Aktie_verwässert!A$3:AJ$103,6,FALSE)&gt;0,IF(VLOOKUP(A47,Schlußkurse!A$5:AU$105,35,FALSE)&gt;0,VLOOKUP(A47,Schlußkurse!A$5:AU$105,35,FALSE)/VLOOKUP(A47,Ergebnis_je_Aktie_verwässert!A$3:AJ$103,6,FALSE),""),"")</f>
        <v>19.399999999999999</v>
      </c>
      <c r="D47" s="70">
        <f>IF(VLOOKUP(A47,Ergebnis_je_Aktie_verwässert!A$3:AJ$103,7,FALSE)&gt;0,IF(VLOOKUP(A47,Schlußkurse!A$5:AU$105,36,FALSE)&gt;0,VLOOKUP(A47,Schlußkurse!A$5:AU$105,36,FALSE)/VLOOKUP(A47,Ergebnis_je_Aktie_verwässert!A$3:AJ$103,7,FALSE),""),"")</f>
        <v>21.10460251046025</v>
      </c>
      <c r="E47" s="70">
        <f>IF(VLOOKUP(A47,Ergebnis_je_Aktie_verwässert!A$3:AJ$103,8,FALSE)&gt;0,IF(VLOOKUP(A47,Schlußkurse!A$5:AU$105,37,FALSE)&gt;0,VLOOKUP(A47,Schlußkurse!A$5:AU$105,37,FALSE)/VLOOKUP(A47,Ergebnis_je_Aktie_verwässert!A$3:AJ$103,8,FALSE),""),"")</f>
        <v>20.162844036697244</v>
      </c>
      <c r="F47" s="70">
        <f>IF(VLOOKUP(A47,Ergebnis_je_Aktie_verwässert!A$3:AJ$103,9,FALSE)&gt;0,IF(VLOOKUP(A47,Schlußkurse!A$5:AU$105,38,FALSE)&gt;0,VLOOKUP(A47,Schlußkurse!A$5:AU$105,38,FALSE)/VLOOKUP(A47,Ergebnis_je_Aktie_verwässert!A$3:AJ$103,9,FALSE),""),"")</f>
        <v>18.427601809954751</v>
      </c>
      <c r="G47" s="70">
        <f>IF(VLOOKUP(A47,Ergebnis_je_Aktie_verwässert!A$3:AJ$103,10,FALSE)&gt;0,IF(VLOOKUP(A47,Schlußkurse!A$5:AU$105,39,FALSE)&gt;0,VLOOKUP(A47,Schlußkurse!A$5:AU$105,39,FALSE)/VLOOKUP(A47,Ergebnis_je_Aktie_verwässert!A$3:AJ$103,10,FALSE),""),"")</f>
        <v>17.356573705179283</v>
      </c>
      <c r="H47" s="70">
        <f>IF(VLOOKUP(A47,Ergebnis_je_Aktie_verwässert!A$3:AJ$103,11,FALSE)&gt;0,IF(VLOOKUP(A47,Schlußkurse!A$5:AU$105,40,FALSE)&gt;0,VLOOKUP(A47,Schlußkurse!A$5:AU$105,40,FALSE)/VLOOKUP(A47,Ergebnis_je_Aktie_verwässert!A$3:AJ$103,11,FALSE),""),"")</f>
        <v>15.488888888888887</v>
      </c>
      <c r="I47" s="70">
        <f>IF(VLOOKUP(A47,Ergebnis_je_Aktie_verwässert!A$3:AJ$103,12,FALSE)&gt;0,IF(VLOOKUP(A47,Schlußkurse!A$5:AU$105,41,FALSE)&gt;0,VLOOKUP(A47,Schlußkurse!A$5:AU$105,41,FALSE)/VLOOKUP(A47,Ergebnis_je_Aktie_verwässert!A$3:AJ$103,12,FALSE),""),"")</f>
        <v>15.03448275862069</v>
      </c>
      <c r="J47" s="70">
        <f>IF(VLOOKUP(A47,Ergebnis_je_Aktie_verwässert!A$3:AJ$103,13,FALSE)&gt;0,IF(VLOOKUP(A47,Schlußkurse!A$5:AU$105,42,FALSE)&gt;0,VLOOKUP(A47,Schlußkurse!A$5:AU$105,42,FALSE)/VLOOKUP(A47,Ergebnis_je_Aktie_verwässert!A$3:AJ$103,13,FALSE),""),"")</f>
        <v>11.993852459016393</v>
      </c>
      <c r="K47" s="70">
        <f>IF(VLOOKUP(A47,Ergebnis_je_Aktie_verwässert!A$3:AJ$103,14,FALSE)&gt;0,IF(VLOOKUP(A47,Schlußkurse!A$5:AU$105,43,FALSE)&gt;0,VLOOKUP(A47,Schlußkurse!A$5:AU$105,43,FALSE)/VLOOKUP(A47,Ergebnis_je_Aktie_verwässert!A$3:AJ$103,14,FALSE),""),"")</f>
        <v>12.452196382428939</v>
      </c>
      <c r="L47" s="70">
        <f>IF(VLOOKUP(A47,Ergebnis_je_Aktie_verwässert!A$3:AJ$103,15,FALSE)&gt;0,IF(VLOOKUP(A47,Schlußkurse!A$5:AU$105,44,FALSE)&gt;0,VLOOKUP(A47,Schlußkurse!A$5:AU$105,44,FALSE)/VLOOKUP(A47,Ergebnis_je_Aktie_verwässert!A$3:AJ$103,15,FALSE),""),"")</f>
        <v>13.224924012158054</v>
      </c>
      <c r="M47" s="70" t="str">
        <f>IF(VLOOKUP(A47,Ergebnis_je_Aktie_verwässert!A$3:AJ$103,16,FALSE)&gt;0,IF(VLOOKUP(A47,Schlußkurse!A$5:AU$105,45,FALSE)&gt;0,VLOOKUP(A47,Schlußkurse!A$5:AU$105,45,FALSE)/VLOOKUP(A47,Ergebnis_je_Aktie_verwässert!A$3:AJ$103,16,FALSE),""),"")</f>
        <v/>
      </c>
      <c r="N47" s="70" t="str">
        <f>IF(VLOOKUP(A47,Ergebnis_je_Aktie_verwässert!A$3:AJ$103,17,FALSE)&gt;0,IF(VLOOKUP(A47,Schlußkurse!A$5:AU$105,46,FALSE)&gt;0,VLOOKUP(A47,Schlußkurse!A$5:AU$105,46,FALSE)/VLOOKUP(A47,Ergebnis_je_Aktie_verwässert!A$3:AJ$103,17,FALSE),""),"")</f>
        <v/>
      </c>
      <c r="O47" s="70" t="str">
        <f>IF(VLOOKUP(A47,Ergebnis_je_Aktie_verwässert!A$3:AJ$103,18,FALSE)&gt;0,IF(VLOOKUP(A47,Schlußkurse!A$5:AU$105,47,FALSE)&gt;0,VLOOKUP(A47,Schlußkurse!A$5:AU$105,47,FALSE)/VLOOKUP(A47,Ergebnis_je_Aktie_verwässert!A$3:AJ$103,18,FALSE),""),"")</f>
        <v/>
      </c>
      <c r="P47" s="70">
        <f t="shared" si="2"/>
        <v>16.422731297034083</v>
      </c>
      <c r="Q47" s="3">
        <f ca="1">VLOOKUP(A47,Schlußkurse!A$5:AU$105,35,FALSE)/VLOOKUP(A47,Ergebnis_je_Aktie_verwässert!A$3:AK$103,23,FALSE)</f>
        <v>22.487739634418187</v>
      </c>
      <c r="R47" s="5">
        <f t="shared" ca="1" si="3"/>
        <v>0.36930570364257465</v>
      </c>
    </row>
    <row r="48" spans="1:18">
      <c r="A48" t="s">
        <v>68</v>
      </c>
      <c r="B48" s="38" t="s">
        <v>69</v>
      </c>
      <c r="C48" s="70">
        <f>IF(VLOOKUP(A48,Ergebnis_je_Aktie_verwässert!A$3:AJ$103,6,FALSE)&gt;0,IF(VLOOKUP(A48,Schlußkurse!A$5:AU$105,35,FALSE)&gt;0,VLOOKUP(A48,Schlußkurse!A$5:AU$105,35,FALSE)/VLOOKUP(A48,Ergebnis_je_Aktie_verwässert!A$3:AJ$103,6,FALSE),""),"")</f>
        <v>19.393939393939394</v>
      </c>
      <c r="D48" s="70">
        <f>IF(VLOOKUP(A48,Ergebnis_je_Aktie_verwässert!A$3:AJ$103,7,FALSE)&gt;0,IF(VLOOKUP(A48,Schlußkurse!A$5:AU$105,36,FALSE)&gt;0,VLOOKUP(A48,Schlußkurse!A$5:AU$105,36,FALSE)/VLOOKUP(A48,Ergebnis_je_Aktie_verwässert!A$3:AJ$103,7,FALSE),""),"")</f>
        <v>19.952038369304557</v>
      </c>
      <c r="E48" s="70">
        <f>IF(VLOOKUP(A48,Ergebnis_je_Aktie_verwässert!A$3:AJ$103,8,FALSE)&gt;0,IF(VLOOKUP(A48,Schlußkurse!A$5:AU$105,37,FALSE)&gt;0,VLOOKUP(A48,Schlußkurse!A$5:AU$105,37,FALSE)/VLOOKUP(A48,Ergebnis_je_Aktie_verwässert!A$3:AJ$103,8,FALSE),""),"")</f>
        <v>21.977528089887638</v>
      </c>
      <c r="F48" s="70">
        <f>IF(VLOOKUP(A48,Ergebnis_je_Aktie_verwässert!A$3:AJ$103,9,FALSE)&gt;0,IF(VLOOKUP(A48,Schlußkurse!A$5:AU$105,38,FALSE)&gt;0,VLOOKUP(A48,Schlußkurse!A$5:AU$105,38,FALSE)/VLOOKUP(A48,Ergebnis_je_Aktie_verwässert!A$3:AJ$103,9,FALSE),""),"")</f>
        <v>19.549751243781099</v>
      </c>
      <c r="G48" s="70">
        <f>IF(VLOOKUP(A48,Ergebnis_je_Aktie_verwässert!A$3:AJ$103,10,FALSE)&gt;0,IF(VLOOKUP(A48,Schlußkurse!A$5:AU$105,39,FALSE)&gt;0,VLOOKUP(A48,Schlußkurse!A$5:AU$105,39,FALSE)/VLOOKUP(A48,Ergebnis_je_Aktie_verwässert!A$3:AJ$103,10,FALSE),""),"")</f>
        <v>18.8239608801956</v>
      </c>
      <c r="H48" s="70">
        <f>IF(VLOOKUP(A48,Ergebnis_je_Aktie_verwässert!A$3:AJ$103,11,FALSE)&gt;0,IF(VLOOKUP(A48,Schlußkurse!A$5:AU$105,40,FALSE)&gt;0,VLOOKUP(A48,Schlußkurse!A$5:AU$105,40,FALSE)/VLOOKUP(A48,Ergebnis_je_Aktie_verwässert!A$3:AJ$103,11,FALSE),""),"")</f>
        <v>15.236318407960201</v>
      </c>
      <c r="I48" s="70">
        <f>IF(VLOOKUP(A48,Ergebnis_je_Aktie_verwässert!A$3:AJ$103,12,FALSE)&gt;0,IF(VLOOKUP(A48,Schlußkurse!A$5:AU$105,41,FALSE)&gt;0,VLOOKUP(A48,Schlußkurse!A$5:AU$105,41,FALSE)/VLOOKUP(A48,Ergebnis_je_Aktie_verwässert!A$3:AJ$103,12,FALSE),""),"")</f>
        <v>16.51168831168831</v>
      </c>
      <c r="J48" s="70">
        <f>IF(VLOOKUP(A48,Ergebnis_je_Aktie_verwässert!A$3:AJ$103,13,FALSE)&gt;0,IF(VLOOKUP(A48,Schlußkurse!A$5:AU$105,42,FALSE)&gt;0,VLOOKUP(A48,Schlußkurse!A$5:AU$105,42,FALSE)/VLOOKUP(A48,Ergebnis_je_Aktie_verwässert!A$3:AJ$103,13,FALSE),""),"")</f>
        <v>15.498708010335916</v>
      </c>
      <c r="K48" s="70">
        <f>IF(VLOOKUP(A48,Ergebnis_je_Aktie_verwässert!A$3:AJ$103,14,FALSE)&gt;0,IF(VLOOKUP(A48,Schlußkurse!A$5:AU$105,43,FALSE)&gt;0,VLOOKUP(A48,Schlußkurse!A$5:AU$105,43,FALSE)/VLOOKUP(A48,Ergebnis_je_Aktie_verwässert!A$3:AJ$103,14,FALSE),""),"")</f>
        <v>13.923705722070846</v>
      </c>
      <c r="L48" s="70">
        <f>IF(VLOOKUP(A48,Ergebnis_je_Aktie_verwässert!A$3:AJ$103,15,FALSE)&gt;0,IF(VLOOKUP(A48,Schlußkurse!A$5:AU$105,44,FALSE)&gt;0,VLOOKUP(A48,Schlußkurse!A$5:AU$105,44,FALSE)/VLOOKUP(A48,Ergebnis_je_Aktie_verwässert!A$3:AJ$103,15,FALSE),""),"")</f>
        <v>17.524495677233428</v>
      </c>
      <c r="M48" s="70">
        <f>IF(VLOOKUP(A48,Ergebnis_je_Aktie_verwässert!A$3:AJ$103,16,FALSE)&gt;0,IF(VLOOKUP(A48,Schlußkurse!A$5:AU$105,45,FALSE)&gt;0,VLOOKUP(A48,Schlußkurse!A$5:AU$105,45,FALSE)/VLOOKUP(A48,Ergebnis_je_Aktie_verwässert!A$3:AJ$103,16,FALSE),""),"")</f>
        <v>17.944281524926684</v>
      </c>
      <c r="N48" s="70">
        <f>IF(VLOOKUP(A48,Ergebnis_je_Aktie_verwässert!A$3:AJ$103,17,FALSE)&gt;0,IF(VLOOKUP(A48,Schlußkurse!A$5:AU$105,46,FALSE)&gt;0,VLOOKUP(A48,Schlußkurse!A$5:AU$105,46,FALSE)/VLOOKUP(A48,Ergebnis_je_Aktie_verwässert!A$3:AJ$103,17,FALSE),""),"")</f>
        <v>18.63486842105263</v>
      </c>
      <c r="O48" s="70">
        <f>IF(VLOOKUP(A48,Ergebnis_je_Aktie_verwässert!A$3:AJ$103,18,FALSE)&gt;0,IF(VLOOKUP(A48,Schlußkurse!A$5:AU$105,47,FALSE)&gt;0,VLOOKUP(A48,Schlußkurse!A$5:AU$105,47,FALSE)/VLOOKUP(A48,Ergebnis_je_Aktie_verwässert!A$3:AJ$103,18,FALSE),""),"")</f>
        <v>19.981060606060606</v>
      </c>
      <c r="P48" s="70">
        <f t="shared" si="2"/>
        <v>18.63486842105263</v>
      </c>
      <c r="Q48" s="3">
        <f ca="1">VLOOKUP(A48,Schlußkurse!A$5:AU$105,35,FALSE)/VLOOKUP(A48,Ergebnis_je_Aktie_verwässert!A$3:AK$103,23,FALSE)</f>
        <v>20.544759892721675</v>
      </c>
      <c r="R48" s="5">
        <f t="shared" ca="1" si="3"/>
        <v>0.10249020430492317</v>
      </c>
    </row>
    <row r="49" spans="1:18">
      <c r="A49" t="s">
        <v>70</v>
      </c>
      <c r="B49" s="38" t="s">
        <v>71</v>
      </c>
      <c r="C49" s="70">
        <f>IF(VLOOKUP(A49,Ergebnis_je_Aktie_verwässert!A$3:AJ$103,6,FALSE)&gt;0,IF(VLOOKUP(A49,Schlußkurse!A$5:AU$105,35,FALSE)&gt;0,VLOOKUP(A49,Schlußkurse!A$5:AU$105,35,FALSE)/VLOOKUP(A49,Ergebnis_je_Aktie_verwässert!A$3:AJ$103,6,FALSE),""),"")</f>
        <v>12.54326923076923</v>
      </c>
      <c r="D49" s="70">
        <f>IF(VLOOKUP(A49,Ergebnis_je_Aktie_verwässert!A$3:AJ$103,7,FALSE)&gt;0,IF(VLOOKUP(A49,Schlußkurse!A$5:AU$105,36,FALSE)&gt;0,VLOOKUP(A49,Schlußkurse!A$5:AU$105,36,FALSE)/VLOOKUP(A49,Ergebnis_je_Aktie_verwässert!A$3:AJ$103,7,FALSE),""),"")</f>
        <v>12.82063882063882</v>
      </c>
      <c r="E49" s="70">
        <f>IF(VLOOKUP(A49,Ergebnis_je_Aktie_verwässert!A$3:AJ$103,8,FALSE)&gt;0,IF(VLOOKUP(A49,Schlußkurse!A$5:AU$105,37,FALSE)&gt;0,VLOOKUP(A49,Schlußkurse!A$5:AU$105,37,FALSE)/VLOOKUP(A49,Ergebnis_je_Aktie_verwässert!A$3:AJ$103,8,FALSE),""),"")</f>
        <v>11.526184538653366</v>
      </c>
      <c r="F49" s="70">
        <f>IF(VLOOKUP(A49,Ergebnis_je_Aktie_verwässert!A$3:AJ$103,9,FALSE)&gt;0,IF(VLOOKUP(A49,Schlußkurse!A$5:AU$105,38,FALSE)&gt;0,VLOOKUP(A49,Schlußkurse!A$5:AU$105,38,FALSE)/VLOOKUP(A49,Ergebnis_je_Aktie_verwässert!A$3:AJ$103,9,FALSE),""),"")</f>
        <v>11.724310776942355</v>
      </c>
      <c r="G49" s="70">
        <f>IF(VLOOKUP(A49,Ergebnis_je_Aktie_verwässert!A$3:AJ$103,10,FALSE)&gt;0,IF(VLOOKUP(A49,Schlußkurse!A$5:AU$105,39,FALSE)&gt;0,VLOOKUP(A49,Schlußkurse!A$5:AU$105,39,FALSE)/VLOOKUP(A49,Ergebnis_je_Aktie_verwässert!A$3:AJ$103,10,FALSE),""),"")</f>
        <v>14.66865671641791</v>
      </c>
      <c r="H49" s="70">
        <f>IF(VLOOKUP(A49,Ergebnis_je_Aktie_verwässert!A$3:AJ$103,11,FALSE)&gt;0,IF(VLOOKUP(A49,Schlußkurse!A$5:AU$105,40,FALSE)&gt;0,VLOOKUP(A49,Schlußkurse!A$5:AU$105,40,FALSE)/VLOOKUP(A49,Ergebnis_je_Aktie_verwässert!A$3:AJ$103,11,FALSE),""),"")</f>
        <v>15.235915492957748</v>
      </c>
      <c r="I49" s="70">
        <f>IF(VLOOKUP(A49,Ergebnis_je_Aktie_verwässert!A$3:AJ$103,12,FALSE)&gt;0,IF(VLOOKUP(A49,Schlußkurse!A$5:AU$105,41,FALSE)&gt;0,VLOOKUP(A49,Schlußkurse!A$5:AU$105,41,FALSE)/VLOOKUP(A49,Ergebnis_je_Aktie_verwässert!A$3:AJ$103,12,FALSE),""),"")</f>
        <v>17.910714285714281</v>
      </c>
      <c r="J49" s="70">
        <f>IF(VLOOKUP(A49,Ergebnis_je_Aktie_verwässert!A$3:AJ$103,13,FALSE)&gt;0,IF(VLOOKUP(A49,Schlußkurse!A$5:AU$105,42,FALSE)&gt;0,VLOOKUP(A49,Schlußkurse!A$5:AU$105,42,FALSE)/VLOOKUP(A49,Ergebnis_je_Aktie_verwässert!A$3:AJ$103,13,FALSE),""),"")</f>
        <v>16.641860465116281</v>
      </c>
      <c r="K49" s="70">
        <f>IF(VLOOKUP(A49,Ergebnis_je_Aktie_verwässert!A$3:AJ$103,14,FALSE)&gt;0,IF(VLOOKUP(A49,Schlußkurse!A$5:AU$105,43,FALSE)&gt;0,VLOOKUP(A49,Schlußkurse!A$5:AU$105,43,FALSE)/VLOOKUP(A49,Ergebnis_je_Aktie_verwässert!A$3:AJ$103,14,FALSE),""),"")</f>
        <v>15.927884615384617</v>
      </c>
      <c r="L49" s="70">
        <f>IF(VLOOKUP(A49,Ergebnis_je_Aktie_verwässert!A$3:AJ$103,15,FALSE)&gt;0,IF(VLOOKUP(A49,Schlußkurse!A$5:AU$105,44,FALSE)&gt;0,VLOOKUP(A49,Schlußkurse!A$5:AU$105,44,FALSE)/VLOOKUP(A49,Ergebnis_je_Aktie_verwässert!A$3:AJ$103,15,FALSE),""),"")</f>
        <v>14.125</v>
      </c>
      <c r="M49" s="70">
        <f>IF(VLOOKUP(A49,Ergebnis_je_Aktie_verwässert!A$3:AJ$103,16,FALSE)&gt;0,IF(VLOOKUP(A49,Schlußkurse!A$5:AU$105,45,FALSE)&gt;0,VLOOKUP(A49,Schlußkurse!A$5:AU$105,45,FALSE)/VLOOKUP(A49,Ergebnis_je_Aktie_verwässert!A$3:AJ$103,16,FALSE),""),"")</f>
        <v>17.200787401574804</v>
      </c>
      <c r="N49" s="70">
        <f>IF(VLOOKUP(A49,Ergebnis_je_Aktie_verwässert!A$3:AJ$103,17,FALSE)&gt;0,IF(VLOOKUP(A49,Schlußkurse!A$5:AU$105,46,FALSE)&gt;0,VLOOKUP(A49,Schlußkurse!A$5:AU$105,46,FALSE)/VLOOKUP(A49,Ergebnis_je_Aktie_verwässert!A$3:AJ$103,17,FALSE),""),"")</f>
        <v>15.805084745762711</v>
      </c>
      <c r="O49" s="70">
        <f>IF(VLOOKUP(A49,Ergebnis_je_Aktie_verwässert!A$3:AJ$103,18,FALSE)&gt;0,IF(VLOOKUP(A49,Schlußkurse!A$5:AU$105,47,FALSE)&gt;0,VLOOKUP(A49,Schlußkurse!A$5:AU$105,47,FALSE)/VLOOKUP(A49,Ergebnis_je_Aktie_verwässert!A$3:AJ$103,18,FALSE),""),"")</f>
        <v>14.621359223300971</v>
      </c>
      <c r="P49" s="70">
        <f t="shared" si="2"/>
        <v>14.66865671641791</v>
      </c>
      <c r="Q49" s="3">
        <f ca="1">VLOOKUP(A49,Schlußkurse!A$5:AU$105,35,FALSE)/VLOOKUP(A49,Ergebnis_je_Aktie_verwässert!A$3:AK$103,23,FALSE)</f>
        <v>12.954319761668319</v>
      </c>
      <c r="R49" s="5">
        <f t="shared" ca="1" si="3"/>
        <v>-0.11687075291841942</v>
      </c>
    </row>
    <row r="50" spans="1:18">
      <c r="A50" t="s">
        <v>260</v>
      </c>
      <c r="B50" s="38" t="s">
        <v>265</v>
      </c>
      <c r="C50" s="70">
        <f>IF(VLOOKUP(A50,Ergebnis_je_Aktie_verwässert!A$3:AJ$103,6,FALSE)&gt;0,IF(VLOOKUP(A50,Schlußkurse!A$5:AU$105,35,FALSE)&gt;0,VLOOKUP(A50,Schlußkurse!A$5:AU$105,35,FALSE)/VLOOKUP(A50,Ergebnis_je_Aktie_verwässert!A$3:AJ$103,6,FALSE),""),"")</f>
        <v>20.215025906735754</v>
      </c>
      <c r="D50" s="70">
        <f>IF(VLOOKUP(A50,Ergebnis_je_Aktie_verwässert!A$3:AJ$103,7,FALSE)&gt;0,IF(VLOOKUP(A50,Schlußkurse!A$5:AU$105,36,FALSE)&gt;0,VLOOKUP(A50,Schlußkurse!A$5:AU$105,36,FALSE)/VLOOKUP(A50,Ergebnis_je_Aktie_verwässert!A$3:AJ$103,7,FALSE),""),"")</f>
        <v>24.157894736842106</v>
      </c>
      <c r="E50" s="70">
        <f>IF(VLOOKUP(A50,Ergebnis_je_Aktie_verwässert!A$3:AJ$103,8,FALSE)&gt;0,IF(VLOOKUP(A50,Schlußkurse!A$5:AU$105,37,FALSE)&gt;0,VLOOKUP(A50,Schlußkurse!A$5:AU$105,37,FALSE)/VLOOKUP(A50,Ergebnis_je_Aktie_verwässert!A$3:AJ$103,8,FALSE),""),"")</f>
        <v>24.442105263157892</v>
      </c>
      <c r="F50" s="70">
        <f>IF(VLOOKUP(A50,Ergebnis_je_Aktie_verwässert!A$3:AJ$103,9,FALSE)&gt;0,IF(VLOOKUP(A50,Schlußkurse!A$5:AU$105,38,FALSE)&gt;0,VLOOKUP(A50,Schlußkurse!A$5:AU$105,38,FALSE)/VLOOKUP(A50,Ergebnis_je_Aktie_verwässert!A$3:AJ$103,9,FALSE),""),"")</f>
        <v>20.675387596899224</v>
      </c>
      <c r="G50" s="70">
        <f>IF(VLOOKUP(A50,Ergebnis_je_Aktie_verwässert!A$3:AJ$103,10,FALSE)&gt;0,IF(VLOOKUP(A50,Schlußkurse!A$5:AU$105,39,FALSE)&gt;0,VLOOKUP(A50,Schlußkurse!A$5:AU$105,39,FALSE)/VLOOKUP(A50,Ergebnis_je_Aktie_verwässert!A$3:AJ$103,10,FALSE),""),"")</f>
        <v>22.220930232558139</v>
      </c>
      <c r="H50" s="70">
        <f>IF(VLOOKUP(A50,Ergebnis_je_Aktie_verwässert!A$3:AJ$103,11,FALSE)&gt;0,IF(VLOOKUP(A50,Schlußkurse!A$5:AU$105,40,FALSE)&gt;0,VLOOKUP(A50,Schlußkurse!A$5:AU$105,40,FALSE)/VLOOKUP(A50,Ergebnis_je_Aktie_verwässert!A$3:AJ$103,11,FALSE),""),"")</f>
        <v>17.668421052631579</v>
      </c>
      <c r="I50" s="70">
        <f>IF(VLOOKUP(A50,Ergebnis_je_Aktie_verwässert!A$3:AJ$103,12,FALSE)&gt;0,IF(VLOOKUP(A50,Schlußkurse!A$5:AU$105,41,FALSE)&gt;0,VLOOKUP(A50,Schlußkurse!A$5:AU$105,41,FALSE)/VLOOKUP(A50,Ergebnis_je_Aktie_verwässert!A$3:AJ$103,12,FALSE),""),"")</f>
        <v>13.915584415584416</v>
      </c>
      <c r="J50" s="70">
        <f>IF(VLOOKUP(A50,Ergebnis_je_Aktie_verwässert!A$3:AJ$103,13,FALSE)&gt;0,IF(VLOOKUP(A50,Schlußkurse!A$5:AU$105,42,FALSE)&gt;0,VLOOKUP(A50,Schlußkurse!A$5:AU$105,42,FALSE)/VLOOKUP(A50,Ergebnis_je_Aktie_verwässert!A$3:AJ$103,13,FALSE),""),"")</f>
        <v>14.391472868217054</v>
      </c>
      <c r="K50" s="70">
        <f>IF(VLOOKUP(A50,Ergebnis_je_Aktie_verwässert!A$3:AJ$103,14,FALSE)&gt;0,IF(VLOOKUP(A50,Schlußkurse!A$5:AU$105,43,FALSE)&gt;0,VLOOKUP(A50,Schlußkurse!A$5:AU$105,43,FALSE)/VLOOKUP(A50,Ergebnis_je_Aktie_verwässert!A$3:AJ$103,14,FALSE),""),"")</f>
        <v>17.2775</v>
      </c>
      <c r="L50" s="70">
        <f>IF(VLOOKUP(A50,Ergebnis_je_Aktie_verwässert!A$3:AJ$103,15,FALSE)&gt;0,IF(VLOOKUP(A50,Schlußkurse!A$5:AU$105,44,FALSE)&gt;0,VLOOKUP(A50,Schlußkurse!A$5:AU$105,44,FALSE)/VLOOKUP(A50,Ergebnis_je_Aktie_verwässert!A$3:AJ$103,15,FALSE),""),"")</f>
        <v>19.676282051282051</v>
      </c>
      <c r="M50" s="70" t="str">
        <f>IF(VLOOKUP(A50,Ergebnis_je_Aktie_verwässert!A$3:AJ$103,16,FALSE)&gt;0,IF(VLOOKUP(A50,Schlußkurse!A$5:AU$105,45,FALSE)&gt;0,VLOOKUP(A50,Schlußkurse!A$5:AU$105,45,FALSE)/VLOOKUP(A50,Ergebnis_je_Aktie_verwässert!A$3:AJ$103,16,FALSE),""),"")</f>
        <v/>
      </c>
      <c r="N50" s="70" t="str">
        <f>IF(VLOOKUP(A50,Ergebnis_je_Aktie_verwässert!A$3:AJ$103,17,FALSE)&gt;0,IF(VLOOKUP(A50,Schlußkurse!A$5:AU$105,46,FALSE)&gt;0,VLOOKUP(A50,Schlußkurse!A$5:AU$105,46,FALSE)/VLOOKUP(A50,Ergebnis_je_Aktie_verwässert!A$3:AJ$103,17,FALSE),""),"")</f>
        <v/>
      </c>
      <c r="O50" s="70" t="str">
        <f>IF(VLOOKUP(A50,Ergebnis_je_Aktie_verwässert!A$3:AJ$103,18,FALSE)&gt;0,IF(VLOOKUP(A50,Schlußkurse!A$5:AU$105,47,FALSE)&gt;0,VLOOKUP(A50,Schlußkurse!A$5:AU$105,47,FALSE)/VLOOKUP(A50,Ergebnis_je_Aktie_verwässert!A$3:AJ$103,18,FALSE),""),"")</f>
        <v/>
      </c>
      <c r="P50" s="70">
        <f t="shared" si="2"/>
        <v>19.945653979008902</v>
      </c>
      <c r="Q50" s="3">
        <f ca="1">VLOOKUP(A50,Schlußkurse!A$5:AU$105,35,FALSE)/VLOOKUP(A50,Ergebnis_je_Aktie_verwässert!A$3:AK$103,23,FALSE)</f>
        <v>25.499537045442167</v>
      </c>
      <c r="R50" s="5">
        <f t="shared" ca="1" si="3"/>
        <v>0.27845078793998201</v>
      </c>
    </row>
    <row r="51" spans="1:18">
      <c r="A51" t="s">
        <v>72</v>
      </c>
      <c r="B51" s="38" t="s">
        <v>73</v>
      </c>
      <c r="C51" s="70">
        <f>IF(VLOOKUP(A51,Ergebnis_je_Aktie_verwässert!A$3:AJ$103,6,FALSE)&gt;0,IF(VLOOKUP(A51,Schlußkurse!A$5:AU$105,35,FALSE)&gt;0,VLOOKUP(A51,Schlußkurse!A$5:AU$105,35,FALSE)/VLOOKUP(A51,Ergebnis_je_Aktie_verwässert!A$3:AJ$103,6,FALSE),""),"")</f>
        <v>15.433106575963718</v>
      </c>
      <c r="D51" s="70">
        <f>IF(VLOOKUP(A51,Ergebnis_je_Aktie_verwässert!A$3:AJ$103,7,FALSE)&gt;0,IF(VLOOKUP(A51,Schlußkurse!A$5:AU$105,36,FALSE)&gt;0,VLOOKUP(A51,Schlußkurse!A$5:AU$105,36,FALSE)/VLOOKUP(A51,Ergebnis_je_Aktie_verwässert!A$3:AJ$103,7,FALSE),""),"")</f>
        <v>15.837708830548925</v>
      </c>
      <c r="E51" s="70">
        <f>IF(VLOOKUP(A51,Ergebnis_je_Aktie_verwässert!A$3:AJ$103,8,FALSE)&gt;0,IF(VLOOKUP(A51,Schlußkurse!A$5:AU$105,37,FALSE)&gt;0,VLOOKUP(A51,Schlußkurse!A$5:AU$105,37,FALSE)/VLOOKUP(A51,Ergebnis_je_Aktie_verwässert!A$3:AJ$103,8,FALSE),""),"")</f>
        <v>18.514161220043576</v>
      </c>
      <c r="F51" s="70">
        <f>IF(VLOOKUP(A51,Ergebnis_je_Aktie_verwässert!A$3:AJ$103,9,FALSE)&gt;0,IF(VLOOKUP(A51,Schlußkurse!A$5:AU$105,38,FALSE)&gt;0,VLOOKUP(A51,Schlußkurse!A$5:AU$105,38,FALSE)/VLOOKUP(A51,Ergebnis_je_Aktie_verwässert!A$3:AJ$103,9,FALSE),""),"")</f>
        <v>14.729783037475345</v>
      </c>
      <c r="G51" s="70">
        <f>IF(VLOOKUP(A51,Ergebnis_je_Aktie_verwässert!A$3:AJ$103,10,FALSE)&gt;0,IF(VLOOKUP(A51,Schlußkurse!A$5:AU$105,39,FALSE)&gt;0,VLOOKUP(A51,Schlußkurse!A$5:AU$105,39,FALSE)/VLOOKUP(A51,Ergebnis_je_Aktie_verwässert!A$3:AJ$103,10,FALSE),""),"")</f>
        <v>13.688845401174168</v>
      </c>
      <c r="H51" s="70">
        <f>IF(VLOOKUP(A51,Ergebnis_je_Aktie_verwässert!A$3:AJ$103,11,FALSE)&gt;0,IF(VLOOKUP(A51,Schlußkurse!A$5:AU$105,40,FALSE)&gt;0,VLOOKUP(A51,Schlußkurse!A$5:AU$105,40,FALSE)/VLOOKUP(A51,Ergebnis_je_Aktie_verwässert!A$3:AJ$103,11,FALSE),""),"")</f>
        <v>12.223107569721117</v>
      </c>
      <c r="I51" s="70">
        <f>IF(VLOOKUP(A51,Ergebnis_je_Aktie_verwässert!A$3:AJ$103,12,FALSE)&gt;0,IF(VLOOKUP(A51,Schlußkurse!A$5:AU$105,41,FALSE)&gt;0,VLOOKUP(A51,Schlußkurse!A$5:AU$105,41,FALSE)/VLOOKUP(A51,Ergebnis_je_Aktie_verwässert!A$3:AJ$103,12,FALSE),""),"")</f>
        <v>12.487750556792873</v>
      </c>
      <c r="J51" s="70">
        <f>IF(VLOOKUP(A51,Ergebnis_je_Aktie_verwässert!A$3:AJ$103,13,FALSE)&gt;0,IF(VLOOKUP(A51,Schlußkurse!A$5:AU$105,42,FALSE)&gt;0,VLOOKUP(A51,Schlußkurse!A$5:AU$105,42,FALSE)/VLOOKUP(A51,Ergebnis_je_Aktie_verwässert!A$3:AJ$103,13,FALSE),""),"")</f>
        <v>13.127764127764127</v>
      </c>
      <c r="K51" s="70">
        <f>IF(VLOOKUP(A51,Ergebnis_je_Aktie_verwässert!A$3:AJ$103,14,FALSE)&gt;0,IF(VLOOKUP(A51,Schlußkurse!A$5:AU$105,43,FALSE)&gt;0,VLOOKUP(A51,Schlußkurse!A$5:AU$105,43,FALSE)/VLOOKUP(A51,Ergebnis_je_Aktie_verwässert!A$3:AJ$103,14,FALSE),""),"")</f>
        <v>12.87431693989071</v>
      </c>
      <c r="L51" s="70">
        <f>IF(VLOOKUP(A51,Ergebnis_je_Aktie_verwässert!A$3:AJ$103,15,FALSE)&gt;0,IF(VLOOKUP(A51,Schlußkurse!A$5:AU$105,44,FALSE)&gt;0,VLOOKUP(A51,Schlußkurse!A$5:AU$105,44,FALSE)/VLOOKUP(A51,Ergebnis_je_Aktie_verwässert!A$3:AJ$103,15,FALSE),""),"")</f>
        <v>14.845029239766083</v>
      </c>
      <c r="M51" s="70">
        <f>IF(VLOOKUP(A51,Ergebnis_je_Aktie_verwässert!A$3:AJ$103,16,FALSE)&gt;0,IF(VLOOKUP(A51,Schlußkurse!A$5:AU$105,45,FALSE)&gt;0,VLOOKUP(A51,Schlußkurse!A$5:AU$105,45,FALSE)/VLOOKUP(A51,Ergebnis_je_Aktie_verwässert!A$3:AJ$103,16,FALSE),""),"")</f>
        <v>15.230031948881789</v>
      </c>
      <c r="N51" s="70">
        <f>IF(VLOOKUP(A51,Ergebnis_je_Aktie_verwässert!A$3:AJ$103,17,FALSE)&gt;0,IF(VLOOKUP(A51,Schlußkurse!A$5:AU$105,46,FALSE)&gt;0,VLOOKUP(A51,Schlußkurse!A$5:AU$105,46,FALSE)/VLOOKUP(A51,Ergebnis_je_Aktie_verwässert!A$3:AJ$103,17,FALSE),""),"")</f>
        <v>17.014760147601475</v>
      </c>
      <c r="O51" s="70">
        <f>IF(VLOOKUP(A51,Ergebnis_je_Aktie_verwässert!A$3:AJ$103,18,FALSE)&gt;0,IF(VLOOKUP(A51,Schlußkurse!A$5:AU$105,47,FALSE)&gt;0,VLOOKUP(A51,Schlußkurse!A$5:AU$105,47,FALSE)/VLOOKUP(A51,Ergebnis_je_Aktie_verwässert!A$3:AJ$103,18,FALSE),""),"")</f>
        <v>19.552238805970148</v>
      </c>
      <c r="P51" s="70">
        <f t="shared" si="2"/>
        <v>14.845029239766083</v>
      </c>
      <c r="Q51" s="3">
        <f ca="1">VLOOKUP(A51,Schlußkurse!A$5:AU$105,35,FALSE)/VLOOKUP(A51,Ergebnis_je_Aktie_verwässert!A$3:AK$103,23,FALSE)</f>
        <v>16.060725241878394</v>
      </c>
      <c r="R51" s="5">
        <f t="shared" ca="1" si="3"/>
        <v>8.1892462620132056E-2</v>
      </c>
    </row>
    <row r="52" spans="1:18">
      <c r="A52" t="s">
        <v>74</v>
      </c>
      <c r="B52" s="38" t="s">
        <v>75</v>
      </c>
      <c r="C52" s="70">
        <f>IF(VLOOKUP(A52,Ergebnis_je_Aktie_verwässert!A$3:AJ$103,6,FALSE)&gt;0,IF(VLOOKUP(A52,Schlußkurse!A$5:AU$105,35,FALSE)&gt;0,VLOOKUP(A52,Schlußkurse!A$5:AU$105,35,FALSE)/VLOOKUP(A52,Ergebnis_je_Aktie_verwässert!A$3:AJ$103,6,FALSE),""),"")</f>
        <v>22.894821804511274</v>
      </c>
      <c r="D52" s="70">
        <f>IF(VLOOKUP(A52,Ergebnis_je_Aktie_verwässert!A$3:AJ$103,7,FALSE)&gt;0,IF(VLOOKUP(A52,Schlußkurse!A$5:AU$105,36,FALSE)&gt;0,VLOOKUP(A52,Schlußkurse!A$5:AU$105,36,FALSE)/VLOOKUP(A52,Ergebnis_je_Aktie_verwässert!A$3:AJ$103,7,FALSE),""),"")</f>
        <v>24.214801590457252</v>
      </c>
      <c r="E52" s="70">
        <f>IF(VLOOKUP(A52,Ergebnis_je_Aktie_verwässert!A$3:AJ$103,8,FALSE)&gt;0,IF(VLOOKUP(A52,Schlußkurse!A$5:AU$105,37,FALSE)&gt;0,VLOOKUP(A52,Schlußkurse!A$5:AU$105,37,FALSE)/VLOOKUP(A52,Ergebnis_je_Aktie_verwässert!A$3:AJ$103,8,FALSE),""),"")</f>
        <v>28.250299999999996</v>
      </c>
      <c r="F52" s="70">
        <f>IF(VLOOKUP(A52,Ergebnis_je_Aktie_verwässert!A$3:AJ$103,9,FALSE)&gt;0,IF(VLOOKUP(A52,Schlußkurse!A$5:AU$105,38,FALSE)&gt;0,VLOOKUP(A52,Schlußkurse!A$5:AU$105,38,FALSE)/VLOOKUP(A52,Ergebnis_je_Aktie_verwässert!A$3:AJ$103,9,FALSE),""),"")</f>
        <v>22.897298387096775</v>
      </c>
      <c r="G52" s="70">
        <f>IF(VLOOKUP(A52,Ergebnis_je_Aktie_verwässert!A$3:AJ$103,10,FALSE)&gt;0,IF(VLOOKUP(A52,Schlußkurse!A$5:AU$105,39,FALSE)&gt;0,VLOOKUP(A52,Schlußkurse!A$5:AU$105,39,FALSE)/VLOOKUP(A52,Ergebnis_je_Aktie_verwässert!A$3:AJ$103,10,FALSE),""),"")</f>
        <v>19.215984476534295</v>
      </c>
      <c r="H52" s="70">
        <f>IF(VLOOKUP(A52,Ergebnis_je_Aktie_verwässert!A$3:AJ$103,11,FALSE)&gt;0,IF(VLOOKUP(A52,Schlußkurse!A$5:AU$105,40,FALSE)&gt;0,VLOOKUP(A52,Schlußkurse!A$5:AU$105,40,FALSE)/VLOOKUP(A52,Ergebnis_je_Aktie_verwässert!A$3:AJ$103,11,FALSE),""),"")</f>
        <v>17.653399185336045</v>
      </c>
      <c r="I52" s="70">
        <f>IF(VLOOKUP(A52,Ergebnis_je_Aktie_verwässert!A$3:AJ$103,12,FALSE)&gt;0,IF(VLOOKUP(A52,Schlußkurse!A$5:AU$105,41,FALSE)&gt;0,VLOOKUP(A52,Schlußkurse!A$5:AU$105,41,FALSE)/VLOOKUP(A52,Ergebnis_je_Aktie_verwässert!A$3:AJ$103,12,FALSE),""),"")</f>
        <v>13.780105955056179</v>
      </c>
      <c r="J52" s="70">
        <f>IF(VLOOKUP(A52,Ergebnis_je_Aktie_verwässert!A$3:AJ$103,13,FALSE)&gt;0,IF(VLOOKUP(A52,Schlußkurse!A$5:AU$105,42,FALSE)&gt;0,VLOOKUP(A52,Schlußkurse!A$5:AU$105,42,FALSE)/VLOOKUP(A52,Ergebnis_je_Aktie_verwässert!A$3:AJ$103,13,FALSE),""),"")</f>
        <v>15.790016528925618</v>
      </c>
      <c r="K52" s="70">
        <f>IF(VLOOKUP(A52,Ergebnis_je_Aktie_verwässert!A$3:AJ$103,14,FALSE)&gt;0,IF(VLOOKUP(A52,Schlußkurse!A$5:AU$105,43,FALSE)&gt;0,VLOOKUP(A52,Schlußkurse!A$5:AU$105,43,FALSE)/VLOOKUP(A52,Ergebnis_je_Aktie_verwässert!A$3:AJ$103,14,FALSE),""),"")</f>
        <v>16.456969400630914</v>
      </c>
      <c r="L52" s="70">
        <f>IF(VLOOKUP(A52,Ergebnis_je_Aktie_verwässert!A$3:AJ$103,15,FALSE)&gt;0,IF(VLOOKUP(A52,Schlußkurse!A$5:AU$105,44,FALSE)&gt;0,VLOOKUP(A52,Schlußkurse!A$5:AU$105,44,FALSE)/VLOOKUP(A52,Ergebnis_je_Aktie_verwässert!A$3:AJ$103,15,FALSE),""),"")</f>
        <v>9.4806846774193527</v>
      </c>
      <c r="M52" s="70">
        <f>IF(VLOOKUP(A52,Ergebnis_je_Aktie_verwässert!A$3:AJ$103,16,FALSE)&gt;0,IF(VLOOKUP(A52,Schlußkurse!A$5:AU$105,45,FALSE)&gt;0,VLOOKUP(A52,Schlußkurse!A$5:AU$105,45,FALSE)/VLOOKUP(A52,Ergebnis_je_Aktie_verwässert!A$3:AJ$103,16,FALSE),""),"")</f>
        <v>20.90306772908367</v>
      </c>
      <c r="N52" s="70">
        <f>IF(VLOOKUP(A52,Ergebnis_je_Aktie_verwässert!A$3:AJ$103,17,FALSE)&gt;0,IF(VLOOKUP(A52,Schlußkurse!A$5:AU$105,46,FALSE)&gt;0,VLOOKUP(A52,Schlußkurse!A$5:AU$105,46,FALSE)/VLOOKUP(A52,Ergebnis_je_Aktie_verwässert!A$3:AJ$103,17,FALSE),""),"")</f>
        <v>15.635393103448278</v>
      </c>
      <c r="O52" s="70">
        <f>IF(VLOOKUP(A52,Ergebnis_je_Aktie_verwässert!A$3:AJ$103,18,FALSE)&gt;0,IF(VLOOKUP(A52,Schlußkurse!A$5:AU$105,47,FALSE)&gt;0,VLOOKUP(A52,Schlußkurse!A$5:AU$105,47,FALSE)/VLOOKUP(A52,Ergebnis_je_Aktie_verwässert!A$3:AJ$103,18,FALSE),""),"")</f>
        <v>13.844572448979592</v>
      </c>
      <c r="P52" s="70">
        <f t="shared" si="2"/>
        <v>17.653399185336045</v>
      </c>
      <c r="Q52" s="3">
        <f ca="1">VLOOKUP(A52,Schlußkurse!A$5:AU$105,35,FALSE)/VLOOKUP(A52,Ergebnis_je_Aktie_verwässert!A$3:AK$103,23,FALSE)</f>
        <v>26.541828720854213</v>
      </c>
      <c r="R52" s="5">
        <f t="shared" ca="1" si="3"/>
        <v>0.50349677374890045</v>
      </c>
    </row>
    <row r="53" spans="1:18">
      <c r="A53" t="s">
        <v>76</v>
      </c>
      <c r="B53" s="38" t="s">
        <v>77</v>
      </c>
      <c r="C53" s="70">
        <f>IF(VLOOKUP(A53,Ergebnis_je_Aktie_verwässert!A$3:AJ$103,6,FALSE)&gt;0,IF(VLOOKUP(A53,Schlußkurse!A$5:AU$105,35,FALSE)&gt;0,VLOOKUP(A53,Schlußkurse!A$5:AU$105,35,FALSE)/VLOOKUP(A53,Ergebnis_je_Aktie_verwässert!A$3:AJ$103,6,FALSE),""),"")</f>
        <v>34.794258373205743</v>
      </c>
      <c r="D53" s="70">
        <f>IF(VLOOKUP(A53,Ergebnis_je_Aktie_verwässert!A$3:AJ$103,7,FALSE)&gt;0,IF(VLOOKUP(A53,Schlußkurse!A$5:AU$105,36,FALSE)&gt;0,VLOOKUP(A53,Schlußkurse!A$5:AU$105,36,FALSE)/VLOOKUP(A53,Ergebnis_je_Aktie_verwässert!A$3:AJ$103,7,FALSE),""),"")</f>
        <v>37.561983471074377</v>
      </c>
      <c r="E53" s="70">
        <f>IF(VLOOKUP(A53,Ergebnis_je_Aktie_verwässert!A$3:AJ$103,8,FALSE)&gt;0,IF(VLOOKUP(A53,Schlußkurse!A$5:AU$105,37,FALSE)&gt;0,VLOOKUP(A53,Schlußkurse!A$5:AU$105,37,FALSE)/VLOOKUP(A53,Ergebnis_je_Aktie_verwässert!A$3:AJ$103,8,FALSE),""),"")</f>
        <v>42.373651334469052</v>
      </c>
      <c r="F53" s="70">
        <f>IF(VLOOKUP(A53,Ergebnis_je_Aktie_verwässert!A$3:AJ$103,9,FALSE)&gt;0,IF(VLOOKUP(A53,Schlußkurse!A$5:AU$105,38,FALSE)&gt;0,VLOOKUP(A53,Schlußkurse!A$5:AU$105,38,FALSE)/VLOOKUP(A53,Ergebnis_je_Aktie_verwässert!A$3:AJ$103,9,FALSE),""),"")</f>
        <v>35.459057071960295</v>
      </c>
      <c r="G53" s="70">
        <f>IF(VLOOKUP(A53,Ergebnis_je_Aktie_verwässert!A$3:AJ$103,10,FALSE)&gt;0,IF(VLOOKUP(A53,Schlußkurse!A$5:AU$105,39,FALSE)&gt;0,VLOOKUP(A53,Schlußkurse!A$5:AU$105,39,FALSE)/VLOOKUP(A53,Ergebnis_je_Aktie_verwässert!A$3:AJ$103,10,FALSE),""),"")</f>
        <v>32.945205479452056</v>
      </c>
      <c r="H53" s="70">
        <f>IF(VLOOKUP(A53,Ergebnis_je_Aktie_verwässert!A$3:AJ$103,11,FALSE)&gt;0,IF(VLOOKUP(A53,Schlußkurse!A$5:AU$105,40,FALSE)&gt;0,VLOOKUP(A53,Schlußkurse!A$5:AU$105,40,FALSE)/VLOOKUP(A53,Ergebnis_je_Aktie_verwässert!A$3:AJ$103,11,FALSE),""),"")</f>
        <v>26.267123287671232</v>
      </c>
      <c r="I53" s="70">
        <f>IF(VLOOKUP(A53,Ergebnis_je_Aktie_verwässert!A$3:AJ$103,12,FALSE)&gt;0,IF(VLOOKUP(A53,Schlußkurse!A$5:AU$105,41,FALSE)&gt;0,VLOOKUP(A53,Schlußkurse!A$5:AU$105,41,FALSE)/VLOOKUP(A53,Ergebnis_je_Aktie_verwässert!A$3:AJ$103,12,FALSE),""),"")</f>
        <v>26.444818871103621</v>
      </c>
      <c r="J53" s="70">
        <f>IF(VLOOKUP(A53,Ergebnis_je_Aktie_verwässert!A$3:AJ$103,13,FALSE)&gt;0,IF(VLOOKUP(A53,Schlußkurse!A$5:AU$105,42,FALSE)&gt;0,VLOOKUP(A53,Schlußkurse!A$5:AU$105,42,FALSE)/VLOOKUP(A53,Ergebnis_je_Aktie_verwässert!A$3:AJ$103,13,FALSE),""),"")</f>
        <v>27.922077922077921</v>
      </c>
      <c r="K53" s="70">
        <f>IF(VLOOKUP(A53,Ergebnis_je_Aktie_verwässert!A$3:AJ$103,14,FALSE)&gt;0,IF(VLOOKUP(A53,Schlußkurse!A$5:AU$105,43,FALSE)&gt;0,VLOOKUP(A53,Schlußkurse!A$5:AU$105,43,FALSE)/VLOOKUP(A53,Ergebnis_je_Aktie_verwässert!A$3:AJ$103,14,FALSE),""),"")</f>
        <v>24.080568720379148</v>
      </c>
      <c r="L53" s="70">
        <f>IF(VLOOKUP(A53,Ergebnis_je_Aktie_verwässert!A$3:AJ$103,15,FALSE)&gt;0,IF(VLOOKUP(A53,Schlußkurse!A$5:AU$105,44,FALSE)&gt;0,VLOOKUP(A53,Schlußkurse!A$5:AU$105,44,FALSE)/VLOOKUP(A53,Ergebnis_je_Aktie_verwässert!A$3:AJ$103,15,FALSE),""),"")</f>
        <v>26.560112821718182</v>
      </c>
      <c r="M53" s="70">
        <f>IF(VLOOKUP(A53,Ergebnis_je_Aktie_verwässert!A$3:AJ$103,16,FALSE)&gt;0,IF(VLOOKUP(A53,Schlußkurse!A$5:AU$105,45,FALSE)&gt;0,VLOOKUP(A53,Schlußkurse!A$5:AU$105,45,FALSE)/VLOOKUP(A53,Ergebnis_je_Aktie_verwässert!A$3:AJ$103,16,FALSE),""),"")</f>
        <v>34.885964912280699</v>
      </c>
      <c r="N53" s="70">
        <f>IF(VLOOKUP(A53,Ergebnis_je_Aktie_verwässert!A$3:AJ$103,17,FALSE)&gt;0,IF(VLOOKUP(A53,Schlußkurse!A$5:AU$105,46,FALSE)&gt;0,VLOOKUP(A53,Schlußkurse!A$5:AU$105,46,FALSE)/VLOOKUP(A53,Ergebnis_je_Aktie_verwässert!A$3:AJ$103,17,FALSE),""),"")</f>
        <v>28.139321723189735</v>
      </c>
      <c r="O53" s="70">
        <f>IF(VLOOKUP(A53,Ergebnis_je_Aktie_verwässert!A$3:AJ$103,18,FALSE)&gt;0,IF(VLOOKUP(A53,Schlußkurse!A$5:AU$105,47,FALSE)&gt;0,VLOOKUP(A53,Schlußkurse!A$5:AU$105,47,FALSE)/VLOOKUP(A53,Ergebnis_je_Aktie_verwässert!A$3:AJ$103,18,FALSE),""),"")</f>
        <v>23.827616152844115</v>
      </c>
      <c r="P53" s="70">
        <f t="shared" si="2"/>
        <v>28.139321723189735</v>
      </c>
      <c r="Q53" s="3">
        <f ca="1">VLOOKUP(A53,Schlußkurse!A$5:AU$105,35,FALSE)/VLOOKUP(A53,Ergebnis_je_Aktie_verwässert!A$3:AK$103,23,FALSE)</f>
        <v>40.099255583126549</v>
      </c>
      <c r="R53" s="5">
        <f t="shared" ca="1" si="3"/>
        <v>0.42502566257951346</v>
      </c>
    </row>
    <row r="54" spans="1:18">
      <c r="A54" t="s">
        <v>79</v>
      </c>
      <c r="B54" s="38" t="s">
        <v>80</v>
      </c>
      <c r="C54" s="70">
        <f>IF(VLOOKUP(A54,Ergebnis_je_Aktie_verwässert!A$3:AJ$103,6,FALSE)&gt;0,IF(VLOOKUP(A54,Schlußkurse!A$5:AU$105,35,FALSE)&gt;0,VLOOKUP(A54,Schlußkurse!A$5:AU$105,35,FALSE)/VLOOKUP(A54,Ergebnis_je_Aktie_verwässert!A$3:AJ$103,6,FALSE),""),"")</f>
        <v>17.688848920863311</v>
      </c>
      <c r="D54" s="70">
        <f>IF(VLOOKUP(A54,Ergebnis_je_Aktie_verwässert!A$3:AJ$103,7,FALSE)&gt;0,IF(VLOOKUP(A54,Schlußkurse!A$5:AU$105,36,FALSE)&gt;0,VLOOKUP(A54,Schlußkurse!A$5:AU$105,36,FALSE)/VLOOKUP(A54,Ergebnis_je_Aktie_verwässert!A$3:AJ$103,7,FALSE),""),"")</f>
        <v>18.913461538461537</v>
      </c>
      <c r="E54" s="70">
        <f>IF(VLOOKUP(A54,Ergebnis_je_Aktie_verwässert!A$3:AJ$103,8,FALSE)&gt;0,IF(VLOOKUP(A54,Schlußkurse!A$5:AU$105,37,FALSE)&gt;0,VLOOKUP(A54,Schlußkurse!A$5:AU$105,37,FALSE)/VLOOKUP(A54,Ergebnis_je_Aktie_verwässert!A$3:AJ$103,8,FALSE),""),"")</f>
        <v>21.27835051546392</v>
      </c>
      <c r="F54" s="70">
        <f>IF(VLOOKUP(A54,Ergebnis_je_Aktie_verwässert!A$3:AJ$103,9,FALSE)&gt;0,IF(VLOOKUP(A54,Schlußkurse!A$5:AU$105,38,FALSE)&gt;0,VLOOKUP(A54,Schlußkurse!A$5:AU$105,38,FALSE)/VLOOKUP(A54,Ergebnis_je_Aktie_verwässert!A$3:AJ$103,9,FALSE),""),"")</f>
        <v>18.32377049180328</v>
      </c>
      <c r="G54" s="70">
        <f>IF(VLOOKUP(A54,Ergebnis_je_Aktie_verwässert!A$3:AJ$103,10,FALSE)&gt;0,IF(VLOOKUP(A54,Schlußkurse!A$5:AU$105,39,FALSE)&gt;0,VLOOKUP(A54,Schlußkurse!A$5:AU$105,39,FALSE)/VLOOKUP(A54,Ergebnis_je_Aktie_verwässert!A$3:AJ$103,10,FALSE),""),"")</f>
        <v>19.248858447488587</v>
      </c>
      <c r="H54" s="70">
        <f>IF(VLOOKUP(A54,Ergebnis_je_Aktie_verwässert!A$3:AJ$103,11,FALSE)&gt;0,IF(VLOOKUP(A54,Schlußkurse!A$5:AU$105,40,FALSE)&gt;0,VLOOKUP(A54,Schlußkurse!A$5:AU$105,40,FALSE)/VLOOKUP(A54,Ergebnis_je_Aktie_verwässert!A$3:AJ$103,11,FALSE),""),"")</f>
        <v>15.282555282555283</v>
      </c>
      <c r="I54" s="70">
        <f>IF(VLOOKUP(A54,Ergebnis_je_Aktie_verwässert!A$3:AJ$103,12,FALSE)&gt;0,IF(VLOOKUP(A54,Schlußkurse!A$5:AU$105,41,FALSE)&gt;0,VLOOKUP(A54,Schlußkurse!A$5:AU$105,41,FALSE)/VLOOKUP(A54,Ergebnis_je_Aktie_verwässert!A$3:AJ$103,12,FALSE),""),"")</f>
        <v>12.283746556473831</v>
      </c>
      <c r="J54" s="70">
        <f>IF(VLOOKUP(A54,Ergebnis_je_Aktie_verwässert!A$3:AJ$103,13,FALSE)&gt;0,IF(VLOOKUP(A54,Schlußkurse!A$5:AU$105,42,FALSE)&gt;0,VLOOKUP(A54,Schlußkurse!A$5:AU$105,42,FALSE)/VLOOKUP(A54,Ergebnis_je_Aktie_verwässert!A$3:AJ$103,13,FALSE),""),"")</f>
        <v>14.820063694267514</v>
      </c>
      <c r="K54" s="70">
        <f>IF(VLOOKUP(A54,Ergebnis_je_Aktie_verwässert!A$3:AJ$103,14,FALSE)&gt;0,IF(VLOOKUP(A54,Schlußkurse!A$5:AU$105,43,FALSE)&gt;0,VLOOKUP(A54,Schlußkurse!A$5:AU$105,43,FALSE)/VLOOKUP(A54,Ergebnis_je_Aktie_verwässert!A$3:AJ$103,14,FALSE),""),"")</f>
        <v>12.918439716312058</v>
      </c>
      <c r="L54" s="70">
        <f>IF(VLOOKUP(A54,Ergebnis_je_Aktie_verwässert!A$3:AJ$103,15,FALSE)&gt;0,IF(VLOOKUP(A54,Schlußkurse!A$5:AU$105,44,FALSE)&gt;0,VLOOKUP(A54,Schlußkurse!A$5:AU$105,44,FALSE)/VLOOKUP(A54,Ergebnis_je_Aktie_verwässert!A$3:AJ$103,15,FALSE),""),"")</f>
        <v>11.827225130890053</v>
      </c>
      <c r="M54" s="70">
        <f>IF(VLOOKUP(A54,Ergebnis_je_Aktie_verwässert!A$3:AJ$103,16,FALSE)&gt;0,IF(VLOOKUP(A54,Schlußkurse!A$5:AU$105,45,FALSE)&gt;0,VLOOKUP(A54,Schlußkurse!A$5:AU$105,45,FALSE)/VLOOKUP(A54,Ergebnis_je_Aktie_verwässert!A$3:AJ$103,16,FALSE),""),"")</f>
        <v>17.547945205479451</v>
      </c>
      <c r="N54" s="70">
        <f>IF(VLOOKUP(A54,Ergebnis_je_Aktie_verwässert!A$3:AJ$103,17,FALSE)&gt;0,IF(VLOOKUP(A54,Schlußkurse!A$5:AU$105,46,FALSE)&gt;0,VLOOKUP(A54,Schlußkurse!A$5:AU$105,46,FALSE)/VLOOKUP(A54,Ergebnis_je_Aktie_verwässert!A$3:AJ$103,17,FALSE),""),"")</f>
        <v>16.968036529680365</v>
      </c>
      <c r="O54" s="70">
        <f>IF(VLOOKUP(A54,Ergebnis_je_Aktie_verwässert!A$3:AJ$103,18,FALSE)&gt;0,IF(VLOOKUP(A54,Schlußkurse!A$5:AU$105,47,FALSE)&gt;0,VLOOKUP(A54,Schlußkurse!A$5:AU$105,47,FALSE)/VLOOKUP(A54,Ergebnis_je_Aktie_verwässert!A$3:AJ$103,18,FALSE),""),"")</f>
        <v>14.2378391959799</v>
      </c>
      <c r="P54" s="70">
        <f t="shared" si="2"/>
        <v>16.968036529680365</v>
      </c>
      <c r="Q54" s="3">
        <f ca="1">VLOOKUP(A54,Schlußkurse!A$5:AU$105,35,FALSE)/VLOOKUP(A54,Ergebnis_je_Aktie_verwässert!A$3:AK$103,23,FALSE)</f>
        <v>19.848637739656912</v>
      </c>
      <c r="R54" s="5">
        <f t="shared" ca="1" si="3"/>
        <v>0.1697663253457653</v>
      </c>
    </row>
    <row r="55" spans="1:18">
      <c r="A55" t="s">
        <v>266</v>
      </c>
      <c r="B55" s="38" t="s">
        <v>270</v>
      </c>
      <c r="C55" s="70">
        <f>IF(VLOOKUP(A55,Ergebnis_je_Aktie_verwässert!A$3:AJ$103,6,FALSE)&gt;0,IF(VLOOKUP(A55,Schlußkurse!A$5:AU$105,35,FALSE)&gt;0,VLOOKUP(A55,Schlußkurse!A$5:AU$105,35,FALSE)/VLOOKUP(A55,Ergebnis_je_Aktie_verwässert!A$3:AJ$103,6,FALSE),""),"")</f>
        <v>15.200250312891114</v>
      </c>
      <c r="D55" s="70">
        <f>IF(VLOOKUP(A55,Ergebnis_je_Aktie_verwässert!A$3:AJ$103,7,FALSE)&gt;0,IF(VLOOKUP(A55,Schlußkurse!A$5:AU$105,36,FALSE)&gt;0,VLOOKUP(A55,Schlußkurse!A$5:AU$105,36,FALSE)/VLOOKUP(A55,Ergebnis_je_Aktie_verwässert!A$3:AJ$103,7,FALSE),""),"")</f>
        <v>16.412162162162161</v>
      </c>
      <c r="E55" s="70">
        <f>IF(VLOOKUP(A55,Ergebnis_je_Aktie_verwässert!A$3:AJ$103,8,FALSE)&gt;0,IF(VLOOKUP(A55,Schlußkurse!A$5:AU$105,37,FALSE)&gt;0,VLOOKUP(A55,Schlußkurse!A$5:AU$105,37,FALSE)/VLOOKUP(A55,Ergebnis_je_Aktie_verwässert!A$3:AJ$103,8,FALSE),""),"")</f>
        <v>19.462209302325583</v>
      </c>
      <c r="F55" s="70">
        <f>IF(VLOOKUP(A55,Ergebnis_je_Aktie_verwässert!A$3:AJ$103,9,FALSE)&gt;0,IF(VLOOKUP(A55,Schlußkurse!A$5:AU$105,38,FALSE)&gt;0,VLOOKUP(A55,Schlußkurse!A$5:AU$105,38,FALSE)/VLOOKUP(A55,Ergebnis_je_Aktie_verwässert!A$3:AJ$103,9,FALSE),""),"")</f>
        <v>24.95145631067961</v>
      </c>
      <c r="G55" s="70">
        <f>IF(VLOOKUP(A55,Ergebnis_je_Aktie_verwässert!A$3:AJ$103,10,FALSE)&gt;0,IF(VLOOKUP(A55,Schlußkurse!A$5:AU$105,39,FALSE)&gt;0,VLOOKUP(A55,Schlußkurse!A$5:AU$105,39,FALSE)/VLOOKUP(A55,Ergebnis_je_Aktie_verwässert!A$3:AJ$103,10,FALSE),""),"")</f>
        <v>21.32538569424965</v>
      </c>
      <c r="H55" s="70">
        <f>IF(VLOOKUP(A55,Ergebnis_je_Aktie_verwässert!A$3:AJ$103,11,FALSE)&gt;0,IF(VLOOKUP(A55,Schlußkurse!A$5:AU$105,40,FALSE)&gt;0,VLOOKUP(A55,Schlußkurse!A$5:AU$105,40,FALSE)/VLOOKUP(A55,Ergebnis_je_Aktie_verwässert!A$3:AJ$103,11,FALSE),""),"")</f>
        <v>18.591549295774648</v>
      </c>
      <c r="I55" s="70">
        <f>IF(VLOOKUP(A55,Ergebnis_je_Aktie_verwässert!A$3:AJ$103,12,FALSE)&gt;0,IF(VLOOKUP(A55,Schlußkurse!A$5:AU$105,41,FALSE)&gt;0,VLOOKUP(A55,Schlußkurse!A$5:AU$105,41,FALSE)/VLOOKUP(A55,Ergebnis_je_Aktie_verwässert!A$3:AJ$103,12,FALSE),""),"")</f>
        <v>14.569074778200255</v>
      </c>
      <c r="J55" s="70">
        <f>IF(VLOOKUP(A55,Ergebnis_je_Aktie_verwässert!A$3:AJ$103,13,FALSE)&gt;0,IF(VLOOKUP(A55,Schlußkurse!A$5:AU$105,42,FALSE)&gt;0,VLOOKUP(A55,Schlußkurse!A$5:AU$105,42,FALSE)/VLOOKUP(A55,Ergebnis_je_Aktie_verwässert!A$3:AJ$103,13,FALSE),""),"")</f>
        <v>14.727626459143968</v>
      </c>
      <c r="K55" s="70">
        <f>IF(VLOOKUP(A55,Ergebnis_je_Aktie_verwässert!A$3:AJ$103,14,FALSE)&gt;0,IF(VLOOKUP(A55,Schlußkurse!A$5:AU$105,43,FALSE)&gt;0,VLOOKUP(A55,Schlußkurse!A$5:AU$105,43,FALSE)/VLOOKUP(A55,Ergebnis_je_Aktie_verwässert!A$3:AJ$103,14,FALSE),""),"")</f>
        <v>12.214804063860667</v>
      </c>
      <c r="L55" s="70">
        <f>IF(VLOOKUP(A55,Ergebnis_je_Aktie_verwässert!A$3:AJ$103,15,FALSE)&gt;0,IF(VLOOKUP(A55,Schlußkurse!A$5:AU$105,44,FALSE)&gt;0,VLOOKUP(A55,Schlußkurse!A$5:AU$105,44,FALSE)/VLOOKUP(A55,Ergebnis_je_Aktie_verwässert!A$3:AJ$103,15,FALSE),""),"")</f>
        <v>13.06768558951965</v>
      </c>
      <c r="M55" s="70">
        <f>IF(VLOOKUP(A55,Ergebnis_je_Aktie_verwässert!A$3:AJ$103,16,FALSE)&gt;0,IF(VLOOKUP(A55,Schlußkurse!A$5:AU$105,45,FALSE)&gt;0,VLOOKUP(A55,Schlußkurse!A$5:AU$105,45,FALSE)/VLOOKUP(A55,Ergebnis_je_Aktie_verwässert!A$3:AJ$103,16,FALSE),""),"")</f>
        <v>16.565934065934066</v>
      </c>
      <c r="N55" s="70">
        <f>IF(VLOOKUP(A55,Ergebnis_je_Aktie_verwässert!A$3:AJ$103,17,FALSE)&gt;0,IF(VLOOKUP(A55,Schlußkurse!A$5:AU$105,46,FALSE)&gt;0,VLOOKUP(A55,Schlußkurse!A$5:AU$105,46,FALSE)/VLOOKUP(A55,Ergebnis_je_Aktie_verwässert!A$3:AJ$103,17,FALSE),""),"")</f>
        <v>15.589641434262951</v>
      </c>
      <c r="O55" s="70">
        <f>IF(VLOOKUP(A55,Ergebnis_je_Aktie_verwässert!A$3:AJ$103,18,FALSE)&gt;0,IF(VLOOKUP(A55,Schlußkurse!A$5:AU$105,47,FALSE)&gt;0,VLOOKUP(A55,Schlußkurse!A$5:AU$105,47,FALSE)/VLOOKUP(A55,Ergebnis_je_Aktie_verwässert!A$3:AJ$103,18,FALSE),""),"")</f>
        <v>14.113733905579398</v>
      </c>
      <c r="P55" s="70">
        <f t="shared" si="2"/>
        <v>15.589641434262951</v>
      </c>
      <c r="Q55" s="3">
        <f ca="1">VLOOKUP(A55,Schlußkurse!A$5:AU$105,35,FALSE)/VLOOKUP(A55,Ergebnis_je_Aktie_verwässert!A$3:AK$103,23,FALSE)</f>
        <v>17.261227970437751</v>
      </c>
      <c r="R55" s="5">
        <f t="shared" ca="1" si="3"/>
        <v>0.10722418108353549</v>
      </c>
    </row>
    <row r="56" spans="1:18">
      <c r="A56" t="s">
        <v>320</v>
      </c>
      <c r="B56" s="38" t="s">
        <v>321</v>
      </c>
      <c r="C56" s="70">
        <f>IF(VLOOKUP(A56,Ergebnis_je_Aktie_verwässert!A$3:AJ$103,6,FALSE)&gt;0,IF(VLOOKUP(A56,Schlußkurse!A$5:AU$105,35,FALSE)&gt;0,VLOOKUP(A56,Schlußkurse!A$5:AU$105,35,FALSE)/VLOOKUP(A56,Ergebnis_je_Aktie_verwässert!A$3:AJ$103,6,FALSE),""),"")</f>
        <v>17.299082568807339</v>
      </c>
      <c r="D56" s="70">
        <f>IF(VLOOKUP(A56,Ergebnis_je_Aktie_verwässert!A$3:AJ$103,7,FALSE)&gt;0,IF(VLOOKUP(A56,Schlußkurse!A$5:AU$105,36,FALSE)&gt;0,VLOOKUP(A56,Schlußkurse!A$5:AU$105,36,FALSE)/VLOOKUP(A56,Ergebnis_je_Aktie_verwässert!A$3:AJ$103,7,FALSE),""),"")</f>
        <v>20.059574468085106</v>
      </c>
      <c r="E56" s="70">
        <f>IF(VLOOKUP(A56,Ergebnis_je_Aktie_verwässert!A$3:AJ$103,8,FALSE)&gt;0,IF(VLOOKUP(A56,Schlußkurse!A$5:AU$105,37,FALSE)&gt;0,VLOOKUP(A56,Schlußkurse!A$5:AU$105,37,FALSE)/VLOOKUP(A56,Ergebnis_je_Aktie_verwässert!A$3:AJ$103,8,FALSE),""),"")</f>
        <v>18.197215777262183</v>
      </c>
      <c r="F56" s="70">
        <f>IF(VLOOKUP(A56,Ergebnis_je_Aktie_verwässert!A$3:AJ$103,9,FALSE)&gt;0,IF(VLOOKUP(A56,Schlußkurse!A$5:AU$105,38,FALSE)&gt;0,VLOOKUP(A56,Schlußkurse!A$5:AU$105,38,FALSE)/VLOOKUP(A56,Ergebnis_je_Aktie_verwässert!A$3:AJ$103,9,FALSE),""),"")</f>
        <v>16.297826086956523</v>
      </c>
      <c r="G56" s="70">
        <f>IF(VLOOKUP(A56,Ergebnis_je_Aktie_verwässert!A$3:AJ$103,10,FALSE)&gt;0,IF(VLOOKUP(A56,Schlußkurse!A$5:AU$105,39,FALSE)&gt;0,VLOOKUP(A56,Schlußkurse!A$5:AU$105,39,FALSE)/VLOOKUP(A56,Ergebnis_je_Aktie_verwässert!A$3:AJ$103,10,FALSE),""),"")</f>
        <v>19.973078073586599</v>
      </c>
      <c r="H56" s="70">
        <f>IF(VLOOKUP(A56,Ergebnis_je_Aktie_verwässert!A$3:AJ$103,11,FALSE)&gt;0,IF(VLOOKUP(A56,Schlußkurse!A$5:AU$105,40,FALSE)&gt;0,VLOOKUP(A56,Schlußkurse!A$5:AU$105,40,FALSE)/VLOOKUP(A56,Ergebnis_je_Aktie_verwässert!A$3:AJ$103,11,FALSE),""),"")</f>
        <v>17.860795454545453</v>
      </c>
      <c r="I56" s="70">
        <f>IF(VLOOKUP(A56,Ergebnis_je_Aktie_verwässert!A$3:AJ$103,12,FALSE)&gt;0,IF(VLOOKUP(A56,Schlußkurse!A$5:AU$105,41,FALSE)&gt;0,VLOOKUP(A56,Schlußkurse!A$5:AU$105,41,FALSE)/VLOOKUP(A56,Ergebnis_je_Aktie_verwässert!A$3:AJ$103,12,FALSE),""),"")</f>
        <v>15.41803034811068</v>
      </c>
      <c r="J56" s="70">
        <f>IF(VLOOKUP(A56,Ergebnis_je_Aktie_verwässert!A$3:AJ$103,13,FALSE)&gt;0,IF(VLOOKUP(A56,Schlußkurse!A$5:AU$105,42,FALSE)&gt;0,VLOOKUP(A56,Schlußkurse!A$5:AU$105,42,FALSE)/VLOOKUP(A56,Ergebnis_je_Aktie_verwässert!A$3:AJ$103,13,FALSE),""),"")</f>
        <v>14.945616348055372</v>
      </c>
      <c r="K56" s="70">
        <f>IF(VLOOKUP(A56,Ergebnis_je_Aktie_verwässert!A$3:AJ$103,14,FALSE)&gt;0,IF(VLOOKUP(A56,Schlußkurse!A$5:AU$105,43,FALSE)&gt;0,VLOOKUP(A56,Schlußkurse!A$5:AU$105,43,FALSE)/VLOOKUP(A56,Ergebnis_je_Aktie_verwässert!A$3:AJ$103,14,FALSE),""),"")</f>
        <v>14.605597964376591</v>
      </c>
      <c r="L56" s="70">
        <f>IF(VLOOKUP(A56,Ergebnis_je_Aktie_verwässert!A$3:AJ$103,15,FALSE)&gt;0,IF(VLOOKUP(A56,Schlußkurse!A$5:AU$105,44,FALSE)&gt;0,VLOOKUP(A56,Schlußkurse!A$5:AU$105,44,FALSE)/VLOOKUP(A56,Ergebnis_je_Aktie_verwässert!A$3:AJ$103,15,FALSE),""),"")</f>
        <v>18.141176470588235</v>
      </c>
      <c r="M56" s="70">
        <f>IF(VLOOKUP(A56,Ergebnis_je_Aktie_verwässert!A$3:AJ$103,16,FALSE)&gt;0,IF(VLOOKUP(A56,Schlußkurse!A$5:AU$105,45,FALSE)&gt;0,VLOOKUP(A56,Schlußkurse!A$5:AU$105,45,FALSE)/VLOOKUP(A56,Ergebnis_je_Aktie_verwässert!A$3:AJ$103,16,FALSE),""),"")</f>
        <v>19.508064516129032</v>
      </c>
      <c r="N56" s="70">
        <f>IF(VLOOKUP(A56,Ergebnis_je_Aktie_verwässert!A$3:AJ$103,17,FALSE)&gt;0,IF(VLOOKUP(A56,Schlußkurse!A$5:AU$105,46,FALSE)&gt;0,VLOOKUP(A56,Schlußkurse!A$5:AU$105,46,FALSE)/VLOOKUP(A56,Ergebnis_je_Aktie_verwässert!A$3:AJ$103,17,FALSE),""),"")</f>
        <v>17.337500000000002</v>
      </c>
      <c r="O56" s="70">
        <f>IF(VLOOKUP(A56,Ergebnis_je_Aktie_verwässert!A$3:AJ$103,18,FALSE)&gt;0,IF(VLOOKUP(A56,Schlußkurse!A$5:AU$105,47,FALSE)&gt;0,VLOOKUP(A56,Schlußkurse!A$5:AU$105,47,FALSE)/VLOOKUP(A56,Ergebnis_je_Aktie_verwässert!A$3:AJ$103,18,FALSE),""),"")</f>
        <v>13.613526570048309</v>
      </c>
      <c r="P56" s="70">
        <f t="shared" si="2"/>
        <v>17.337500000000002</v>
      </c>
      <c r="Q56" s="3">
        <f ca="1">VLOOKUP(A56,Schlußkurse!A$5:AU$105,35,FALSE)/VLOOKUP(A56,Ergebnis_je_Aktie_verwässert!A$3:AK$103,23,FALSE)</f>
        <v>20.689049813473776</v>
      </c>
      <c r="R56" s="5">
        <f t="shared" ca="1" si="3"/>
        <v>0.19331217381247434</v>
      </c>
    </row>
    <row r="57" spans="1:18">
      <c r="A57" t="s">
        <v>83</v>
      </c>
      <c r="B57" s="38" t="s">
        <v>84</v>
      </c>
      <c r="C57" s="70">
        <f>IF(VLOOKUP(A57,Ergebnis_je_Aktie_verwässert!A$3:AJ$103,6,FALSE)&gt;0,IF(VLOOKUP(A57,Schlußkurse!A$5:AU$105,35,FALSE)&gt;0,VLOOKUP(A57,Schlußkurse!A$5:AU$105,35,FALSE)/VLOOKUP(A57,Ergebnis_je_Aktie_verwässert!A$3:AJ$103,6,FALSE),""),"")</f>
        <v>18.563106796116504</v>
      </c>
      <c r="D57" s="70">
        <f>IF(VLOOKUP(A57,Ergebnis_je_Aktie_verwässert!A$3:AJ$103,7,FALSE)&gt;0,IF(VLOOKUP(A57,Schlußkurse!A$5:AU$105,36,FALSE)&gt;0,VLOOKUP(A57,Schlußkurse!A$5:AU$105,36,FALSE)/VLOOKUP(A57,Ergebnis_je_Aktie_verwässert!A$3:AJ$103,7,FALSE),""),"")</f>
        <v>20.041928721174003</v>
      </c>
      <c r="E57" s="70">
        <f>IF(VLOOKUP(A57,Ergebnis_je_Aktie_verwässert!A$3:AJ$103,8,FALSE)&gt;0,IF(VLOOKUP(A57,Schlußkurse!A$5:AU$105,37,FALSE)&gt;0,VLOOKUP(A57,Schlußkurse!A$5:AU$105,37,FALSE)/VLOOKUP(A57,Ergebnis_je_Aktie_verwässert!A$3:AJ$103,8,FALSE),""),"")</f>
        <v>19.83836206896552</v>
      </c>
      <c r="F57" s="70">
        <f>IF(VLOOKUP(A57,Ergebnis_je_Aktie_verwässert!A$3:AJ$103,9,FALSE)&gt;0,IF(VLOOKUP(A57,Schlußkurse!A$5:AU$105,38,FALSE)&gt;0,VLOOKUP(A57,Schlußkurse!A$5:AU$105,38,FALSE)/VLOOKUP(A57,Ergebnis_je_Aktie_verwässert!A$3:AJ$103,9,FALSE),""),"")</f>
        <v>21.013513513513512</v>
      </c>
      <c r="G57" s="70">
        <f>IF(VLOOKUP(A57,Ergebnis_je_Aktie_verwässert!A$3:AJ$103,10,FALSE)&gt;0,IF(VLOOKUP(A57,Schlußkurse!A$5:AU$105,39,FALSE)&gt;0,VLOOKUP(A57,Schlußkurse!A$5:AU$105,39,FALSE)/VLOOKUP(A57,Ergebnis_je_Aktie_verwässert!A$3:AJ$103,10,FALSE),""),"")</f>
        <v>19.68586387434555</v>
      </c>
      <c r="H57" s="70">
        <f>IF(VLOOKUP(A57,Ergebnis_je_Aktie_verwässert!A$3:AJ$103,11,FALSE)&gt;0,IF(VLOOKUP(A57,Schlußkurse!A$5:AU$105,40,FALSE)&gt;0,VLOOKUP(A57,Schlußkurse!A$5:AU$105,40,FALSE)/VLOOKUP(A57,Ergebnis_je_Aktie_verwässert!A$3:AJ$103,11,FALSE),""),"")</f>
        <v>15.9262851600388</v>
      </c>
      <c r="I57" s="70">
        <f>IF(VLOOKUP(A57,Ergebnis_je_Aktie_verwässert!A$3:AJ$103,12,FALSE)&gt;0,IF(VLOOKUP(A57,Schlußkurse!A$5:AU$105,41,FALSE)&gt;0,VLOOKUP(A57,Schlußkurse!A$5:AU$105,41,FALSE)/VLOOKUP(A57,Ergebnis_je_Aktie_verwässert!A$3:AJ$103,12,FALSE),""),"")</f>
        <v>13.747300215982721</v>
      </c>
      <c r="J57" s="70">
        <f>IF(VLOOKUP(A57,Ergebnis_je_Aktie_verwässert!A$3:AJ$103,13,FALSE)&gt;0,IF(VLOOKUP(A57,Schlußkurse!A$5:AU$105,42,FALSE)&gt;0,VLOOKUP(A57,Schlußkurse!A$5:AU$105,42,FALSE)/VLOOKUP(A57,Ergebnis_je_Aktie_verwässert!A$3:AJ$103,13,FALSE),""),"")</f>
        <v>12.990196078431373</v>
      </c>
      <c r="K57" s="70">
        <f>IF(VLOOKUP(A57,Ergebnis_je_Aktie_verwässert!A$3:AJ$103,14,FALSE)&gt;0,IF(VLOOKUP(A57,Schlußkurse!A$5:AU$105,43,FALSE)&gt;0,VLOOKUP(A57,Schlußkurse!A$5:AU$105,43,FALSE)/VLOOKUP(A57,Ergebnis_je_Aktie_verwässert!A$3:AJ$103,14,FALSE),""),"")</f>
        <v>12.291960507757405</v>
      </c>
      <c r="L57" s="70">
        <f>IF(VLOOKUP(A57,Ergebnis_je_Aktie_verwässert!A$3:AJ$103,15,FALSE)&gt;0,IF(VLOOKUP(A57,Schlußkurse!A$5:AU$105,44,FALSE)&gt;0,VLOOKUP(A57,Schlußkurse!A$5:AU$105,44,FALSE)/VLOOKUP(A57,Ergebnis_je_Aktie_verwässert!A$3:AJ$103,15,FALSE),""),"")</f>
        <v>14.215384615384615</v>
      </c>
      <c r="M57" s="70">
        <f>IF(VLOOKUP(A57,Ergebnis_je_Aktie_verwässert!A$3:AJ$103,16,FALSE)&gt;0,IF(VLOOKUP(A57,Schlußkurse!A$5:AU$105,45,FALSE)&gt;0,VLOOKUP(A57,Schlußkurse!A$5:AU$105,45,FALSE)/VLOOKUP(A57,Ergebnis_je_Aktie_verwässert!A$3:AJ$103,16,FALSE),""),"")</f>
        <v>17.576271186440678</v>
      </c>
      <c r="N57" s="70">
        <f>IF(VLOOKUP(A57,Ergebnis_je_Aktie_verwässert!A$3:AJ$103,17,FALSE)&gt;0,IF(VLOOKUP(A57,Schlußkurse!A$5:AU$105,46,FALSE)&gt;0,VLOOKUP(A57,Schlußkurse!A$5:AU$105,46,FALSE)/VLOOKUP(A57,Ergebnis_je_Aktie_verwässert!A$3:AJ$103,17,FALSE),""),"")</f>
        <v>16.536363636363635</v>
      </c>
      <c r="O57" s="70">
        <f>IF(VLOOKUP(A57,Ergebnis_je_Aktie_verwässert!A$3:AJ$103,18,FALSE)&gt;0,IF(VLOOKUP(A57,Schlußkurse!A$5:AU$105,47,FALSE)&gt;0,VLOOKUP(A57,Schlußkurse!A$5:AU$105,47,FALSE)/VLOOKUP(A57,Ergebnis_je_Aktie_verwässert!A$3:AJ$103,18,FALSE),""),"")</f>
        <v>16.297029702970299</v>
      </c>
      <c r="P57" s="70">
        <f t="shared" si="2"/>
        <v>16.536363636363635</v>
      </c>
      <c r="Q57" s="3">
        <f ca="1">VLOOKUP(A57,Schlußkurse!A$5:AU$105,35,FALSE)/VLOOKUP(A57,Ergebnis_je_Aktie_verwässert!A$3:AK$103,23,FALSE)</f>
        <v>20.150236830857686</v>
      </c>
      <c r="R57" s="5">
        <f t="shared" ca="1" si="3"/>
        <v>0.21854098482371942</v>
      </c>
    </row>
    <row r="58" spans="1:18">
      <c r="A58" t="s">
        <v>85</v>
      </c>
      <c r="B58" s="38" t="s">
        <v>86</v>
      </c>
      <c r="C58" s="70">
        <f>IF(VLOOKUP(A58,Ergebnis_je_Aktie_verwässert!A$3:AJ$103,6,FALSE)&gt;0,IF(VLOOKUP(A58,Schlußkurse!A$5:AU$105,35,FALSE)&gt;0,VLOOKUP(A58,Schlußkurse!A$5:AU$105,35,FALSE)/VLOOKUP(A58,Ergebnis_je_Aktie_verwässert!A$3:AJ$103,6,FALSE),""),"")</f>
        <v>25.134743459915612</v>
      </c>
      <c r="D58" s="70">
        <f>IF(VLOOKUP(A58,Ergebnis_je_Aktie_verwässert!A$3:AJ$103,7,FALSE)&gt;0,IF(VLOOKUP(A58,Schlußkurse!A$5:AU$105,36,FALSE)&gt;0,VLOOKUP(A58,Schlußkurse!A$5:AU$105,36,FALSE)/VLOOKUP(A58,Ergebnis_je_Aktie_verwässert!A$3:AJ$103,7,FALSE),""),"")</f>
        <v>28.842430188679248</v>
      </c>
      <c r="E58" s="70">
        <f>IF(VLOOKUP(A58,Ergebnis_je_Aktie_verwässert!A$3:AJ$103,8,FALSE)&gt;0,IF(VLOOKUP(A58,Schlußkurse!A$5:AU$105,37,FALSE)&gt;0,VLOOKUP(A58,Schlußkurse!A$5:AU$105,37,FALSE)/VLOOKUP(A58,Ergebnis_je_Aktie_verwässert!A$3:AJ$103,8,FALSE),""),"")</f>
        <v>26.279189999999996</v>
      </c>
      <c r="F58" s="70">
        <f>IF(VLOOKUP(A58,Ergebnis_je_Aktie_verwässert!A$3:AJ$103,9,FALSE)&gt;0,IF(VLOOKUP(A58,Schlußkurse!A$5:AU$105,38,FALSE)&gt;0,VLOOKUP(A58,Schlußkurse!A$5:AU$105,38,FALSE)/VLOOKUP(A58,Ergebnis_je_Aktie_verwässert!A$3:AJ$103,9,FALSE),""),"")</f>
        <v>24.429803921568624</v>
      </c>
      <c r="G58" s="70">
        <f>IF(VLOOKUP(A58,Ergebnis_je_Aktie_verwässert!A$3:AJ$103,10,FALSE)&gt;0,IF(VLOOKUP(A58,Schlußkurse!A$5:AU$105,39,FALSE)&gt;0,VLOOKUP(A58,Schlußkurse!A$5:AU$105,39,FALSE)/VLOOKUP(A58,Ergebnis_je_Aktie_verwässert!A$3:AJ$103,10,FALSE),""),"")</f>
        <v>25.18941244019139</v>
      </c>
      <c r="H58" s="70">
        <f>IF(VLOOKUP(A58,Ergebnis_je_Aktie_verwässert!A$3:AJ$103,11,FALSE)&gt;0,IF(VLOOKUP(A58,Schlußkurse!A$5:AU$105,40,FALSE)&gt;0,VLOOKUP(A58,Schlußkurse!A$5:AU$105,40,FALSE)/VLOOKUP(A58,Ergebnis_je_Aktie_verwässert!A$3:AJ$103,11,FALSE),""),"")</f>
        <v>19.695884558823526</v>
      </c>
      <c r="I58" s="70">
        <f>IF(VLOOKUP(A58,Ergebnis_je_Aktie_verwässert!A$3:AJ$103,12,FALSE)&gt;0,IF(VLOOKUP(A58,Schlußkurse!A$5:AU$105,41,FALSE)&gt;0,VLOOKUP(A58,Schlußkurse!A$5:AU$105,41,FALSE)/VLOOKUP(A58,Ergebnis_je_Aktie_verwässert!A$3:AJ$103,12,FALSE),""),"")</f>
        <v>13.406381628787877</v>
      </c>
      <c r="J58" s="70">
        <f>IF(VLOOKUP(A58,Ergebnis_je_Aktie_verwässert!A$3:AJ$103,13,FALSE)&gt;0,IF(VLOOKUP(A58,Schlußkurse!A$5:AU$105,42,FALSE)&gt;0,VLOOKUP(A58,Schlußkurse!A$5:AU$105,42,FALSE)/VLOOKUP(A58,Ergebnis_je_Aktie_verwässert!A$3:AJ$103,13,FALSE),""),"")</f>
        <v>19.297121052631578</v>
      </c>
      <c r="K58" s="70">
        <f>IF(VLOOKUP(A58,Ergebnis_je_Aktie_verwässert!A$3:AJ$103,14,FALSE)&gt;0,IF(VLOOKUP(A58,Schlußkurse!A$5:AU$105,43,FALSE)&gt;0,VLOOKUP(A58,Schlußkurse!A$5:AU$105,43,FALSE)/VLOOKUP(A58,Ergebnis_je_Aktie_verwässert!A$3:AJ$103,14,FALSE),""),"")</f>
        <v>12.18985</v>
      </c>
      <c r="L58" s="70">
        <f>IF(VLOOKUP(A58,Ergebnis_je_Aktie_verwässert!A$3:AJ$103,15,FALSE)&gt;0,IF(VLOOKUP(A58,Schlußkurse!A$5:AU$105,44,FALSE)&gt;0,VLOOKUP(A58,Schlußkurse!A$5:AU$105,44,FALSE)/VLOOKUP(A58,Ergebnis_je_Aktie_verwässert!A$3:AJ$103,15,FALSE),""),"")</f>
        <v>17.529753599999999</v>
      </c>
      <c r="M58" s="70">
        <f>IF(VLOOKUP(A58,Ergebnis_je_Aktie_verwässert!A$3:AJ$103,16,FALSE)&gt;0,IF(VLOOKUP(A58,Schlußkurse!A$5:AU$105,45,FALSE)&gt;0,VLOOKUP(A58,Schlußkurse!A$5:AU$105,45,FALSE)/VLOOKUP(A58,Ergebnis_je_Aktie_verwässert!A$3:AJ$103,16,FALSE),""),"")</f>
        <v>16.37469029850746</v>
      </c>
      <c r="N58" s="70">
        <f>IF(VLOOKUP(A58,Ergebnis_je_Aktie_verwässert!A$3:AJ$103,17,FALSE)&gt;0,IF(VLOOKUP(A58,Schlußkurse!A$5:AU$105,46,FALSE)&gt;0,VLOOKUP(A58,Schlußkurse!A$5:AU$105,46,FALSE)/VLOOKUP(A58,Ergebnis_je_Aktie_verwässert!A$3:AJ$103,17,FALSE),""),"")</f>
        <v>17.942603636363636</v>
      </c>
      <c r="O58" s="70" t="str">
        <f>IF(VLOOKUP(A58,Ergebnis_je_Aktie_verwässert!A$3:AJ$103,18,FALSE)&gt;0,IF(VLOOKUP(A58,Schlußkurse!A$5:AU$105,47,FALSE)&gt;0,VLOOKUP(A58,Schlußkurse!A$5:AU$105,47,FALSE)/VLOOKUP(A58,Ergebnis_je_Aktie_verwässert!A$3:AJ$103,18,FALSE),""),"")</f>
        <v/>
      </c>
      <c r="P58" s="70">
        <f t="shared" si="2"/>
        <v>19.496502805727552</v>
      </c>
      <c r="Q58" s="3">
        <f ca="1">VLOOKUP(A58,Schlußkurse!A$5:AU$105,35,FALSE)/VLOOKUP(A58,Ergebnis_je_Aktie_verwässert!A$3:AK$103,23,FALSE)</f>
        <v>27.934040797186405</v>
      </c>
      <c r="R58" s="5">
        <f t="shared" ca="1" si="3"/>
        <v>0.43277187070596734</v>
      </c>
    </row>
    <row r="59" spans="1:18">
      <c r="A59" t="s">
        <v>87</v>
      </c>
      <c r="B59" s="38" t="s">
        <v>88</v>
      </c>
      <c r="C59" s="70">
        <f>IF(VLOOKUP(A59,Ergebnis_je_Aktie_verwässert!A$3:AJ$103,6,FALSE)&gt;0,IF(VLOOKUP(A59,Schlußkurse!A$5:AU$105,35,FALSE)&gt;0,VLOOKUP(A59,Schlußkurse!A$5:AU$105,35,FALSE)/VLOOKUP(A59,Ergebnis_je_Aktie_verwässert!A$3:AJ$103,6,FALSE),""),"")</f>
        <v>21.049689440993788</v>
      </c>
      <c r="D59" s="70">
        <f>IF(VLOOKUP(A59,Ergebnis_je_Aktie_verwässert!A$3:AJ$103,7,FALSE)&gt;0,IF(VLOOKUP(A59,Schlußkurse!A$5:AU$105,36,FALSE)&gt;0,VLOOKUP(A59,Schlußkurse!A$5:AU$105,36,FALSE)/VLOOKUP(A59,Ergebnis_je_Aktie_verwässert!A$3:AJ$103,7,FALSE),""),"")</f>
        <v>23.212328767123289</v>
      </c>
      <c r="E59" s="70">
        <f>IF(VLOOKUP(A59,Ergebnis_je_Aktie_verwässert!A$3:AJ$103,8,FALSE)&gt;0,IF(VLOOKUP(A59,Schlußkurse!A$5:AU$105,37,FALSE)&gt;0,VLOOKUP(A59,Schlußkurse!A$5:AU$105,37,FALSE)/VLOOKUP(A59,Ergebnis_je_Aktie_verwässert!A$3:AJ$103,8,FALSE),""),"")</f>
        <v>23.262962962962963</v>
      </c>
      <c r="F59" s="70">
        <f>IF(VLOOKUP(A59,Ergebnis_je_Aktie_verwässert!A$3:AJ$103,9,FALSE)&gt;0,IF(VLOOKUP(A59,Schlußkurse!A$5:AU$105,38,FALSE)&gt;0,VLOOKUP(A59,Schlußkurse!A$5:AU$105,38,FALSE)/VLOOKUP(A59,Ergebnis_je_Aktie_verwässert!A$3:AJ$103,9,FALSE),""),"")</f>
        <v>21.618257261410786</v>
      </c>
      <c r="G59" s="70">
        <f>IF(VLOOKUP(A59,Ergebnis_je_Aktie_verwässert!A$3:AJ$103,10,FALSE)&gt;0,IF(VLOOKUP(A59,Schlußkurse!A$5:AU$105,39,FALSE)&gt;0,VLOOKUP(A59,Schlußkurse!A$5:AU$105,39,FALSE)/VLOOKUP(A59,Ergebnis_je_Aktie_verwässert!A$3:AJ$103,10,FALSE),""),"")</f>
        <v>17.350513966480445</v>
      </c>
      <c r="H59" s="70">
        <f>IF(VLOOKUP(A59,Ergebnis_je_Aktie_verwässert!A$3:AJ$103,11,FALSE)&gt;0,IF(VLOOKUP(A59,Schlußkurse!A$5:AU$105,40,FALSE)&gt;0,VLOOKUP(A59,Schlußkurse!A$5:AU$105,40,FALSE)/VLOOKUP(A59,Ergebnis_je_Aktie_verwässert!A$3:AJ$103,11,FALSE),""),"")</f>
        <v>13.989758812615955</v>
      </c>
      <c r="I59" s="70">
        <f>IF(VLOOKUP(A59,Ergebnis_je_Aktie_verwässert!A$3:AJ$103,12,FALSE)&gt;0,IF(VLOOKUP(A59,Schlußkurse!A$5:AU$105,41,FALSE)&gt;0,VLOOKUP(A59,Schlußkurse!A$5:AU$105,41,FALSE)/VLOOKUP(A59,Ergebnis_je_Aktie_verwässert!A$3:AJ$103,12,FALSE),""),"")</f>
        <v>11.690011346444781</v>
      </c>
      <c r="J59" s="70">
        <f>IF(VLOOKUP(A59,Ergebnis_je_Aktie_verwässert!A$3:AJ$103,13,FALSE)&gt;0,IF(VLOOKUP(A59,Schlußkurse!A$5:AU$105,42,FALSE)&gt;0,VLOOKUP(A59,Schlußkurse!A$5:AU$105,42,FALSE)/VLOOKUP(A59,Ergebnis_je_Aktie_verwässert!A$3:AJ$103,13,FALSE),""),"")</f>
        <v>13.865503844597328</v>
      </c>
      <c r="K59" s="70">
        <f>IF(VLOOKUP(A59,Ergebnis_je_Aktie_verwässert!A$3:AJ$103,14,FALSE)&gt;0,IF(VLOOKUP(A59,Schlußkurse!A$5:AU$105,43,FALSE)&gt;0,VLOOKUP(A59,Schlußkurse!A$5:AU$105,43,FALSE)/VLOOKUP(A59,Ergebnis_je_Aktie_verwässert!A$3:AJ$103,14,FALSE),""),"")</f>
        <v>15.066531177829098</v>
      </c>
      <c r="L59" s="70">
        <f>IF(VLOOKUP(A59,Ergebnis_je_Aktie_verwässert!A$3:AJ$103,15,FALSE)&gt;0,IF(VLOOKUP(A59,Schlußkurse!A$5:AU$105,44,FALSE)&gt;0,VLOOKUP(A59,Schlußkurse!A$5:AU$105,44,FALSE)/VLOOKUP(A59,Ergebnis_je_Aktie_verwässert!A$3:AJ$103,15,FALSE),""),"")</f>
        <v>12.869635336414996</v>
      </c>
      <c r="M59" s="70">
        <f>IF(VLOOKUP(A59,Ergebnis_je_Aktie_verwässert!A$3:AJ$103,16,FALSE)&gt;0,IF(VLOOKUP(A59,Schlußkurse!A$5:AU$105,45,FALSE)&gt;0,VLOOKUP(A59,Schlußkurse!A$5:AU$105,45,FALSE)/VLOOKUP(A59,Ergebnis_je_Aktie_verwässert!A$3:AJ$103,16,FALSE),""),"")</f>
        <v>17.948650190114069</v>
      </c>
      <c r="N59" s="70">
        <f>IF(VLOOKUP(A59,Ergebnis_je_Aktie_verwässert!A$3:AJ$103,17,FALSE)&gt;0,IF(VLOOKUP(A59,Schlußkurse!A$5:AU$105,46,FALSE)&gt;0,VLOOKUP(A59,Schlußkurse!A$5:AU$105,46,FALSE)/VLOOKUP(A59,Ergebnis_je_Aktie_verwässert!A$3:AJ$103,17,FALSE),""),"")</f>
        <v>18.383784440842788</v>
      </c>
      <c r="O59" s="70">
        <f>IF(VLOOKUP(A59,Ergebnis_je_Aktie_verwässert!A$3:AJ$103,18,FALSE)&gt;0,IF(VLOOKUP(A59,Schlußkurse!A$5:AU$105,47,FALSE)&gt;0,VLOOKUP(A59,Schlußkurse!A$5:AU$105,47,FALSE)/VLOOKUP(A59,Ergebnis_je_Aktie_verwässert!A$3:AJ$103,18,FALSE),""),"")</f>
        <v>17.424528478057891</v>
      </c>
      <c r="P59" s="70">
        <f t="shared" si="2"/>
        <v>17.424528478057891</v>
      </c>
      <c r="Q59" s="3">
        <f ca="1">VLOOKUP(A59,Schlußkurse!A$5:AU$105,35,FALSE)/VLOOKUP(A59,Ergebnis_je_Aktie_verwässert!A$3:AK$103,23,FALSE)</f>
        <v>24.504699927693419</v>
      </c>
      <c r="R59" s="5">
        <f t="shared" ca="1" si="3"/>
        <v>0.40633360372140603</v>
      </c>
    </row>
    <row r="60" spans="1:18">
      <c r="A60" t="s">
        <v>252</v>
      </c>
      <c r="B60" s="38" t="s">
        <v>253</v>
      </c>
      <c r="C60" s="70">
        <f>IF(VLOOKUP(A60,Ergebnis_je_Aktie_verwässert!A$3:AJ$103,6,FALSE)&gt;0,IF(VLOOKUP(A60,Schlußkurse!A$5:AU$105,35,FALSE) &gt;0,VLOOKUP(A60,Schlußkurse!A$5:AU$105,35,FALSE) /VLOOKUP(A60,Ergebnis_je_Aktie_verwässert!A$3:AJ$103,6,FALSE),""),"")</f>
        <v>18.358173076923077</v>
      </c>
      <c r="D60" s="70">
        <f>IF(VLOOKUP(A60,Ergebnis_je_Aktie_verwässert!A$3:AJ$103,7,FALSE)&gt;0,IF(VLOOKUP(A60,Schlußkurse!A$5:AU$105,36,FALSE) &gt;0,VLOOKUP(A60,Schlußkurse!A$5:AU$105,36,FALSE)/VLOOKUP(A60,Ergebnis_je_Aktie_verwässert!A$3:AJ$103,7,FALSE),""),"")</f>
        <v>19.939947780678853</v>
      </c>
      <c r="E60" s="70">
        <f>IF(VLOOKUP(A60,Ergebnis_je_Aktie_verwässert!A$3:AJ$103,8,FALSE)&gt;0,IF(VLOOKUP(A60,Schlußkurse!A$5:AU$105,37,FALSE) &gt;0,VLOOKUP(A60,Schlußkurse!A$5:AU$105,37,FALSE)/VLOOKUP(A60,Ergebnis_je_Aktie_verwässert!A$3:AJ$103,8,FALSE),""),"")</f>
        <v>22.091988130563799</v>
      </c>
      <c r="F60" s="70">
        <f>IF(VLOOKUP(A60,Ergebnis_je_Aktie_verwässert!A$3:AJ$103,9,FALSE)&gt;0,IF(VLOOKUP(A60,Schlußkurse!A$5:AU$105,38,FALSE) &gt;0,VLOOKUP(A60,Schlußkurse!A$5:AU$105,38,FALSE)/VLOOKUP(A60,Ergebnis_je_Aktie_verwässert!A$3:AJ$103,9,FALSE),""),"")</f>
        <v>15.519788918205805</v>
      </c>
      <c r="G60" s="70">
        <f>IF(VLOOKUP(A60,Ergebnis_je_Aktie_verwässert!A$3:AJ$103,10,FALSE)&gt;0,IF(VLOOKUP(A60,Schlußkurse!A$5:AU$105,39,FALSE) &gt;0,VLOOKUP(A60,Schlußkurse!A$5:AU$105,39,FALSE)/VLOOKUP(A60,Ergebnis_je_Aktie_verwässert!A$3:AJ$103,10,FALSE),""),"")</f>
        <v>12.257217847769029</v>
      </c>
      <c r="H60" s="70">
        <f>IF(VLOOKUP(A60,Ergebnis_je_Aktie_verwässert!A$3:AJ$103,11,FALSE)&gt;0,IF(VLOOKUP(A60,Schlußkurse!A$5:AU$105,40,FALSE) &gt;0,VLOOKUP(A60,Schlußkurse!A$5:AU$105,40,FALSE)/VLOOKUP(A60,Ergebnis_je_Aktie_verwässert!A$3:AJ$103,11,FALSE),""),"")</f>
        <v>10.352303523035232</v>
      </c>
      <c r="I60" s="70">
        <f>IF(VLOOKUP(A60,Ergebnis_je_Aktie_verwässert!A$3:AJ$103,12,FALSE)&gt;0,IF(VLOOKUP(A60,Schlußkurse!A$5:AU$105,41,FALSE) &gt;0,VLOOKUP(A60,Schlußkurse!A$5:AU$105,41,FALSE)/VLOOKUP(A60,Ergebnis_je_Aktie_verwässert!A$3:AJ$103,12,FALSE),""),"")</f>
        <v>12.243401759530791</v>
      </c>
      <c r="J60" s="70">
        <f>IF(VLOOKUP(A60,Ergebnis_je_Aktie_verwässert!A$3:AJ$103,13,FALSE)&gt;0,IF(VLOOKUP(A60,Schlußkurse!A$5:AU$105,42,FALSE) &gt;0,VLOOKUP(A60,Schlußkurse!A$5:AU$105,42,FALSE)/VLOOKUP(A60,Ergebnis_je_Aktie_verwässert!A$3:AJ$103,13,FALSE),""),"")</f>
        <v>12.964391691394658</v>
      </c>
      <c r="K60" s="70">
        <f>IF(VLOOKUP(A60,Ergebnis_je_Aktie_verwässert!A$3:AJ$103,14,FALSE)&gt;0,IF(VLOOKUP(A60,Schlußkurse!A$5:AU$105,43,FALSE) &gt;0,VLOOKUP(A60,Schlußkurse!A$5:AU$105,43,FALSE)/VLOOKUP(A60,Ergebnis_je_Aktie_verwässert!A$3:AJ$103,14,FALSE),""),"")</f>
        <v>9.9378881987577632</v>
      </c>
      <c r="L60" s="70">
        <f>IF(VLOOKUP(A60,Ergebnis_je_Aktie_verwässert!A$3:AJ$103,15,FALSE)&gt;0,IF(VLOOKUP(A60,Schlußkurse!A$5:AU$105,44,FALSE) &gt;0,VLOOKUP(A60,Schlußkurse!A$5:AU$105,44,FALSE)/VLOOKUP(A60,Ergebnis_je_Aktie_verwässert!A$3:AJ$103,15,FALSE),""),"")</f>
        <v>16.671232876712327</v>
      </c>
      <c r="M60" s="70">
        <f>IF(VLOOKUP(A60,Ergebnis_je_Aktie_verwässert!A$3:AJ$103,16,FALSE)&gt;0,IF(VLOOKUP(A60,Schlußkurse!A$5:AU$105,45,FALSE) &gt;0,VLOOKUP(A60,Schlußkurse!A$5:AU$105,45,FALSE)/VLOOKUP(A60,Ergebnis_je_Aktie_verwässert!A$3:AJ$103,16,FALSE),""),"")</f>
        <v>20.373076923076923</v>
      </c>
      <c r="N60" s="70">
        <f>IF(VLOOKUP(A60,Ergebnis_je_Aktie_verwässert!A$3:AJ$103,17,FALSE)&gt;0,IF(VLOOKUP(A60,Schlußkurse!A$5:AU$105,46,FALSE) &gt;0,VLOOKUP(A60,Schlußkurse!A$5:AU$105,46,FALSE)/VLOOKUP(A60,Ergebnis_je_Aktie_verwässert!A$3:AJ$103,17,FALSE),""),"")</f>
        <v>20.796680497925308</v>
      </c>
      <c r="O60" s="70">
        <f>IF(VLOOKUP(A60,Ergebnis_je_Aktie_verwässert!A$3:AJ$103,18,FALSE)&gt;0,IF(VLOOKUP(A60,Schlußkurse!A$5:AU$105,47,FALSE) &gt;0,VLOOKUP(A60,Schlußkurse!A$5:AU$105,47,FALSE)/VLOOKUP(A60,Ergebnis_je_Aktie_verwässert!A$3:AJ$103,18,FALSE),""),"")</f>
        <v>18.36363636363636</v>
      </c>
      <c r="P60" s="70">
        <f t="shared" si="2"/>
        <v>16.671232876712327</v>
      </c>
      <c r="Q60" s="3">
        <f ca="1">VLOOKUP(A60,Schlußkurse!A$5:AU$105,35,FALSE)/VLOOKUP(A60,Ergebnis_je_Aktie_verwässert!A$3:AK$103,23,FALSE)</f>
        <v>20.013394092040709</v>
      </c>
      <c r="R60" s="5">
        <f t="shared" ca="1" si="3"/>
        <v>0.20047474833111911</v>
      </c>
    </row>
    <row r="61" spans="1:18">
      <c r="A61" t="s">
        <v>89</v>
      </c>
      <c r="B61" s="38" t="s">
        <v>90</v>
      </c>
      <c r="C61" s="70">
        <f>IF(VLOOKUP(A61,Ergebnis_je_Aktie_verwässert!A$3:AJ$103,6,FALSE)&gt;0,IF(VLOOKUP(A61,Schlußkurse!A$5:AU$105,35,FALSE)&gt;0,VLOOKUP(A61,Schlußkurse!A$5:AU$105,35,FALSE)/VLOOKUP(A61,Ergebnis_je_Aktie_verwässert!A$3:AJ$103,6,FALSE),""),"")</f>
        <v>17.673130193905816</v>
      </c>
      <c r="D61" s="70">
        <f>IF(VLOOKUP(A61,Ergebnis_je_Aktie_verwässert!A$3:AJ$103,7,FALSE)&gt;0,IF(VLOOKUP(A61,Schlußkurse!A$5:AU$105,36,FALSE)&gt;0,VLOOKUP(A61,Schlußkurse!A$5:AU$105,36,FALSE)/VLOOKUP(A61,Ergebnis_je_Aktie_verwässert!A$3:AJ$103,7,FALSE),""),"")</f>
        <v>19.101796407185628</v>
      </c>
      <c r="E61" s="70">
        <f>IF(VLOOKUP(A61,Ergebnis_je_Aktie_verwässert!A$3:AJ$103,8,FALSE)&gt;0,IF(VLOOKUP(A61,Schlußkurse!A$5:AU$105,37,FALSE)&gt;0,VLOOKUP(A61,Schlußkurse!A$5:AU$105,37,FALSE)/VLOOKUP(A61,Ergebnis_je_Aktie_verwässert!A$3:AJ$103,8,FALSE),""),"")</f>
        <v>19.211221122112214</v>
      </c>
      <c r="F61" s="70">
        <f>IF(VLOOKUP(A61,Ergebnis_je_Aktie_verwässert!A$3:AJ$103,9,FALSE)&gt;0,IF(VLOOKUP(A61,Schlußkurse!A$5:AU$105,38,FALSE)&gt;0,VLOOKUP(A61,Schlußkurse!A$5:AU$105,38,FALSE)/VLOOKUP(A61,Ergebnis_je_Aktie_verwässert!A$3:AJ$103,9,FALSE),""),"")</f>
        <v>17.596428571428575</v>
      </c>
      <c r="G61" s="70">
        <f>IF(VLOOKUP(A61,Ergebnis_je_Aktie_verwässert!A$3:AJ$103,10,FALSE)&gt;0,IF(VLOOKUP(A61,Schlußkurse!A$5:AU$105,39,FALSE)&gt;0,VLOOKUP(A61,Schlußkurse!A$5:AU$105,39,FALSE)/VLOOKUP(A61,Ergebnis_je_Aktie_verwässert!A$3:AJ$103,10,FALSE),""),"")</f>
        <v>14.937743190661481</v>
      </c>
      <c r="H61" s="70">
        <f>IF(VLOOKUP(A61,Ergebnis_je_Aktie_verwässert!A$3:AJ$103,11,FALSE)&gt;0,IF(VLOOKUP(A61,Schlußkurse!A$5:AU$105,40,FALSE)&gt;0,VLOOKUP(A61,Schlußkurse!A$5:AU$105,40,FALSE)/VLOOKUP(A61,Ergebnis_je_Aktie_verwässert!A$3:AJ$103,11,FALSE),""),"")</f>
        <v>13.210084033613446</v>
      </c>
      <c r="I61" s="70">
        <f>IF(VLOOKUP(A61,Ergebnis_je_Aktie_verwässert!A$3:AJ$103,12,FALSE)&gt;0,IF(VLOOKUP(A61,Schlußkurse!A$5:AU$105,41,FALSE)&gt;0,VLOOKUP(A61,Schlußkurse!A$5:AU$105,41,FALSE)/VLOOKUP(A61,Ergebnis_je_Aktie_verwässert!A$3:AJ$103,12,FALSE),""),"")</f>
        <v>13.416289592760181</v>
      </c>
      <c r="J61" s="70">
        <f>IF(VLOOKUP(A61,Ergebnis_je_Aktie_verwässert!A$3:AJ$103,13,FALSE)&gt;0,IF(VLOOKUP(A61,Schlußkurse!A$5:AU$105,42,FALSE)&gt;0,VLOOKUP(A61,Schlußkurse!A$5:AU$105,42,FALSE)/VLOOKUP(A61,Ergebnis_je_Aktie_verwässert!A$3:AJ$103,13,FALSE),""),"")</f>
        <v>12.009756097560977</v>
      </c>
      <c r="K61" s="70">
        <f>IF(VLOOKUP(A61,Ergebnis_je_Aktie_verwässert!A$3:AJ$103,14,FALSE)&gt;0,IF(VLOOKUP(A61,Schlußkurse!A$5:AU$105,43,FALSE)&gt;0,VLOOKUP(A61,Schlußkurse!A$5:AU$105,43,FALSE)/VLOOKUP(A61,Ergebnis_je_Aktie_verwässert!A$3:AJ$103,14,FALSE),""),"")</f>
        <v>10.331578947368421</v>
      </c>
      <c r="L61" s="70">
        <f>IF(VLOOKUP(A61,Ergebnis_je_Aktie_verwässert!A$3:AJ$103,15,FALSE)&gt;0,IF(VLOOKUP(A61,Schlußkurse!A$5:AU$105,44,FALSE)&gt;0,VLOOKUP(A61,Schlußkurse!A$5:AU$105,44,FALSE)/VLOOKUP(A61,Ergebnis_je_Aktie_verwässert!A$3:AJ$103,15,FALSE),""),"")</f>
        <v>5.3280000000000003</v>
      </c>
      <c r="M61" s="70">
        <f>IF(VLOOKUP(A61,Ergebnis_je_Aktie_verwässert!A$3:AJ$103,16,FALSE)&gt;0,IF(VLOOKUP(A61,Schlußkurse!A$5:AU$105,45,FALSE)&gt;0,VLOOKUP(A61,Schlußkurse!A$5:AU$105,45,FALSE)/VLOOKUP(A61,Ergebnis_je_Aktie_verwässert!A$3:AJ$103,16,FALSE),""),"")</f>
        <v>16.2</v>
      </c>
      <c r="N61" s="70">
        <f>IF(VLOOKUP(A61,Ergebnis_je_Aktie_verwässert!A$3:AJ$103,17,FALSE)&gt;0,IF(VLOOKUP(A61,Schlußkurse!A$5:AU$105,46,FALSE)&gt;0,VLOOKUP(A61,Schlußkurse!A$5:AU$105,46,FALSE)/VLOOKUP(A61,Ergebnis_je_Aktie_verwässert!A$3:AJ$103,17,FALSE),""),"")</f>
        <v>15.202027027027029</v>
      </c>
      <c r="O61" s="70">
        <f>IF(VLOOKUP(A61,Ergebnis_je_Aktie_verwässert!A$3:AJ$103,18,FALSE)&gt;0,IF(VLOOKUP(A61,Schlußkurse!A$5:AU$105,47,FALSE)&gt;0,VLOOKUP(A61,Schlußkurse!A$5:AU$105,47,FALSE)/VLOOKUP(A61,Ergebnis_je_Aktie_verwässert!A$3:AJ$103,18,FALSE),""),"")</f>
        <v>11.957615894039735</v>
      </c>
      <c r="P61" s="70">
        <f t="shared" si="2"/>
        <v>14.937743190661481</v>
      </c>
      <c r="Q61" s="3">
        <f ca="1">VLOOKUP(A61,Schlußkurse!A$5:AU$105,35,FALSE)/VLOOKUP(A61,Ergebnis_je_Aktie_verwässert!A$3:AK$103,23,FALSE)</f>
        <v>20.429074607748959</v>
      </c>
      <c r="R61" s="5">
        <f t="shared" ca="1" si="3"/>
        <v>0.36761452831244634</v>
      </c>
    </row>
    <row r="62" spans="1:18">
      <c r="A62" t="s">
        <v>92</v>
      </c>
      <c r="B62" s="38" t="s">
        <v>93</v>
      </c>
      <c r="C62" s="70">
        <f>IF(VLOOKUP(A62,Ergebnis_je_Aktie_verwässert!A$3:AJ$103,6,FALSE)&gt;0,IF(VLOOKUP(A62,Schlußkurse!A$5:AU$105,35,FALSE)&gt;0,VLOOKUP(A62,Schlußkurse!A$5:AU$105,35,FALSE)/VLOOKUP(A62,Ergebnis_je_Aktie_verwässert!A$3:AJ$103,6,FALSE),""),"")</f>
        <v>19.240121580547111</v>
      </c>
      <c r="D62" s="70">
        <f>IF(VLOOKUP(A62,Ergebnis_je_Aktie_verwässert!A$3:AJ$103,7,FALSE)&gt;0,IF(VLOOKUP(A62,Schlußkurse!A$5:AU$105,36,FALSE)&gt;0,VLOOKUP(A62,Schlußkurse!A$5:AU$105,36,FALSE)/VLOOKUP(A62,Ergebnis_je_Aktie_verwässert!A$3:AJ$103,7,FALSE),""),"")</f>
        <v>20.618892508143322</v>
      </c>
      <c r="E62" s="70">
        <f>IF(VLOOKUP(A62,Ergebnis_je_Aktie_verwässert!A$3:AJ$103,8,FALSE)&gt;0,IF(VLOOKUP(A62,Schlußkurse!A$5:AU$105,37,FALSE)&gt;0,VLOOKUP(A62,Schlußkurse!A$5:AU$105,37,FALSE)/VLOOKUP(A62,Ergebnis_je_Aktie_verwässert!A$3:AJ$103,8,FALSE),""),"")</f>
        <v>19.77112676056338</v>
      </c>
      <c r="F62" s="70">
        <f>IF(VLOOKUP(A62,Ergebnis_je_Aktie_verwässert!A$3:AJ$103,9,FALSE)&gt;0,IF(VLOOKUP(A62,Schlußkurse!A$5:AU$105,38,FALSE)&gt;0,VLOOKUP(A62,Schlußkurse!A$5:AU$105,38,FALSE)/VLOOKUP(A62,Ergebnis_je_Aktie_verwässert!A$3:AJ$103,9,FALSE),""),"")</f>
        <v>19.409893992932862</v>
      </c>
      <c r="G62" s="70">
        <f>IF(VLOOKUP(A62,Ergebnis_je_Aktie_verwässert!A$3:AJ$103,10,FALSE)&gt;0,IF(VLOOKUP(A62,Schlußkurse!A$5:AU$105,39,FALSE)&gt;0,VLOOKUP(A62,Schlußkurse!A$5:AU$105,39,FALSE)/VLOOKUP(A62,Ergebnis_je_Aktie_verwässert!A$3:AJ$103,10,FALSE),""),"")</f>
        <v>16.695035460992909</v>
      </c>
      <c r="H62" s="70">
        <f>IF(VLOOKUP(A62,Ergebnis_je_Aktie_verwässert!A$3:AJ$103,11,FALSE)&gt;0,IF(VLOOKUP(A62,Schlußkurse!A$5:AU$105,40,FALSE)&gt;0,VLOOKUP(A62,Schlußkurse!A$5:AU$105,40,FALSE)/VLOOKUP(A62,Ergebnis_je_Aktie_verwässert!A$3:AJ$103,11,FALSE),""),"")</f>
        <v>14.247211895910782</v>
      </c>
      <c r="I62" s="70">
        <f>IF(VLOOKUP(A62,Ergebnis_je_Aktie_verwässert!A$3:AJ$103,12,FALSE)&gt;0,IF(VLOOKUP(A62,Schlußkurse!A$5:AU$105,41,FALSE)&gt;0,VLOOKUP(A62,Schlußkurse!A$5:AU$105,41,FALSE)/VLOOKUP(A62,Ergebnis_je_Aktie_verwässert!A$3:AJ$103,12,FALSE),""),"")</f>
        <v>15.535156250000002</v>
      </c>
      <c r="J62" s="70">
        <f>IF(VLOOKUP(A62,Ergebnis_je_Aktie_verwässert!A$3:AJ$103,13,FALSE)&gt;0,IF(VLOOKUP(A62,Schlußkurse!A$5:AU$105,42,FALSE)&gt;0,VLOOKUP(A62,Schlußkurse!A$5:AU$105,42,FALSE)/VLOOKUP(A62,Ergebnis_je_Aktie_verwässert!A$3:AJ$103,13,FALSE),""),"")</f>
        <v>14.360887096774194</v>
      </c>
      <c r="K62" s="70">
        <f>IF(VLOOKUP(A62,Ergebnis_je_Aktie_verwässert!A$3:AJ$103,14,FALSE)&gt;0,IF(VLOOKUP(A62,Schlußkurse!A$5:AU$105,43,FALSE)&gt;0,VLOOKUP(A62,Schlußkurse!A$5:AU$105,43,FALSE)/VLOOKUP(A62,Ergebnis_je_Aktie_verwässert!A$3:AJ$103,14,FALSE),""),"")</f>
        <v>11.126086956521739</v>
      </c>
      <c r="L62" s="70">
        <f>IF(VLOOKUP(A62,Ergebnis_je_Aktie_verwässert!A$3:AJ$103,15,FALSE)&gt;0,IF(VLOOKUP(A62,Schlußkurse!A$5:AU$105,44,FALSE)&gt;0,VLOOKUP(A62,Schlußkurse!A$5:AU$105,44,FALSE)/VLOOKUP(A62,Ergebnis_je_Aktie_verwässert!A$3:AJ$103,15,FALSE),""),"")</f>
        <v>15.879396984924623</v>
      </c>
      <c r="M62" s="70">
        <f>IF(VLOOKUP(A62,Ergebnis_je_Aktie_verwässert!A$3:AJ$103,16,FALSE)&gt;0,IF(VLOOKUP(A62,Schlußkurse!A$5:AU$105,45,FALSE)&gt;0,VLOOKUP(A62,Schlußkurse!A$5:AU$105,45,FALSE)/VLOOKUP(A62,Ergebnis_je_Aktie_verwässert!A$3:AJ$103,16,FALSE),""),"")</f>
        <v>17.386363636363637</v>
      </c>
      <c r="N62" s="70">
        <f>IF(VLOOKUP(A62,Ergebnis_je_Aktie_verwässert!A$3:AJ$103,17,FALSE)&gt;0,IF(VLOOKUP(A62,Schlußkurse!A$5:AU$105,46,FALSE)&gt;0,VLOOKUP(A62,Schlußkurse!A$5:AU$105,46,FALSE)/VLOOKUP(A62,Ergebnis_je_Aktie_verwässert!A$3:AJ$103,17,FALSE),""),"")</f>
        <v>16.317610062893081</v>
      </c>
      <c r="O62" s="70">
        <f>IF(VLOOKUP(A62,Ergebnis_je_Aktie_verwässert!A$3:AJ$103,18,FALSE)&gt;0,IF(VLOOKUP(A62,Schlußkurse!A$5:AU$105,47,FALSE)&gt;0,VLOOKUP(A62,Schlußkurse!A$5:AU$105,47,FALSE)/VLOOKUP(A62,Ergebnis_je_Aktie_verwässert!A$3:AJ$103,18,FALSE),""),"")</f>
        <v>17.068965517241381</v>
      </c>
      <c r="P62" s="70">
        <f t="shared" si="2"/>
        <v>16.695035460992909</v>
      </c>
      <c r="Q62" s="3">
        <f ca="1">VLOOKUP(A62,Schlußkurse!A$5:AU$105,35,FALSE)/VLOOKUP(A62,Ergebnis_je_Aktie_verwässert!A$3:AK$103,23,FALSE)</f>
        <v>20.800701024152474</v>
      </c>
      <c r="R62" s="5">
        <f t="shared" ca="1" si="3"/>
        <v>0.24592134426741663</v>
      </c>
    </row>
    <row r="63" spans="1:18">
      <c r="A63" t="s">
        <v>323</v>
      </c>
      <c r="B63" s="38" t="s">
        <v>324</v>
      </c>
      <c r="C63" s="70">
        <f>IF(VLOOKUP(A63,Ergebnis_je_Aktie_verwässert!A$3:AJ$103,6,FALSE)&gt;0,IF(VLOOKUP(A63,Schlußkurse!A$5:AU$105,35,FALSE)&gt;0,VLOOKUP(A63,Schlußkurse!A$5:AU$105,35,FALSE)/VLOOKUP(A63,Ergebnis_je_Aktie_verwässert!A$3:AJ$103,6,FALSE),""),"")</f>
        <v>18.585020242914979</v>
      </c>
      <c r="D63" s="70">
        <f>IF(VLOOKUP(A63,Ergebnis_je_Aktie_verwässert!A$3:AJ$103,7,FALSE)&gt;0,IF(VLOOKUP(A63,Schlußkurse!A$5:AU$105,36,FALSE)&gt;0,VLOOKUP(A63,Schlußkurse!A$5:AU$105,36,FALSE)/VLOOKUP(A63,Ergebnis_je_Aktie_verwässert!A$3:AJ$103,7,FALSE),""),"")</f>
        <v>19.744086021505375</v>
      </c>
      <c r="E63" s="70">
        <f>IF(VLOOKUP(A63,Ergebnis_je_Aktie_verwässert!A$3:AJ$103,8,FALSE)&gt;0,IF(VLOOKUP(A63,Schlußkurse!A$5:AU$105,37,FALSE)&gt;0,VLOOKUP(A63,Schlußkurse!A$5:AU$105,37,FALSE)/VLOOKUP(A63,Ergebnis_je_Aktie_verwässert!A$3:AJ$103,8,FALSE),""),"")</f>
        <v>20.616628175519629</v>
      </c>
      <c r="F63" s="70">
        <f>IF(VLOOKUP(A63,Ergebnis_je_Aktie_verwässert!A$3:AJ$103,9,FALSE)&gt;0,IF(VLOOKUP(A63,Schlußkurse!A$5:AU$105,38,FALSE)&gt;0,VLOOKUP(A63,Schlußkurse!A$5:AU$105,38,FALSE)/VLOOKUP(A63,Ergebnis_je_Aktie_verwässert!A$3:AJ$103,9,FALSE),""),"")</f>
        <v>25.225728155339805</v>
      </c>
      <c r="G63" s="70">
        <f>IF(VLOOKUP(A63,Ergebnis_je_Aktie_verwässert!A$3:AJ$103,10,FALSE)&gt;0,IF(VLOOKUP(A63,Schlußkurse!A$5:AU$105,39,FALSE)&gt;0,VLOOKUP(A63,Schlußkurse!A$5:AU$105,39,FALSE)/VLOOKUP(A63,Ergebnis_je_Aktie_verwässert!A$3:AJ$103,10,FALSE),""),"")</f>
        <v>24.429648241206031</v>
      </c>
      <c r="H63" s="70">
        <f>IF(VLOOKUP(A63,Ergebnis_je_Aktie_verwässert!A$3:AJ$103,11,FALSE)&gt;0,IF(VLOOKUP(A63,Schlußkurse!A$5:AU$105,40,FALSE)&gt;0,VLOOKUP(A63,Schlußkurse!A$5:AU$105,40,FALSE)/VLOOKUP(A63,Ergebnis_je_Aktie_verwässert!A$3:AJ$103,11,FALSE),""),"")</f>
        <v>19.413978494623656</v>
      </c>
      <c r="I63" s="70">
        <f>IF(VLOOKUP(A63,Ergebnis_je_Aktie_verwässert!A$3:AJ$103,12,FALSE)&gt;0,IF(VLOOKUP(A63,Schlußkurse!A$5:AU$105,41,FALSE)&gt;0,VLOOKUP(A63,Schlußkurse!A$5:AU$105,41,FALSE)/VLOOKUP(A63,Ergebnis_je_Aktie_verwässert!A$3:AJ$103,12,FALSE),""),"")</f>
        <v>19.067901234567902</v>
      </c>
      <c r="J63" s="70">
        <f>IF(VLOOKUP(A63,Ergebnis_je_Aktie_verwässert!A$3:AJ$103,13,FALSE)&gt;0,IF(VLOOKUP(A63,Schlußkurse!A$5:AU$105,42,FALSE)&gt;0,VLOOKUP(A63,Schlußkurse!A$5:AU$105,42,FALSE)/VLOOKUP(A63,Ergebnis_je_Aktie_verwässert!A$3:AJ$103,13,FALSE),""),"")</f>
        <v>16.660777385159008</v>
      </c>
      <c r="K63" s="70">
        <f>IF(VLOOKUP(A63,Ergebnis_je_Aktie_verwässert!A$3:AJ$103,14,FALSE)&gt;0,IF(VLOOKUP(A63,Schlußkurse!A$5:AU$105,43,FALSE)&gt;0,VLOOKUP(A63,Schlußkurse!A$5:AU$105,43,FALSE)/VLOOKUP(A63,Ergebnis_je_Aktie_verwässert!A$3:AJ$103,14,FALSE),""),"")</f>
        <v>14.035294117647059</v>
      </c>
      <c r="L63" s="70">
        <f>IF(VLOOKUP(A63,Ergebnis_je_Aktie_verwässert!A$3:AJ$103,15,FALSE)&gt;0,IF(VLOOKUP(A63,Schlußkurse!A$5:AU$105,44,FALSE)&gt;0,VLOOKUP(A63,Schlußkurse!A$5:AU$105,44,FALSE)/VLOOKUP(A63,Ergebnis_je_Aktie_verwässert!A$3:AJ$103,15,FALSE),""),"")</f>
        <v>16.009216589861751</v>
      </c>
      <c r="M63" s="70">
        <f>IF(VLOOKUP(A63,Ergebnis_je_Aktie_verwässert!A$3:AJ$103,16,FALSE)&gt;0,IF(VLOOKUP(A63,Schlußkurse!A$5:AU$105,45,FALSE)&gt;0,VLOOKUP(A63,Schlußkurse!A$5:AU$105,45,FALSE)/VLOOKUP(A63,Ergebnis_je_Aktie_verwässert!A$3:AJ$103,16,FALSE),""),"")</f>
        <v>20.957446808510639</v>
      </c>
      <c r="N63" s="70">
        <f>IF(VLOOKUP(A63,Ergebnis_je_Aktie_verwässert!A$3:AJ$103,17,FALSE)&gt;0,IF(VLOOKUP(A63,Schlußkurse!A$5:AU$105,46,FALSE)&gt;0,VLOOKUP(A63,Schlußkurse!A$5:AU$105,46,FALSE)/VLOOKUP(A63,Ergebnis_je_Aktie_verwässert!A$3:AJ$103,17,FALSE),""),"")</f>
        <v>24.00480769230769</v>
      </c>
      <c r="O63" s="70">
        <f>IF(VLOOKUP(A63,Ergebnis_je_Aktie_verwässert!A$3:AJ$103,18,FALSE)&gt;0,IF(VLOOKUP(A63,Schlußkurse!A$5:AU$105,47,FALSE)&gt;0,VLOOKUP(A63,Schlußkurse!A$5:AU$105,47,FALSE)/VLOOKUP(A63,Ergebnis_je_Aktie_verwässert!A$3:AJ$103,18,FALSE),""),"")</f>
        <v>23.683544303797468</v>
      </c>
      <c r="P63" s="70">
        <f t="shared" si="2"/>
        <v>19.744086021505375</v>
      </c>
      <c r="Q63" s="3">
        <f ca="1">VLOOKUP(A63,Schlußkurse!A$5:AU$105,35,FALSE)/VLOOKUP(A63,Ergebnis_je_Aktie_verwässert!A$3:AK$103,23,FALSE)</f>
        <v>20.743334839584275</v>
      </c>
      <c r="R63" s="5">
        <f t="shared" ca="1" si="3"/>
        <v>5.0610031631269869E-2</v>
      </c>
    </row>
    <row r="64" spans="1:18">
      <c r="A64" t="s">
        <v>254</v>
      </c>
      <c r="B64" s="38" t="s">
        <v>255</v>
      </c>
      <c r="C64" s="70">
        <f>IF(VLOOKUP(A64,Ergebnis_je_Aktie_verwässert!A$3:AJ$103,6,FALSE)&gt;0,IF(VLOOKUP(A64,Schlußkurse!A$5:AU$105,35,FALSE)&gt;0,VLOOKUP(A64,Schlußkurse!A$5:AU$105,35,FALSE)/VLOOKUP(A64,Ergebnis_je_Aktie_verwässert!A$3:AJ$103,6,FALSE),""),"")</f>
        <v>17.923433874709978</v>
      </c>
      <c r="D64" s="70">
        <f>IF(VLOOKUP(A64,Ergebnis_je_Aktie_verwässert!A$3:AJ$103,7,FALSE)&gt;0,IF(VLOOKUP(A64,Schlußkurse!A$5:AU$105,36,FALSE)&gt;0,VLOOKUP(A64,Schlußkurse!A$5:AU$105,36,FALSE)/VLOOKUP(A64,Ergebnis_je_Aktie_verwässert!A$3:AJ$103,7,FALSE),""),"")</f>
        <v>19.807692307692307</v>
      </c>
      <c r="E64" s="70">
        <f>IF(VLOOKUP(A64,Ergebnis_je_Aktie_verwässert!A$3:AJ$103,8,FALSE)&gt;0,IF(VLOOKUP(A64,Schlußkurse!A$5:AU$105,37,FALSE)&gt;0,VLOOKUP(A64,Schlußkurse!A$5:AU$105,37,FALSE)/VLOOKUP(A64,Ergebnis_je_Aktie_verwässert!A$3:AJ$103,8,FALSE),""),"")</f>
        <v>20.53125</v>
      </c>
      <c r="F64" s="70">
        <f>IF(VLOOKUP(A64,Ergebnis_je_Aktie_verwässert!A$3:AJ$103,9,FALSE)&gt;0,IF(VLOOKUP(A64,Schlußkurse!A$5:AU$105,38,FALSE)&gt;0,VLOOKUP(A64,Schlußkurse!A$5:AU$105,38,FALSE)/VLOOKUP(A64,Ergebnis_je_Aktie_verwässert!A$3:AJ$103,9,FALSE),""),"")</f>
        <v>18.59090909090909</v>
      </c>
      <c r="G64" s="70">
        <f>IF(VLOOKUP(A64,Ergebnis_je_Aktie_verwässert!A$3:AJ$103,10,FALSE)&gt;0,IF(VLOOKUP(A64,Schlußkurse!A$5:AU$105,39,FALSE)&gt;0,VLOOKUP(A64,Schlußkurse!A$5:AU$105,39,FALSE)/VLOOKUP(A64,Ergebnis_je_Aktie_verwässert!A$3:AJ$103,10,FALSE),""),"")</f>
        <v>16.028871391076116</v>
      </c>
      <c r="H64" s="70">
        <f>IF(VLOOKUP(A64,Ergebnis_je_Aktie_verwässert!A$3:AJ$103,11,FALSE)&gt;0,IF(VLOOKUP(A64,Schlußkurse!A$5:AU$105,40,FALSE)&gt;0,VLOOKUP(A64,Schlußkurse!A$5:AU$105,40,FALSE)/VLOOKUP(A64,Ergebnis_je_Aktie_verwässert!A$3:AJ$103,11,FALSE),""),"")</f>
        <v>14.814323607427056</v>
      </c>
      <c r="I64" s="70">
        <f>IF(VLOOKUP(A64,Ergebnis_je_Aktie_verwässert!A$3:AJ$103,12,FALSE)&gt;0,IF(VLOOKUP(A64,Schlußkurse!A$5:AU$105,41,FALSE)&gt;0,VLOOKUP(A64,Schlußkurse!A$5:AU$105,41,FALSE)/VLOOKUP(A64,Ergebnis_je_Aktie_verwässert!A$3:AJ$103,12,FALSE),""),"")</f>
        <v>14.008310249307479</v>
      </c>
      <c r="J64" s="70">
        <f>IF(VLOOKUP(A64,Ergebnis_je_Aktie_verwässert!A$3:AJ$103,13,FALSE)&gt;0,IF(VLOOKUP(A64,Schlußkurse!A$5:AU$105,42,FALSE)&gt;0,VLOOKUP(A64,Schlußkurse!A$5:AU$105,42,FALSE)/VLOOKUP(A64,Ergebnis_je_Aktie_verwässert!A$3:AJ$103,13,FALSE),""),"")</f>
        <v>15.112426035502958</v>
      </c>
      <c r="K64" s="70">
        <f>IF(VLOOKUP(A64,Ergebnis_je_Aktie_verwässert!A$3:AJ$103,14,FALSE)&gt;0,IF(VLOOKUP(A64,Schlußkurse!A$5:AU$105,43,FALSE)&gt;0,VLOOKUP(A64,Schlußkurse!A$5:AU$105,43,FALSE)/VLOOKUP(A64,Ergebnis_je_Aktie_verwässert!A$3:AJ$103,14,FALSE),""),"")</f>
        <v>16.121212121212125</v>
      </c>
      <c r="L64" s="70">
        <f>IF(VLOOKUP(A64,Ergebnis_je_Aktie_verwässert!A$3:AJ$103,15,FALSE)&gt;0,IF(VLOOKUP(A64,Schlußkurse!A$5:AU$105,44,FALSE)&gt;0,VLOOKUP(A64,Schlußkurse!A$5:AU$105,44,FALSE)/VLOOKUP(A64,Ergebnis_je_Aktie_verwässert!A$3:AJ$103,15,FALSE),""),"")</f>
        <v>13.876582278481013</v>
      </c>
      <c r="M64" s="70">
        <f>IF(VLOOKUP(A64,Ergebnis_je_Aktie_verwässert!A$3:AJ$103,16,FALSE)&gt;0,IF(VLOOKUP(A64,Schlußkurse!A$5:AU$105,45,FALSE)&gt;0,VLOOKUP(A64,Schlußkurse!A$5:AU$105,45,FALSE)/VLOOKUP(A64,Ergebnis_je_Aktie_verwässert!A$3:AJ$103,16,FALSE),""),"")</f>
        <v>17.535117056856187</v>
      </c>
      <c r="N64" s="70">
        <f>IF(VLOOKUP(A64,Ergebnis_je_Aktie_verwässert!A$3:AJ$103,17,FALSE)&gt;0,IF(VLOOKUP(A64,Schlußkurse!A$5:AU$105,46,FALSE)&gt;0,VLOOKUP(A64,Schlußkurse!A$5:AU$105,46,FALSE)/VLOOKUP(A64,Ergebnis_je_Aktie_verwässert!A$3:AJ$103,17,FALSE),""),"")</f>
        <v>18.166666666666668</v>
      </c>
      <c r="O64" s="70">
        <f>IF(VLOOKUP(A64,Ergebnis_je_Aktie_verwässert!A$3:AJ$103,18,FALSE)&gt;0,IF(VLOOKUP(A64,Schlußkurse!A$5:AU$105,47,FALSE)&gt;0,VLOOKUP(A64,Schlußkurse!A$5:AU$105,47,FALSE)/VLOOKUP(A64,Ergebnis_je_Aktie_verwässert!A$3:AJ$103,18,FALSE),""),"")</f>
        <v>17.438247011952193</v>
      </c>
      <c r="P64" s="70">
        <f t="shared" si="2"/>
        <v>17.438247011952193</v>
      </c>
      <c r="Q64" s="3">
        <f ca="1">VLOOKUP(A64,Schlußkurse!A$5:AU$105,35,FALSE)/VLOOKUP(A64,Ergebnis_je_Aktie_verwässert!A$3:AK$103,23,FALSE)</f>
        <v>21.257567418822234</v>
      </c>
      <c r="R64" s="5">
        <f t="shared" ca="1" si="3"/>
        <v>0.21901974460232587</v>
      </c>
    </row>
    <row r="65" spans="1:18">
      <c r="A65" t="s">
        <v>94</v>
      </c>
      <c r="B65" s="38" t="s">
        <v>95</v>
      </c>
      <c r="C65" s="70">
        <f>IF(VLOOKUP(A65,Ergebnis_je_Aktie_verwässert!A$3:AJ$103,6,FALSE)&gt;0,IF(VLOOKUP(A65,Schlußkurse!A$5:AU$105,35,FALSE)&gt;0,VLOOKUP(A65,Schlußkurse!A$5:AU$105,35,FALSE)/VLOOKUP(A65,Ergebnis_je_Aktie_verwässert!A$3:AJ$103,6,FALSE),""),"")</f>
        <v>19.78273381294964</v>
      </c>
      <c r="D65" s="70">
        <f>IF(VLOOKUP(A65,Ergebnis_je_Aktie_verwässert!A$3:AJ$103,7,FALSE)&gt;0,IF(VLOOKUP(A65,Schlußkurse!A$5:AU$105,36,FALSE)&gt;0,VLOOKUP(A65,Schlußkurse!A$5:AU$105,36,FALSE)/VLOOKUP(A65,Ergebnis_je_Aktie_verwässert!A$3:AJ$103,7,FALSE),""),"")</f>
        <v>21.022935779816514</v>
      </c>
      <c r="E65" s="70">
        <f>IF(VLOOKUP(A65,Ergebnis_je_Aktie_verwässert!A$3:AJ$103,8,FALSE)&gt;0,IF(VLOOKUP(A65,Schlußkurse!A$5:AU$105,37,FALSE)&gt;0,VLOOKUP(A65,Schlußkurse!A$5:AU$105,37,FALSE)/VLOOKUP(A65,Ergebnis_je_Aktie_verwässert!A$3:AJ$103,8,FALSE),""),"")</f>
        <v>20.971993410214168</v>
      </c>
      <c r="F65" s="70">
        <f>IF(VLOOKUP(A65,Ergebnis_je_Aktie_verwässert!A$3:AJ$103,9,FALSE)&gt;0,IF(VLOOKUP(A65,Schlußkurse!A$5:AU$105,38,FALSE)&gt;0,VLOOKUP(A65,Schlußkurse!A$5:AU$105,38,FALSE)/VLOOKUP(A65,Ergebnis_je_Aktie_verwässert!A$3:AJ$103,9,FALSE),""),"")</f>
        <v>20.059027777777779</v>
      </c>
      <c r="G65" s="70">
        <f>IF(VLOOKUP(A65,Ergebnis_je_Aktie_verwässert!A$3:AJ$103,10,FALSE)&gt;0,IF(VLOOKUP(A65,Schlußkurse!A$5:AU$105,39,FALSE)&gt;0,VLOOKUP(A65,Schlußkurse!A$5:AU$105,39,FALSE)/VLOOKUP(A65,Ergebnis_je_Aktie_verwässert!A$3:AJ$103,10,FALSE),""),"")</f>
        <v>18.097713097713097</v>
      </c>
      <c r="H65" s="70">
        <f>IF(VLOOKUP(A65,Ergebnis_je_Aktie_verwässert!A$3:AJ$103,11,FALSE)&gt;0,IF(VLOOKUP(A65,Schlußkurse!A$5:AU$105,40,FALSE)&gt;0,VLOOKUP(A65,Schlußkurse!A$5:AU$105,40,FALSE)/VLOOKUP(A65,Ergebnis_je_Aktie_verwässert!A$3:AJ$103,11,FALSE),""),"")</f>
        <v>15.234572356549984</v>
      </c>
      <c r="I65" s="70">
        <f>IF(VLOOKUP(A65,Ergebnis_je_Aktie_verwässert!A$3:AJ$103,12,FALSE)&gt;0,IF(VLOOKUP(A65,Schlußkurse!A$5:AU$105,41,FALSE)&gt;0,VLOOKUP(A65,Schlußkurse!A$5:AU$105,41,FALSE)/VLOOKUP(A65,Ergebnis_je_Aktie_verwässert!A$3:AJ$103,12,FALSE),""),"")</f>
        <v>14.58944863149544</v>
      </c>
      <c r="J65" s="70">
        <f>IF(VLOOKUP(A65,Ergebnis_je_Aktie_verwässert!A$3:AJ$103,13,FALSE)&gt;0,IF(VLOOKUP(A65,Schlußkurse!A$5:AU$105,42,FALSE)&gt;0,VLOOKUP(A65,Schlußkurse!A$5:AU$105,42,FALSE)/VLOOKUP(A65,Ergebnis_je_Aktie_verwässert!A$3:AJ$103,13,FALSE),""),"")</f>
        <v>13.67462039045553</v>
      </c>
      <c r="K65" s="70">
        <f>IF(VLOOKUP(A65,Ergebnis_je_Aktie_verwässert!A$3:AJ$103,14,FALSE)&gt;0,IF(VLOOKUP(A65,Schlußkurse!A$5:AU$105,43,FALSE)&gt;0,VLOOKUP(A65,Schlußkurse!A$5:AU$105,43,FALSE)/VLOOKUP(A65,Ergebnis_je_Aktie_verwässert!A$3:AJ$103,14,FALSE),""),"")</f>
        <v>14.173526140155728</v>
      </c>
      <c r="L65" s="70">
        <f>IF(VLOOKUP(A65,Ergebnis_je_Aktie_verwässert!A$3:AJ$103,15,FALSE)&gt;0,IF(VLOOKUP(A65,Schlußkurse!A$5:AU$105,44,FALSE)&gt;0,VLOOKUP(A65,Schlußkurse!A$5:AU$105,44,FALSE)/VLOOKUP(A65,Ergebnis_je_Aktie_verwässert!A$3:AJ$103,15,FALSE),""),"")</f>
        <v>12.149274360746372</v>
      </c>
      <c r="M65" s="70">
        <f>IF(VLOOKUP(A65,Ergebnis_je_Aktie_verwässert!A$3:AJ$103,16,FALSE)&gt;0,IF(VLOOKUP(A65,Schlußkurse!A$5:AU$105,45,FALSE)&gt;0,VLOOKUP(A65,Schlußkurse!A$5:AU$105,45,FALSE)/VLOOKUP(A65,Ergebnis_je_Aktie_verwässert!A$3:AJ$103,16,FALSE),""),"")</f>
        <v>17.483610690872414</v>
      </c>
      <c r="N65" s="70">
        <f>IF(VLOOKUP(A65,Ergebnis_je_Aktie_verwässert!A$3:AJ$103,17,FALSE)&gt;0,IF(VLOOKUP(A65,Schlußkurse!A$5:AU$105,46,FALSE)&gt;0,VLOOKUP(A65,Schlußkurse!A$5:AU$105,46,FALSE)/VLOOKUP(A65,Ergebnis_je_Aktie_verwässert!A$3:AJ$103,17,FALSE),""),"")</f>
        <v>16.646251837334642</v>
      </c>
      <c r="O65" s="70">
        <f>IF(VLOOKUP(A65,Ergebnis_je_Aktie_verwässert!A$3:AJ$103,18,FALSE)&gt;0,IF(VLOOKUP(A65,Schlußkurse!A$5:AU$105,47,FALSE)&gt;0,VLOOKUP(A65,Schlußkurse!A$5:AU$105,47,FALSE)/VLOOKUP(A65,Ergebnis_je_Aktie_verwässert!A$3:AJ$103,18,FALSE),""),"")</f>
        <v>16.190603310197545</v>
      </c>
      <c r="P65" s="70">
        <f t="shared" si="2"/>
        <v>16.646251837334642</v>
      </c>
      <c r="Q65" s="3">
        <f ca="1">VLOOKUP(A65,Schlußkurse!A$5:AU$105,35,FALSE)/VLOOKUP(A65,Ergebnis_je_Aktie_verwässert!A$3:AK$103,23,FALSE)</f>
        <v>22.136531959426822</v>
      </c>
      <c r="R65" s="5">
        <f t="shared" ca="1" si="3"/>
        <v>0.32982080144783343</v>
      </c>
    </row>
    <row r="66" spans="1:18">
      <c r="A66" t="s">
        <v>256</v>
      </c>
      <c r="B66" s="38" t="s">
        <v>257</v>
      </c>
      <c r="C66" s="70">
        <f>IF(VLOOKUP(A66,Ergebnis_je_Aktie_verwässert!A$3:AJ$103,6,FALSE)&gt;0,IF(VLOOKUP(A66,Schlußkurse!A$5:AU$105,35,FALSE)&gt;0,VLOOKUP(A66,Schlußkurse!A$5:AU$105,35,FALSE)/VLOOKUP(A66,Ergebnis_je_Aktie_verwässert!A$3:AJ$103,6,FALSE),""),"")</f>
        <v>18.646123260437378</v>
      </c>
      <c r="D66" s="70">
        <f>IF(VLOOKUP(A66,Ergebnis_je_Aktie_verwässert!A$3:AJ$103,7,FALSE)&gt;0,IF(VLOOKUP(A66,Schlußkurse!A$5:AU$105,36,FALSE)&gt;0,VLOOKUP(A66,Schlußkurse!A$5:AU$105,36,FALSE)/VLOOKUP(A66,Ergebnis_je_Aktie_verwässert!A$3:AJ$103,7,FALSE),""),"")</f>
        <v>22.545673076923077</v>
      </c>
      <c r="E66" s="70">
        <f>IF(VLOOKUP(A66,Ergebnis_je_Aktie_verwässert!A$3:AJ$103,8,FALSE)&gt;0,IF(VLOOKUP(A66,Schlußkurse!A$5:AU$105,37,FALSE)&gt;0,VLOOKUP(A66,Schlußkurse!A$5:AU$105,37,FALSE)/VLOOKUP(A66,Ergebnis_je_Aktie_verwässert!A$3:AJ$103,8,FALSE),""),"")</f>
        <v>27.502824858757062</v>
      </c>
      <c r="F66" s="70">
        <f>IF(VLOOKUP(A66,Ergebnis_je_Aktie_verwässert!A$3:AJ$103,9,FALSE)&gt;0,IF(VLOOKUP(A66,Schlußkurse!A$5:AU$105,38,FALSE)&gt;0,VLOOKUP(A66,Schlußkurse!A$5:AU$105,38,FALSE)/VLOOKUP(A66,Ergebnis_je_Aktie_verwässert!A$3:AJ$103,9,FALSE),""),"")</f>
        <v>25.119533527696792</v>
      </c>
      <c r="G66" s="70">
        <f>IF(VLOOKUP(A66,Ergebnis_je_Aktie_verwässert!A$3:AJ$103,10,FALSE)&gt;0,IF(VLOOKUP(A66,Schlußkurse!A$5:AU$105,39,FALSE)&gt;0,VLOOKUP(A66,Schlußkurse!A$5:AU$105,39,FALSE)/VLOOKUP(A66,Ergebnis_je_Aktie_verwässert!A$3:AJ$103,10,FALSE),""),"")</f>
        <v>26.950322580645164</v>
      </c>
      <c r="H66" s="70">
        <f>IF(VLOOKUP(A66,Ergebnis_je_Aktie_verwässert!A$3:AJ$103,11,FALSE)&gt;0,IF(VLOOKUP(A66,Schlußkurse!A$5:AU$105,40,FALSE)&gt;0,VLOOKUP(A66,Schlußkurse!A$5:AU$105,40,FALSE)/VLOOKUP(A66,Ergebnis_je_Aktie_verwässert!A$3:AJ$103,11,FALSE),""),"")</f>
        <v>18.822988505747126</v>
      </c>
      <c r="I66" s="70">
        <f>IF(VLOOKUP(A66,Ergebnis_je_Aktie_verwässert!A$3:AJ$103,12,FALSE)&gt;0,IF(VLOOKUP(A66,Schlußkurse!A$5:AU$105,41,FALSE)&gt;0,VLOOKUP(A66,Schlußkurse!A$5:AU$105,41,FALSE)/VLOOKUP(A66,Ergebnis_je_Aktie_verwässert!A$3:AJ$103,12,FALSE),""),"")</f>
        <v>16.915607985480939</v>
      </c>
      <c r="J66" s="70">
        <f>IF(VLOOKUP(A66,Ergebnis_je_Aktie_verwässert!A$3:AJ$103,13,FALSE)&gt;0,IF(VLOOKUP(A66,Schlußkurse!A$5:AU$105,42,FALSE)&gt;0,VLOOKUP(A66,Schlußkurse!A$5:AU$105,42,FALSE)/VLOOKUP(A66,Ergebnis_je_Aktie_verwässert!A$3:AJ$103,13,FALSE),""),"")</f>
        <v>11.984491978609626</v>
      </c>
      <c r="K66" s="70">
        <f>IF(VLOOKUP(A66,Ergebnis_je_Aktie_verwässert!A$3:AJ$103,14,FALSE)&gt;0,IF(VLOOKUP(A66,Schlußkurse!A$5:AU$105,43,FALSE)&gt;0,VLOOKUP(A66,Schlußkurse!A$5:AU$105,43,FALSE)/VLOOKUP(A66,Ergebnis_je_Aktie_verwässert!A$3:AJ$103,14,FALSE),""),"")</f>
        <v>18.219217081850534</v>
      </c>
      <c r="L66" s="70">
        <f>IF(VLOOKUP(A66,Ergebnis_je_Aktie_verwässert!A$3:AJ$103,15,FALSE)&gt;0,IF(VLOOKUP(A66,Schlußkurse!A$5:AU$105,44,FALSE)&gt;0,VLOOKUP(A66,Schlußkurse!A$5:AU$105,44,FALSE)/VLOOKUP(A66,Ergebnis_je_Aktie_verwässert!A$3:AJ$103,15,FALSE),""),"")</f>
        <v>12.773011617515639</v>
      </c>
      <c r="M66" s="70">
        <f>IF(VLOOKUP(A66,Ergebnis_je_Aktie_verwässert!A$3:AJ$103,16,FALSE)&gt;0,IF(VLOOKUP(A66,Schlußkurse!A$5:AU$105,45,FALSE)&gt;0,VLOOKUP(A66,Schlußkurse!A$5:AU$105,45,FALSE)/VLOOKUP(A66,Ergebnis_je_Aktie_verwässert!A$3:AJ$103,16,FALSE),""),"")</f>
        <v>22.869287991498407</v>
      </c>
      <c r="N66" s="70" t="str">
        <f>IF(VLOOKUP(A66,Ergebnis_je_Aktie_verwässert!A$3:AJ$103,17,FALSE)&gt;0,IF(VLOOKUP(A66,Schlußkurse!A$5:AU$105,46,FALSE)&gt;0,VLOOKUP(A66,Schlußkurse!A$5:AU$105,46,FALSE)/VLOOKUP(A66,Ergebnis_je_Aktie_verwässert!A$3:AJ$103,17,FALSE),""),"")</f>
        <v/>
      </c>
      <c r="O66" s="70" t="str">
        <f>IF(VLOOKUP(A66,Ergebnis_je_Aktie_verwässert!A$3:AJ$103,18,FALSE)&gt;0,IF(VLOOKUP(A66,Schlußkurse!A$5:AU$105,47,FALSE)&gt;0,VLOOKUP(A66,Schlußkurse!A$5:AU$105,47,FALSE)/VLOOKUP(A66,Ergebnis_je_Aktie_verwässert!A$3:AJ$103,18,FALSE),""),"")</f>
        <v/>
      </c>
      <c r="P66" s="70">
        <f t="shared" si="2"/>
        <v>18.822988505747126</v>
      </c>
      <c r="Q66" s="3">
        <f ca="1">VLOOKUP(A66,Schlußkurse!A$5:AU$105,35,FALSE)/VLOOKUP(A66,Ergebnis_je_Aktie_verwässert!A$3:AK$103,23,FALSE)</f>
        <v>25.171765968867419</v>
      </c>
      <c r="R66" s="5">
        <f t="shared" ca="1" si="3"/>
        <v>0.33728849492639568</v>
      </c>
    </row>
    <row r="67" spans="1:18">
      <c r="A67" t="s">
        <v>258</v>
      </c>
      <c r="B67" s="38" t="s">
        <v>259</v>
      </c>
      <c r="C67" s="70">
        <f>IF(VLOOKUP(A67,Ergebnis_je_Aktie_verwässert!A$3:AJ$103,6,FALSE)&gt;0,IF(VLOOKUP(A67,Schlußkurse!A$5:AU$105,35,FALSE)&gt;0,VLOOKUP(A67,Schlußkurse!A$5:AU$105,35,FALSE)/VLOOKUP(A67,Ergebnis_je_Aktie_verwässert!A$3:AJ$103,6,FALSE),""),"")</f>
        <v>15.321839080459771</v>
      </c>
      <c r="D67" s="70">
        <f>IF(VLOOKUP(A67,Ergebnis_je_Aktie_verwässert!A$3:AJ$103,7,FALSE)&gt;0,IF(VLOOKUP(A67,Schlußkurse!A$5:AU$105,36,FALSE)&gt;0,VLOOKUP(A67,Schlußkurse!A$5:AU$105,36,FALSE)/VLOOKUP(A67,Ergebnis_je_Aktie_verwässert!A$3:AJ$103,7,FALSE),""),"")</f>
        <v>17.279629629629628</v>
      </c>
      <c r="E67" s="70">
        <f>IF(VLOOKUP(A67,Ergebnis_je_Aktie_verwässert!A$3:AJ$103,8,FALSE)&gt;0,IF(VLOOKUP(A67,Schlußkurse!A$5:AU$105,37,FALSE)&gt;0,VLOOKUP(A67,Schlußkurse!A$5:AU$105,37,FALSE)/VLOOKUP(A67,Ergebnis_je_Aktie_verwässert!A$3:AJ$103,8,FALSE),""),"")</f>
        <v>21.079831932773111</v>
      </c>
      <c r="F67" s="70">
        <f>IF(VLOOKUP(A67,Ergebnis_je_Aktie_verwässert!A$3:AJ$103,9,FALSE)&gt;0,IF(VLOOKUP(A67,Schlußkurse!A$5:AU$105,38,FALSE)&gt;0,VLOOKUP(A67,Schlußkurse!A$5:AU$105,38,FALSE)/VLOOKUP(A67,Ergebnis_je_Aktie_verwässert!A$3:AJ$103,9,FALSE),""),"")</f>
        <v>20.82826086956522</v>
      </c>
      <c r="G67" s="70">
        <f>IF(VLOOKUP(A67,Ergebnis_je_Aktie_verwässert!A$3:AJ$103,10,FALSE)&gt;0,IF(VLOOKUP(A67,Schlußkurse!A$5:AU$105,39,FALSE)&gt;0,VLOOKUP(A67,Schlußkurse!A$5:AU$105,39,FALSE)/VLOOKUP(A67,Ergebnis_je_Aktie_verwässert!A$3:AJ$103,10,FALSE),""),"")</f>
        <v>18.63895486935867</v>
      </c>
      <c r="H67" s="70">
        <f>IF(VLOOKUP(A67,Ergebnis_je_Aktie_verwässert!A$3:AJ$103,11,FALSE)&gt;0,IF(VLOOKUP(A67,Schlußkurse!A$5:AU$105,40,FALSE)&gt;0,VLOOKUP(A67,Schlußkurse!A$5:AU$105,40,FALSE)/VLOOKUP(A67,Ergebnis_je_Aktie_verwässert!A$3:AJ$103,11,FALSE),""),"")</f>
        <v>13.786301369863015</v>
      </c>
      <c r="I67" s="70">
        <f>IF(VLOOKUP(A67,Ergebnis_je_Aktie_verwässert!A$3:AJ$103,12,FALSE)&gt;0,IF(VLOOKUP(A67,Schlußkurse!A$5:AU$105,41,FALSE)&gt;0,VLOOKUP(A67,Schlußkurse!A$5:AU$105,41,FALSE)/VLOOKUP(A67,Ergebnis_je_Aktie_verwässert!A$3:AJ$103,12,FALSE),""),"")</f>
        <v>11.264214046822742</v>
      </c>
      <c r="J67" s="70">
        <f>IF(VLOOKUP(A67,Ergebnis_je_Aktie_verwässert!A$3:AJ$103,13,FALSE)&gt;0,IF(VLOOKUP(A67,Schlußkurse!A$5:AU$105,42,FALSE)&gt;0,VLOOKUP(A67,Schlußkurse!A$5:AU$105,42,FALSE)/VLOOKUP(A67,Ergebnis_je_Aktie_verwässert!A$3:AJ$103,13,FALSE),""),"")</f>
        <v>10.788617886178862</v>
      </c>
      <c r="K67" s="70">
        <f>IF(VLOOKUP(A67,Ergebnis_je_Aktie_verwässert!A$3:AJ$103,14,FALSE)&gt;0,IF(VLOOKUP(A67,Schlußkurse!A$5:AU$105,43,FALSE)&gt;0,VLOOKUP(A67,Schlußkurse!A$5:AU$105,43,FALSE)/VLOOKUP(A67,Ergebnis_je_Aktie_verwässert!A$3:AJ$103,14,FALSE),""),"")</f>
        <v>12.582159624413146</v>
      </c>
      <c r="L67" s="70">
        <f>IF(VLOOKUP(A67,Ergebnis_je_Aktie_verwässert!A$3:AJ$103,15,FALSE)&gt;0,IF(VLOOKUP(A67,Schlußkurse!A$5:AU$105,44,FALSE)&gt;0,VLOOKUP(A67,Schlußkurse!A$5:AU$105,44,FALSE)/VLOOKUP(A67,Ergebnis_je_Aktie_verwässert!A$3:AJ$103,15,FALSE),""),"")</f>
        <v>11.81764705882353</v>
      </c>
      <c r="M67" s="70">
        <f>IF(VLOOKUP(A67,Ergebnis_je_Aktie_verwässert!A$3:AJ$103,16,FALSE)&gt;0,IF(VLOOKUP(A67,Schlußkurse!A$5:AU$105,45,FALSE)&gt;0,VLOOKUP(A67,Schlußkurse!A$5:AU$105,45,FALSE)/VLOOKUP(A67,Ergebnis_je_Aktie_verwässert!A$3:AJ$103,16,FALSE),""),"")</f>
        <v>19.615384615384617</v>
      </c>
      <c r="N67" s="70">
        <f>IF(VLOOKUP(A67,Ergebnis_je_Aktie_verwässert!A$3:AJ$103,17,FALSE)&gt;0,IF(VLOOKUP(A67,Schlußkurse!A$5:AU$105,46,FALSE)&gt;0,VLOOKUP(A67,Schlußkurse!A$5:AU$105,46,FALSE)/VLOOKUP(A67,Ergebnis_je_Aktie_verwässert!A$3:AJ$103,17,FALSE),""),"")</f>
        <v>27.624000000000002</v>
      </c>
      <c r="O67" s="70">
        <f>IF(VLOOKUP(A67,Ergebnis_je_Aktie_verwässert!A$3:AJ$103,18,FALSE)&gt;0,IF(VLOOKUP(A67,Schlußkurse!A$5:AU$105,47,FALSE)&gt;0,VLOOKUP(A67,Schlußkurse!A$5:AU$105,47,FALSE)/VLOOKUP(A67,Ergebnis_je_Aktie_verwässert!A$3:AJ$103,18,FALSE),""),"")</f>
        <v>27.493333333333332</v>
      </c>
      <c r="P67" s="70">
        <f t="shared" si="2"/>
        <v>17.279629629629628</v>
      </c>
      <c r="Q67" s="3">
        <f ca="1">VLOOKUP(A67,Schlußkurse!A$5:AU$105,35,FALSE)/VLOOKUP(A67,Ergebnis_je_Aktie_verwässert!A$3:AK$103,23,FALSE)</f>
        <v>18.842891760904685</v>
      </c>
      <c r="R67" s="5">
        <f t="shared" ca="1" si="3"/>
        <v>9.0468497576736695E-2</v>
      </c>
    </row>
    <row r="68" spans="1:18">
      <c r="A68" t="s">
        <v>269</v>
      </c>
      <c r="B68" s="38" t="s">
        <v>271</v>
      </c>
      <c r="C68" s="70">
        <f>IF(VLOOKUP(A68,Ergebnis_je_Aktie_verwässert!A$3:AJ$103,6,FALSE)&gt;0,IF(VLOOKUP(A68,Schlußkurse!A$5:AU$105,35,FALSE)&gt;0,VLOOKUP(A68,Schlußkurse!A$5:AU$105,35,FALSE)/VLOOKUP(A68,Ergebnis_je_Aktie_verwässert!A$3:AJ$103,6,FALSE),""),"")</f>
        <v>13.413020277481325</v>
      </c>
      <c r="D68" s="70">
        <f>IF(VLOOKUP(A68,Ergebnis_je_Aktie_verwässert!A$3:AJ$103,7,FALSE)&gt;0,IF(VLOOKUP(A68,Schlußkurse!A$5:AU$105,36,FALSE)&gt;0,VLOOKUP(A68,Schlußkurse!A$5:AU$105,36,FALSE)/VLOOKUP(A68,Ergebnis_je_Aktie_verwässert!A$3:AJ$103,7,FALSE),""),"")</f>
        <v>15.197097944377269</v>
      </c>
      <c r="E68" s="70">
        <f>IF(VLOOKUP(A68,Ergebnis_je_Aktie_verwässert!A$3:AJ$103,8,FALSE)&gt;0,IF(VLOOKUP(A68,Schlußkurse!A$5:AU$105,37,FALSE)&gt;0,VLOOKUP(A68,Schlußkurse!A$5:AU$105,37,FALSE)/VLOOKUP(A68,Ergebnis_je_Aktie_verwässert!A$3:AJ$103,8,FALSE),""),"")</f>
        <v>16.316227461858531</v>
      </c>
      <c r="F68" s="70">
        <f>IF(VLOOKUP(A68,Ergebnis_je_Aktie_verwässert!A$3:AJ$103,9,FALSE)&gt;0,IF(VLOOKUP(A68,Schlußkurse!A$5:AU$105,38,FALSE)&gt;0,VLOOKUP(A68,Schlußkurse!A$5:AU$105,38,FALSE)/VLOOKUP(A68,Ergebnis_je_Aktie_verwässert!A$3:AJ$103,9,FALSE),""),"")</f>
        <v>16.820299500831947</v>
      </c>
      <c r="G68" s="70">
        <f>IF(VLOOKUP(A68,Ergebnis_je_Aktie_verwässert!A$3:AJ$103,10,FALSE)&gt;0,IF(VLOOKUP(A68,Schlußkurse!A$5:AU$105,39,FALSE)&gt;0,VLOOKUP(A68,Schlußkurse!A$5:AU$105,39,FALSE)/VLOOKUP(A68,Ergebnis_je_Aktie_verwässert!A$3:AJ$103,10,FALSE),""),"")</f>
        <v>13.210526315789473</v>
      </c>
      <c r="H68" s="70">
        <f>IF(VLOOKUP(A68,Ergebnis_je_Aktie_verwässert!A$3:AJ$103,11,FALSE)&gt;0,IF(VLOOKUP(A68,Schlußkurse!A$5:AU$105,40,FALSE)&gt;0,VLOOKUP(A68,Schlußkurse!A$5:AU$105,40,FALSE)/VLOOKUP(A68,Ergebnis_je_Aktie_verwässert!A$3:AJ$103,11,FALSE),""),"")</f>
        <v>9.8618181818181814</v>
      </c>
      <c r="I68" s="70">
        <f>IF(VLOOKUP(A68,Ergebnis_je_Aktie_verwässert!A$3:AJ$103,12,FALSE)&gt;0,IF(VLOOKUP(A68,Schlußkurse!A$5:AU$105,41,FALSE)&gt;0,VLOOKUP(A68,Schlußkurse!A$5:AU$105,41,FALSE)/VLOOKUP(A68,Ergebnis_je_Aktie_verwässert!A$3:AJ$103,12,FALSE),""),"")</f>
        <v>9.5984848484848477</v>
      </c>
      <c r="J68" s="70">
        <f>IF(VLOOKUP(A68,Ergebnis_je_Aktie_verwässert!A$3:AJ$103,13,FALSE)&gt;0,IF(VLOOKUP(A68,Schlußkurse!A$5:AU$105,42,FALSE)&gt;0,VLOOKUP(A68,Schlußkurse!A$5:AU$105,42,FALSE)/VLOOKUP(A68,Ergebnis_je_Aktie_verwässert!A$3:AJ$103,13,FALSE),""),"")</f>
        <v>7.634249471458773</v>
      </c>
      <c r="K68" s="70">
        <f>IF(VLOOKUP(A68,Ergebnis_je_Aktie_verwässert!A$3:AJ$103,14,FALSE)&gt;0,IF(VLOOKUP(A68,Schlußkurse!A$5:AU$105,43,FALSE)&gt;0,VLOOKUP(A68,Schlußkurse!A$5:AU$105,43,FALSE)/VLOOKUP(A68,Ergebnis_je_Aktie_verwässert!A$3:AJ$103,14,FALSE),""),"")</f>
        <v>7.434146341463415</v>
      </c>
      <c r="L68" s="70">
        <f>IF(VLOOKUP(A68,Ergebnis_je_Aktie_verwässert!A$3:AJ$103,15,FALSE)&gt;0,IF(VLOOKUP(A68,Schlußkurse!A$5:AU$105,44,FALSE)&gt;0,VLOOKUP(A68,Schlußkurse!A$5:AU$105,44,FALSE)/VLOOKUP(A68,Ergebnis_je_Aktie_verwässert!A$3:AJ$103,15,FALSE),""),"")</f>
        <v>8.2098765432098766</v>
      </c>
      <c r="M68" s="70">
        <f>IF(VLOOKUP(A68,Ergebnis_je_Aktie_verwässert!A$3:AJ$103,16,FALSE)&gt;0,IF(VLOOKUP(A68,Schlußkurse!A$5:AU$105,45,FALSE)&gt;0,VLOOKUP(A68,Schlußkurse!A$5:AU$105,45,FALSE)/VLOOKUP(A68,Ergebnis_je_Aktie_verwässert!A$3:AJ$103,16,FALSE),""),"")</f>
        <v>19.728813559322035</v>
      </c>
      <c r="N68" s="70">
        <f>IF(VLOOKUP(A68,Ergebnis_je_Aktie_verwässert!A$3:AJ$103,17,FALSE)&gt;0,IF(VLOOKUP(A68,Schlußkurse!A$5:AU$105,46,FALSE)&gt;0,VLOOKUP(A68,Schlußkurse!A$5:AU$105,46,FALSE)/VLOOKUP(A68,Ergebnis_je_Aktie_verwässert!A$3:AJ$103,17,FALSE),""),"")</f>
        <v>15.37142857142857</v>
      </c>
      <c r="O68" s="70">
        <f>IF(VLOOKUP(A68,Ergebnis_je_Aktie_verwässert!A$3:AJ$103,18,FALSE)&gt;0,IF(VLOOKUP(A68,Schlußkurse!A$5:AU$105,47,FALSE)&gt;0,VLOOKUP(A68,Schlußkurse!A$5:AU$105,47,FALSE)/VLOOKUP(A68,Ergebnis_je_Aktie_verwässert!A$3:AJ$103,18,FALSE),""),"")</f>
        <v>20.915824915824913</v>
      </c>
      <c r="P68" s="70">
        <f t="shared" ref="P68:P99" si="4">MEDIAN(C68:O68)</f>
        <v>13.413020277481325</v>
      </c>
      <c r="Q68" s="3">
        <f ca="1">VLOOKUP(A68,Schlußkurse!A$5:AU$105,35,FALSE)/VLOOKUP(A68,Ergebnis_je_Aktie_verwässert!A$3:AK$103,23,FALSE)</f>
        <v>16.695005313496281</v>
      </c>
      <c r="R68" s="5">
        <f t="shared" ref="R68:R99" ca="1" si="5">(Q68/P68)-1</f>
        <v>0.24468650371944745</v>
      </c>
    </row>
    <row r="69" spans="1:18">
      <c r="B69" s="38"/>
      <c r="C69" s="70" t="e">
        <f>IF(VLOOKUP(A69,Ergebnis_je_Aktie_verwässert!A$3:AJ$103,6,FALSE)&gt;0,IF(VLOOKUP(A69,Schlußkurse!A$5:AU$105,35,FALSE)&gt;0,VLOOKUP(A69,Schlußkurse!A$5:AU$105,35,FALSE)/VLOOKUP(A69,Ergebnis_je_Aktie_verwässert!A$3:AJ$103,6,FALSE),""),"")</f>
        <v>#N/A</v>
      </c>
      <c r="D69" s="70" t="e">
        <f>IF(VLOOKUP(A69,Ergebnis_je_Aktie_verwässert!A$3:AJ$103,7,FALSE)&gt;0,IF(VLOOKUP(A69,Schlußkurse!A$5:AU$105,36,FALSE)&gt;0,VLOOKUP(A69,Schlußkurse!A$5:AU$105,36,FALSE)/VLOOKUP(A69,Ergebnis_je_Aktie_verwässert!A$3:AJ$103,7,FALSE),""),"")</f>
        <v>#N/A</v>
      </c>
      <c r="E69" s="70" t="e">
        <f>IF(VLOOKUP(A69,Ergebnis_je_Aktie_verwässert!A$3:AJ$103,8,FALSE)&gt;0,IF(VLOOKUP(A69,Schlußkurse!A$5:AU$105,37,FALSE)&gt;0,VLOOKUP(A69,Schlußkurse!A$5:AU$105,37,FALSE)/VLOOKUP(A69,Ergebnis_je_Aktie_verwässert!A$3:AJ$103,8,FALSE),""),"")</f>
        <v>#N/A</v>
      </c>
      <c r="F69" s="70" t="e">
        <f>IF(VLOOKUP(A69,Ergebnis_je_Aktie_verwässert!A$3:AJ$103,9,FALSE)&gt;0,IF(VLOOKUP(A69,Schlußkurse!A$5:AU$105,38,FALSE)&gt;0,VLOOKUP(A69,Schlußkurse!A$5:AU$105,38,FALSE)/VLOOKUP(A69,Ergebnis_je_Aktie_verwässert!A$3:AJ$103,9,FALSE),""),"")</f>
        <v>#N/A</v>
      </c>
      <c r="G69" s="70" t="e">
        <f>IF(VLOOKUP(A69,Ergebnis_je_Aktie_verwässert!A$3:AJ$103,10,FALSE)&gt;0,IF(VLOOKUP(A69,Schlußkurse!A$5:AU$105,39,FALSE)&gt;0,VLOOKUP(A69,Schlußkurse!A$5:AU$105,39,FALSE)/VLOOKUP(A69,Ergebnis_je_Aktie_verwässert!A$3:AJ$103,10,FALSE),""),"")</f>
        <v>#N/A</v>
      </c>
      <c r="H69" s="70" t="e">
        <f>IF(VLOOKUP(A69,Ergebnis_je_Aktie_verwässert!A$3:AJ$103,11,FALSE)&gt;0,IF(VLOOKUP(A69,Schlußkurse!A$5:AU$105,40,FALSE)&gt;0,VLOOKUP(A69,Schlußkurse!A$5:AU$105,40,FALSE)/VLOOKUP(A69,Ergebnis_je_Aktie_verwässert!A$3:AJ$103,11,FALSE),""),"")</f>
        <v>#N/A</v>
      </c>
      <c r="I69" s="70" t="e">
        <f>IF(VLOOKUP(A69,Ergebnis_je_Aktie_verwässert!A$3:AJ$103,12,FALSE)&gt;0,IF(VLOOKUP(A69,Schlußkurse!A$5:AU$105,41,FALSE)&gt;0,VLOOKUP(A69,Schlußkurse!A$5:AU$105,41,FALSE)/VLOOKUP(A69,Ergebnis_je_Aktie_verwässert!A$3:AJ$103,12,FALSE),""),"")</f>
        <v>#N/A</v>
      </c>
      <c r="J69" s="70" t="e">
        <f>IF(VLOOKUP(A69,Ergebnis_je_Aktie_verwässert!A$3:AJ$103,13,FALSE)&gt;0,IF(VLOOKUP(A69,Schlußkurse!A$5:AU$105,42,FALSE)&gt;0,VLOOKUP(A69,Schlußkurse!A$5:AU$105,42,FALSE)/VLOOKUP(A69,Ergebnis_je_Aktie_verwässert!A$3:AJ$103,13,FALSE),""),"")</f>
        <v>#N/A</v>
      </c>
      <c r="K69" s="70" t="e">
        <f>IF(VLOOKUP(A69,Ergebnis_je_Aktie_verwässert!A$3:AJ$103,14,FALSE)&gt;0,IF(VLOOKUP(A69,Schlußkurse!A$5:AU$105,43,FALSE)&gt;0,VLOOKUP(A69,Schlußkurse!A$5:AU$105,43,FALSE)/VLOOKUP(A69,Ergebnis_je_Aktie_verwässert!A$3:AJ$103,14,FALSE),""),"")</f>
        <v>#N/A</v>
      </c>
      <c r="L69" s="70" t="e">
        <f>IF(VLOOKUP(A69,Ergebnis_je_Aktie_verwässert!A$3:AJ$103,15,FALSE)&gt;0,IF(VLOOKUP(A69,Schlußkurse!A$5:AU$105,44,FALSE)&gt;0,VLOOKUP(A69,Schlußkurse!A$5:AU$105,44,FALSE)/VLOOKUP(A69,Ergebnis_je_Aktie_verwässert!A$3:AJ$103,15,FALSE),""),"")</f>
        <v>#N/A</v>
      </c>
      <c r="M69" s="70" t="e">
        <f>IF(VLOOKUP(A69,Ergebnis_je_Aktie_verwässert!A$3:AJ$103,16,FALSE)&gt;0,IF(VLOOKUP(A69,Schlußkurse!A$5:AU$105,45,FALSE)&gt;0,VLOOKUP(A69,Schlußkurse!A$5:AU$105,45,FALSE)/VLOOKUP(A69,Ergebnis_je_Aktie_verwässert!A$3:AJ$103,16,FALSE),""),"")</f>
        <v>#N/A</v>
      </c>
      <c r="N69" s="70" t="e">
        <f>IF(VLOOKUP(A69,Ergebnis_je_Aktie_verwässert!A$3:AJ$103,17,FALSE)&gt;0,IF(VLOOKUP(A69,Schlußkurse!A$5:AU$105,46,FALSE)&gt;0,VLOOKUP(A69,Schlußkurse!A$5:AU$105,46,FALSE)/VLOOKUP(A69,Ergebnis_je_Aktie_verwässert!A$3:AJ$103,17,FALSE),""),"")</f>
        <v>#N/A</v>
      </c>
      <c r="O69" s="70" t="e">
        <f>IF(VLOOKUP(A69,Ergebnis_je_Aktie_verwässert!A$3:AJ$103,18,FALSE)&gt;0,IF(VLOOKUP(A69,Schlußkurse!A$5:AU$105,47,FALSE)&gt;0,VLOOKUP(A69,Schlußkurse!A$5:AU$105,47,FALSE)/VLOOKUP(A69,Ergebnis_je_Aktie_verwässert!A$3:AJ$103,18,FALSE),""),"")</f>
        <v>#N/A</v>
      </c>
      <c r="P69" s="70" t="e">
        <f t="shared" si="4"/>
        <v>#N/A</v>
      </c>
      <c r="Q69" s="3" t="e">
        <f>VLOOKUP(A69,Schlußkurse!A$5:AU$105,35,FALSE)/VLOOKUP(A69,Ergebnis_je_Aktie_verwässert!A$3:AK$103,23,FALSE)</f>
        <v>#N/A</v>
      </c>
      <c r="R69" s="5" t="e">
        <f t="shared" si="5"/>
        <v>#N/A</v>
      </c>
    </row>
    <row r="70" spans="1:18">
      <c r="B70" s="38"/>
      <c r="C70" s="70" t="e">
        <f>IF(VLOOKUP(A70,Ergebnis_je_Aktie_verwässert!A$3:AJ$103,6,FALSE)&gt;0,IF(VLOOKUP(A70,Schlußkurse!A$5:AU$105,35,FALSE)&gt;0,VLOOKUP(A70,Schlußkurse!A$5:AU$105,35,FALSE)/VLOOKUP(A70,Ergebnis_je_Aktie_verwässert!A$3:AJ$103,6,FALSE),""),"")</f>
        <v>#N/A</v>
      </c>
      <c r="D70" s="70" t="e">
        <f>IF(VLOOKUP(A70,Ergebnis_je_Aktie_verwässert!A$3:AJ$103,7,FALSE)&gt;0,IF(VLOOKUP(A70,Schlußkurse!A$5:AU$105,36,FALSE)&gt;0,VLOOKUP(A70,Schlußkurse!A$5:AU$105,36,FALSE)/VLOOKUP(A70,Ergebnis_je_Aktie_verwässert!A$3:AJ$103,7,FALSE),""),"")</f>
        <v>#N/A</v>
      </c>
      <c r="E70" s="70" t="e">
        <f>IF(VLOOKUP(A70,Ergebnis_je_Aktie_verwässert!A$3:AJ$103,8,FALSE)&gt;0,IF(VLOOKUP(A70,Schlußkurse!A$5:AU$105,37,FALSE)&gt;0,VLOOKUP(A70,Schlußkurse!A$5:AU$105,37,FALSE)/VLOOKUP(A70,Ergebnis_je_Aktie_verwässert!A$3:AJ$103,8,FALSE),""),"")</f>
        <v>#N/A</v>
      </c>
      <c r="F70" s="70" t="e">
        <f>IF(VLOOKUP(A70,Ergebnis_je_Aktie_verwässert!A$3:AJ$103,9,FALSE)&gt;0,IF(VLOOKUP(A70,Schlußkurse!A$5:AU$105,38,FALSE)&gt;0,VLOOKUP(A70,Schlußkurse!A$5:AU$105,38,FALSE)/VLOOKUP(A70,Ergebnis_je_Aktie_verwässert!A$3:AJ$103,9,FALSE),""),"")</f>
        <v>#N/A</v>
      </c>
      <c r="G70" s="70" t="e">
        <f>IF(VLOOKUP(A70,Ergebnis_je_Aktie_verwässert!A$3:AJ$103,10,FALSE)&gt;0,IF(VLOOKUP(A70,Schlußkurse!A$5:AU$105,39,FALSE)&gt;0,VLOOKUP(A70,Schlußkurse!A$5:AU$105,39,FALSE)/VLOOKUP(A70,Ergebnis_je_Aktie_verwässert!A$3:AJ$103,10,FALSE),""),"")</f>
        <v>#N/A</v>
      </c>
      <c r="H70" s="70" t="e">
        <f>IF(VLOOKUP(A70,Ergebnis_je_Aktie_verwässert!A$3:AJ$103,11,FALSE)&gt;0,IF(VLOOKUP(A70,Schlußkurse!A$5:AU$105,40,FALSE)&gt;0,VLOOKUP(A70,Schlußkurse!A$5:AU$105,40,FALSE)/VLOOKUP(A70,Ergebnis_je_Aktie_verwässert!A$3:AJ$103,11,FALSE),""),"")</f>
        <v>#N/A</v>
      </c>
      <c r="I70" s="70" t="e">
        <f>IF(VLOOKUP(A70,Ergebnis_je_Aktie_verwässert!A$3:AJ$103,12,FALSE)&gt;0,IF(VLOOKUP(A70,Schlußkurse!A$5:AU$105,41,FALSE)&gt;0,VLOOKUP(A70,Schlußkurse!A$5:AU$105,41,FALSE)/VLOOKUP(A70,Ergebnis_je_Aktie_verwässert!A$3:AJ$103,12,FALSE),""),"")</f>
        <v>#N/A</v>
      </c>
      <c r="J70" s="70" t="e">
        <f>IF(VLOOKUP(A70,Ergebnis_je_Aktie_verwässert!A$3:AJ$103,13,FALSE)&gt;0,IF(VLOOKUP(A70,Schlußkurse!A$5:AU$105,42,FALSE)&gt;0,VLOOKUP(A70,Schlußkurse!A$5:AU$105,42,FALSE)/VLOOKUP(A70,Ergebnis_je_Aktie_verwässert!A$3:AJ$103,13,FALSE),""),"")</f>
        <v>#N/A</v>
      </c>
      <c r="K70" s="70" t="e">
        <f>IF(VLOOKUP(A70,Ergebnis_je_Aktie_verwässert!A$3:AJ$103,14,FALSE)&gt;0,IF(VLOOKUP(A70,Schlußkurse!A$5:AU$105,43,FALSE)&gt;0,VLOOKUP(A70,Schlußkurse!A$5:AU$105,43,FALSE)/VLOOKUP(A70,Ergebnis_je_Aktie_verwässert!A$3:AJ$103,14,FALSE),""),"")</f>
        <v>#N/A</v>
      </c>
      <c r="L70" s="70" t="e">
        <f>IF(VLOOKUP(A70,Ergebnis_je_Aktie_verwässert!A$3:AJ$103,15,FALSE)&gt;0,IF(VLOOKUP(A70,Schlußkurse!A$5:AU$105,44,FALSE)&gt;0,VLOOKUP(A70,Schlußkurse!A$5:AU$105,44,FALSE)/VLOOKUP(A70,Ergebnis_je_Aktie_verwässert!A$3:AJ$103,15,FALSE),""),"")</f>
        <v>#N/A</v>
      </c>
      <c r="M70" s="70" t="e">
        <f>IF(VLOOKUP(A70,Ergebnis_je_Aktie_verwässert!A$3:AJ$103,16,FALSE)&gt;0,IF(VLOOKUP(A70,Schlußkurse!A$5:AU$105,45,FALSE)&gt;0,VLOOKUP(A70,Schlußkurse!A$5:AU$105,45,FALSE)/VLOOKUP(A70,Ergebnis_je_Aktie_verwässert!A$3:AJ$103,16,FALSE),""),"")</f>
        <v>#N/A</v>
      </c>
      <c r="N70" s="70" t="e">
        <f>IF(VLOOKUP(A70,Ergebnis_je_Aktie_verwässert!A$3:AJ$103,17,FALSE)&gt;0,IF(VLOOKUP(A70,Schlußkurse!A$5:AU$105,46,FALSE)&gt;0,VLOOKUP(A70,Schlußkurse!A$5:AU$105,46,FALSE)/VLOOKUP(A70,Ergebnis_je_Aktie_verwässert!A$3:AJ$103,17,FALSE),""),"")</f>
        <v>#N/A</v>
      </c>
      <c r="O70" s="70" t="e">
        <f>IF(VLOOKUP(A70,Ergebnis_je_Aktie_verwässert!A$3:AJ$103,18,FALSE)&gt;0,IF(VLOOKUP(A70,Schlußkurse!A$5:AU$105,47,FALSE)&gt;0,VLOOKUP(A70,Schlußkurse!A$5:AU$105,47,FALSE)/VLOOKUP(A70,Ergebnis_je_Aktie_verwässert!A$3:AJ$103,18,FALSE),""),"")</f>
        <v>#N/A</v>
      </c>
      <c r="P70" s="70" t="e">
        <f t="shared" si="4"/>
        <v>#N/A</v>
      </c>
      <c r="Q70" s="3" t="e">
        <f>VLOOKUP(A70,Schlußkurse!A$5:AU$105,35,FALSE)/VLOOKUP(A70,Ergebnis_je_Aktie_verwässert!A$3:AK$103,23,FALSE)</f>
        <v>#N/A</v>
      </c>
      <c r="R70" s="5" t="e">
        <f t="shared" si="5"/>
        <v>#N/A</v>
      </c>
    </row>
    <row r="71" spans="1:18">
      <c r="B71" s="38"/>
      <c r="C71" s="70" t="e">
        <f>IF(VLOOKUP(A71,Ergebnis_je_Aktie_verwässert!A$3:AJ$103,6,FALSE)&gt;0,IF(VLOOKUP(A71,Schlußkurse!A$5:AU$105,35,FALSE)&gt;0,VLOOKUP(A71,Schlußkurse!A$5:AU$105,35,FALSE)/VLOOKUP(A71,Ergebnis_je_Aktie_verwässert!A$3:AJ$103,6,FALSE),""),"")</f>
        <v>#N/A</v>
      </c>
      <c r="D71" s="70" t="e">
        <f>IF(VLOOKUP(A71,Ergebnis_je_Aktie_verwässert!A$3:AJ$103,7,FALSE)&gt;0,IF(VLOOKUP(A71,Schlußkurse!A$5:AU$105,36,FALSE)&gt;0,VLOOKUP(A71,Schlußkurse!A$5:AU$105,36,FALSE)/VLOOKUP(A71,Ergebnis_je_Aktie_verwässert!A$3:AJ$103,7,FALSE),""),"")</f>
        <v>#N/A</v>
      </c>
      <c r="E71" s="70" t="e">
        <f>IF(VLOOKUP(A71,Ergebnis_je_Aktie_verwässert!A$3:AJ$103,8,FALSE)&gt;0,IF(VLOOKUP(A71,Schlußkurse!A$5:AU$105,37,FALSE)&gt;0,VLOOKUP(A71,Schlußkurse!A$5:AU$105,37,FALSE)/VLOOKUP(A71,Ergebnis_je_Aktie_verwässert!A$3:AJ$103,8,FALSE),""),"")</f>
        <v>#N/A</v>
      </c>
      <c r="F71" s="70" t="e">
        <f>IF(VLOOKUP(A71,Ergebnis_je_Aktie_verwässert!A$3:AJ$103,9,FALSE)&gt;0,IF(VLOOKUP(A71,Schlußkurse!A$5:AU$105,38,FALSE)&gt;0,VLOOKUP(A71,Schlußkurse!A$5:AU$105,38,FALSE)/VLOOKUP(A71,Ergebnis_je_Aktie_verwässert!A$3:AJ$103,9,FALSE),""),"")</f>
        <v>#N/A</v>
      </c>
      <c r="G71" s="70" t="e">
        <f>IF(VLOOKUP(A71,Ergebnis_je_Aktie_verwässert!A$3:AJ$103,10,FALSE)&gt;0,IF(VLOOKUP(A71,Schlußkurse!A$5:AU$105,39,FALSE)&gt;0,VLOOKUP(A71,Schlußkurse!A$5:AU$105,39,FALSE)/VLOOKUP(A71,Ergebnis_je_Aktie_verwässert!A$3:AJ$103,10,FALSE),""),"")</f>
        <v>#N/A</v>
      </c>
      <c r="H71" s="70" t="e">
        <f>IF(VLOOKUP(A71,Ergebnis_je_Aktie_verwässert!A$3:AJ$103,11,FALSE)&gt;0,IF(VLOOKUP(A71,Schlußkurse!A$5:AU$105,40,FALSE)&gt;0,VLOOKUP(A71,Schlußkurse!A$5:AU$105,40,FALSE)/VLOOKUP(A71,Ergebnis_je_Aktie_verwässert!A$3:AJ$103,11,FALSE),""),"")</f>
        <v>#N/A</v>
      </c>
      <c r="I71" s="70" t="e">
        <f>IF(VLOOKUP(A71,Ergebnis_je_Aktie_verwässert!A$3:AJ$103,12,FALSE)&gt;0,IF(VLOOKUP(A71,Schlußkurse!A$5:AU$105,41,FALSE)&gt;0,VLOOKUP(A71,Schlußkurse!A$5:AU$105,41,FALSE)/VLOOKUP(A71,Ergebnis_je_Aktie_verwässert!A$3:AJ$103,12,FALSE),""),"")</f>
        <v>#N/A</v>
      </c>
      <c r="J71" s="70" t="e">
        <f>IF(VLOOKUP(A71,Ergebnis_je_Aktie_verwässert!A$3:AJ$103,13,FALSE)&gt;0,IF(VLOOKUP(A71,Schlußkurse!A$5:AU$105,42,FALSE)&gt;0,VLOOKUP(A71,Schlußkurse!A$5:AU$105,42,FALSE)/VLOOKUP(A71,Ergebnis_je_Aktie_verwässert!A$3:AJ$103,13,FALSE),""),"")</f>
        <v>#N/A</v>
      </c>
      <c r="K71" s="70" t="e">
        <f>IF(VLOOKUP(A71,Ergebnis_je_Aktie_verwässert!A$3:AJ$103,14,FALSE)&gt;0,IF(VLOOKUP(A71,Schlußkurse!A$5:AU$105,43,FALSE)&gt;0,VLOOKUP(A71,Schlußkurse!A$5:AU$105,43,FALSE)/VLOOKUP(A71,Ergebnis_je_Aktie_verwässert!A$3:AJ$103,14,FALSE),""),"")</f>
        <v>#N/A</v>
      </c>
      <c r="L71" s="70" t="e">
        <f>IF(VLOOKUP(A71,Ergebnis_je_Aktie_verwässert!A$3:AJ$103,15,FALSE)&gt;0,IF(VLOOKUP(A71,Schlußkurse!A$5:AU$105,44,FALSE)&gt;0,VLOOKUP(A71,Schlußkurse!A$5:AU$105,44,FALSE)/VLOOKUP(A71,Ergebnis_je_Aktie_verwässert!A$3:AJ$103,15,FALSE),""),"")</f>
        <v>#N/A</v>
      </c>
      <c r="M71" s="70" t="e">
        <f>IF(VLOOKUP(A71,Ergebnis_je_Aktie_verwässert!A$3:AJ$103,16,FALSE)&gt;0,IF(VLOOKUP(A71,Schlußkurse!A$5:AU$105,45,FALSE)&gt;0,VLOOKUP(A71,Schlußkurse!A$5:AU$105,45,FALSE)/VLOOKUP(A71,Ergebnis_je_Aktie_verwässert!A$3:AJ$103,16,FALSE),""),"")</f>
        <v>#N/A</v>
      </c>
      <c r="N71" s="70" t="e">
        <f>IF(VLOOKUP(A71,Ergebnis_je_Aktie_verwässert!A$3:AJ$103,17,FALSE)&gt;0,IF(VLOOKUP(A71,Schlußkurse!A$5:AU$105,46,FALSE)&gt;0,VLOOKUP(A71,Schlußkurse!A$5:AU$105,46,FALSE)/VLOOKUP(A71,Ergebnis_je_Aktie_verwässert!A$3:AJ$103,17,FALSE),""),"")</f>
        <v>#N/A</v>
      </c>
      <c r="O71" s="70" t="e">
        <f>IF(VLOOKUP(A71,Ergebnis_je_Aktie_verwässert!A$3:AJ$103,18,FALSE)&gt;0,IF(VLOOKUP(A71,Schlußkurse!A$5:AU$105,47,FALSE)&gt;0,VLOOKUP(A71,Schlußkurse!A$5:AU$105,47,FALSE)/VLOOKUP(A71,Ergebnis_je_Aktie_verwässert!A$3:AJ$103,18,FALSE),""),"")</f>
        <v>#N/A</v>
      </c>
      <c r="P71" s="70" t="e">
        <f t="shared" si="4"/>
        <v>#N/A</v>
      </c>
      <c r="Q71" s="3" t="e">
        <f>VLOOKUP(A71,Schlußkurse!A$5:AU$105,35,FALSE)/VLOOKUP(A71,Ergebnis_je_Aktie_verwässert!A$3:AK$103,23,FALSE)</f>
        <v>#N/A</v>
      </c>
      <c r="R71" s="5" t="e">
        <f t="shared" si="5"/>
        <v>#N/A</v>
      </c>
    </row>
    <row r="72" spans="1:18">
      <c r="B72" s="38"/>
      <c r="C72" s="70" t="e">
        <f>IF(VLOOKUP(A72,Ergebnis_je_Aktie_verwässert!A$3:AJ$103,6,FALSE)&gt;0,IF(VLOOKUP(A72,Schlußkurse!A$5:AU$105,35,FALSE)&gt;0,VLOOKUP(A72,Schlußkurse!A$5:AU$105,35,FALSE)/VLOOKUP(A72,Ergebnis_je_Aktie_verwässert!A$3:AJ$103,6,FALSE),""),"")</f>
        <v>#N/A</v>
      </c>
      <c r="D72" s="70" t="e">
        <f>IF(VLOOKUP(A72,Ergebnis_je_Aktie_verwässert!A$3:AJ$103,7,FALSE)&gt;0,IF(VLOOKUP(A72,Schlußkurse!A$5:AU$105,36,FALSE)&gt;0,VLOOKUP(A72,Schlußkurse!A$5:AU$105,36,FALSE)/VLOOKUP(A72,Ergebnis_je_Aktie_verwässert!A$3:AJ$103,7,FALSE),""),"")</f>
        <v>#N/A</v>
      </c>
      <c r="E72" s="70" t="e">
        <f>IF(VLOOKUP(A72,Ergebnis_je_Aktie_verwässert!A$3:AJ$103,8,FALSE)&gt;0,IF(VLOOKUP(A72,Schlußkurse!A$5:AU$105,37,FALSE)&gt;0,VLOOKUP(A72,Schlußkurse!A$5:AU$105,37,FALSE)/VLOOKUP(A72,Ergebnis_je_Aktie_verwässert!A$3:AJ$103,8,FALSE),""),"")</f>
        <v>#N/A</v>
      </c>
      <c r="F72" s="70" t="e">
        <f>IF(VLOOKUP(A72,Ergebnis_je_Aktie_verwässert!A$3:AJ$103,9,FALSE)&gt;0,IF(VLOOKUP(A72,Schlußkurse!A$5:AU$105,38,FALSE)&gt;0,VLOOKUP(A72,Schlußkurse!A$5:AU$105,38,FALSE)/VLOOKUP(A72,Ergebnis_je_Aktie_verwässert!A$3:AJ$103,9,FALSE),""),"")</f>
        <v>#N/A</v>
      </c>
      <c r="G72" s="70" t="e">
        <f>IF(VLOOKUP(A72,Ergebnis_je_Aktie_verwässert!A$3:AJ$103,10,FALSE)&gt;0,IF(VLOOKUP(A72,Schlußkurse!A$5:AU$105,39,FALSE)&gt;0,VLOOKUP(A72,Schlußkurse!A$5:AU$105,39,FALSE)/VLOOKUP(A72,Ergebnis_je_Aktie_verwässert!A$3:AJ$103,10,FALSE),""),"")</f>
        <v>#N/A</v>
      </c>
      <c r="H72" s="70" t="e">
        <f>IF(VLOOKUP(A72,Ergebnis_je_Aktie_verwässert!A$3:AJ$103,11,FALSE)&gt;0,IF(VLOOKUP(A72,Schlußkurse!A$5:AU$105,40,FALSE)&gt;0,VLOOKUP(A72,Schlußkurse!A$5:AU$105,40,FALSE)/VLOOKUP(A72,Ergebnis_je_Aktie_verwässert!A$3:AJ$103,11,FALSE),""),"")</f>
        <v>#N/A</v>
      </c>
      <c r="I72" s="70" t="e">
        <f>IF(VLOOKUP(A72,Ergebnis_je_Aktie_verwässert!A$3:AJ$103,12,FALSE)&gt;0,IF(VLOOKUP(A72,Schlußkurse!A$5:AU$105,41,FALSE)&gt;0,VLOOKUP(A72,Schlußkurse!A$5:AU$105,41,FALSE)/VLOOKUP(A72,Ergebnis_je_Aktie_verwässert!A$3:AJ$103,12,FALSE),""),"")</f>
        <v>#N/A</v>
      </c>
      <c r="J72" s="70" t="e">
        <f>IF(VLOOKUP(A72,Ergebnis_je_Aktie_verwässert!A$3:AJ$103,13,FALSE)&gt;0,IF(VLOOKUP(A72,Schlußkurse!A$5:AU$105,42,FALSE)&gt;0,VLOOKUP(A72,Schlußkurse!A$5:AU$105,42,FALSE)/VLOOKUP(A72,Ergebnis_je_Aktie_verwässert!A$3:AJ$103,13,FALSE),""),"")</f>
        <v>#N/A</v>
      </c>
      <c r="K72" s="70" t="e">
        <f>IF(VLOOKUP(A72,Ergebnis_je_Aktie_verwässert!A$3:AJ$103,14,FALSE)&gt;0,IF(VLOOKUP(A72,Schlußkurse!A$5:AU$105,43,FALSE)&gt;0,VLOOKUP(A72,Schlußkurse!A$5:AU$105,43,FALSE)/VLOOKUP(A72,Ergebnis_je_Aktie_verwässert!A$3:AJ$103,14,FALSE),""),"")</f>
        <v>#N/A</v>
      </c>
      <c r="L72" s="70" t="e">
        <f>IF(VLOOKUP(A72,Ergebnis_je_Aktie_verwässert!A$3:AJ$103,15,FALSE)&gt;0,IF(VLOOKUP(A72,Schlußkurse!A$5:AU$105,44,FALSE)&gt;0,VLOOKUP(A72,Schlußkurse!A$5:AU$105,44,FALSE)/VLOOKUP(A72,Ergebnis_je_Aktie_verwässert!A$3:AJ$103,15,FALSE),""),"")</f>
        <v>#N/A</v>
      </c>
      <c r="M72" s="70" t="e">
        <f>IF(VLOOKUP(A72,Ergebnis_je_Aktie_verwässert!A$3:AJ$103,16,FALSE)&gt;0,IF(VLOOKUP(A72,Schlußkurse!A$5:AU$105,45,FALSE)&gt;0,VLOOKUP(A72,Schlußkurse!A$5:AU$105,45,FALSE)/VLOOKUP(A72,Ergebnis_je_Aktie_verwässert!A$3:AJ$103,16,FALSE),""),"")</f>
        <v>#N/A</v>
      </c>
      <c r="N72" s="70" t="e">
        <f>IF(VLOOKUP(A72,Ergebnis_je_Aktie_verwässert!A$3:AJ$103,17,FALSE)&gt;0,IF(VLOOKUP(A72,Schlußkurse!A$5:AU$105,46,FALSE)&gt;0,VLOOKUP(A72,Schlußkurse!A$5:AU$105,46,FALSE)/VLOOKUP(A72,Ergebnis_je_Aktie_verwässert!A$3:AJ$103,17,FALSE),""),"")</f>
        <v>#N/A</v>
      </c>
      <c r="O72" s="70" t="e">
        <f>IF(VLOOKUP(A72,Ergebnis_je_Aktie_verwässert!A$3:AJ$103,18,FALSE)&gt;0,IF(VLOOKUP(A72,Schlußkurse!A$5:AU$105,47,FALSE)&gt;0,VLOOKUP(A72,Schlußkurse!A$5:AU$105,47,FALSE)/VLOOKUP(A72,Ergebnis_je_Aktie_verwässert!A$3:AJ$103,18,FALSE),""),"")</f>
        <v>#N/A</v>
      </c>
      <c r="P72" s="70" t="e">
        <f t="shared" si="4"/>
        <v>#N/A</v>
      </c>
      <c r="Q72" s="3" t="e">
        <f>VLOOKUP(A72,Schlußkurse!A$5:AU$105,35,FALSE)/VLOOKUP(A72,Ergebnis_je_Aktie_verwässert!A$3:AK$103,23,FALSE)</f>
        <v>#N/A</v>
      </c>
      <c r="R72" s="5" t="e">
        <f t="shared" si="5"/>
        <v>#N/A</v>
      </c>
    </row>
    <row r="73" spans="1:18">
      <c r="B73" s="38"/>
      <c r="C73" s="70" t="e">
        <f>IF(VLOOKUP(A73,Ergebnis_je_Aktie_verwässert!A$3:AJ$103,6,FALSE)&gt;0,IF(VLOOKUP(A73,Schlußkurse!A$5:AU$105,35,FALSE)&gt;0,VLOOKUP(A73,Schlußkurse!A$5:AU$105,35,FALSE)/VLOOKUP(A73,Ergebnis_je_Aktie_verwässert!A$3:AJ$103,6,FALSE),""),"")</f>
        <v>#N/A</v>
      </c>
      <c r="D73" s="70" t="e">
        <f>IF(VLOOKUP(A73,Ergebnis_je_Aktie_verwässert!A$3:AJ$103,7,FALSE)&gt;0,IF(VLOOKUP(A73,Schlußkurse!A$5:AU$105,36,FALSE)&gt;0,VLOOKUP(A73,Schlußkurse!A$5:AU$105,36,FALSE)/VLOOKUP(A73,Ergebnis_je_Aktie_verwässert!A$3:AJ$103,7,FALSE),""),"")</f>
        <v>#N/A</v>
      </c>
      <c r="E73" s="70" t="e">
        <f>IF(VLOOKUP(A73,Ergebnis_je_Aktie_verwässert!A$3:AJ$103,8,FALSE)&gt;0,IF(VLOOKUP(A73,Schlußkurse!A$5:AU$105,37,FALSE)&gt;0,VLOOKUP(A73,Schlußkurse!A$5:AU$105,37,FALSE)/VLOOKUP(A73,Ergebnis_je_Aktie_verwässert!A$3:AJ$103,8,FALSE),""),"")</f>
        <v>#N/A</v>
      </c>
      <c r="F73" s="70" t="e">
        <f>IF(VLOOKUP(A73,Ergebnis_je_Aktie_verwässert!A$3:AJ$103,9,FALSE)&gt;0,IF(VLOOKUP(A73,Schlußkurse!A$5:AU$105,38,FALSE)&gt;0,VLOOKUP(A73,Schlußkurse!A$5:AU$105,38,FALSE)/VLOOKUP(A73,Ergebnis_je_Aktie_verwässert!A$3:AJ$103,9,FALSE),""),"")</f>
        <v>#N/A</v>
      </c>
      <c r="G73" s="70" t="e">
        <f>IF(VLOOKUP(A73,Ergebnis_je_Aktie_verwässert!A$3:AJ$103,10,FALSE)&gt;0,IF(VLOOKUP(A73,Schlußkurse!A$5:AU$105,39,FALSE)&gt;0,VLOOKUP(A73,Schlußkurse!A$5:AU$105,39,FALSE)/VLOOKUP(A73,Ergebnis_je_Aktie_verwässert!A$3:AJ$103,10,FALSE),""),"")</f>
        <v>#N/A</v>
      </c>
      <c r="H73" s="70" t="e">
        <f>IF(VLOOKUP(A73,Ergebnis_je_Aktie_verwässert!A$3:AJ$103,11,FALSE)&gt;0,IF(VLOOKUP(A73,Schlußkurse!A$5:AU$105,40,FALSE)&gt;0,VLOOKUP(A73,Schlußkurse!A$5:AU$105,40,FALSE)/VLOOKUP(A73,Ergebnis_je_Aktie_verwässert!A$3:AJ$103,11,FALSE),""),"")</f>
        <v>#N/A</v>
      </c>
      <c r="I73" s="70" t="e">
        <f>IF(VLOOKUP(A73,Ergebnis_je_Aktie_verwässert!A$3:AJ$103,12,FALSE)&gt;0,IF(VLOOKUP(A73,Schlußkurse!A$5:AU$105,41,FALSE)&gt;0,VLOOKUP(A73,Schlußkurse!A$5:AU$105,41,FALSE)/VLOOKUP(A73,Ergebnis_je_Aktie_verwässert!A$3:AJ$103,12,FALSE),""),"")</f>
        <v>#N/A</v>
      </c>
      <c r="J73" s="70" t="e">
        <f>IF(VLOOKUP(A73,Ergebnis_je_Aktie_verwässert!A$3:AJ$103,13,FALSE)&gt;0,IF(VLOOKUP(A73,Schlußkurse!A$5:AU$105,42,FALSE)&gt;0,VLOOKUP(A73,Schlußkurse!A$5:AU$105,42,FALSE)/VLOOKUP(A73,Ergebnis_je_Aktie_verwässert!A$3:AJ$103,13,FALSE),""),"")</f>
        <v>#N/A</v>
      </c>
      <c r="K73" s="70" t="e">
        <f>IF(VLOOKUP(A73,Ergebnis_je_Aktie_verwässert!A$3:AJ$103,14,FALSE)&gt;0,IF(VLOOKUP(A73,Schlußkurse!A$5:AU$105,43,FALSE)&gt;0,VLOOKUP(A73,Schlußkurse!A$5:AU$105,43,FALSE)/VLOOKUP(A73,Ergebnis_je_Aktie_verwässert!A$3:AJ$103,14,FALSE),""),"")</f>
        <v>#N/A</v>
      </c>
      <c r="L73" s="70" t="e">
        <f>IF(VLOOKUP(A73,Ergebnis_je_Aktie_verwässert!A$3:AJ$103,15,FALSE)&gt;0,IF(VLOOKUP(A73,Schlußkurse!A$5:AU$105,44,FALSE)&gt;0,VLOOKUP(A73,Schlußkurse!A$5:AU$105,44,FALSE)/VLOOKUP(A73,Ergebnis_je_Aktie_verwässert!A$3:AJ$103,15,FALSE),""),"")</f>
        <v>#N/A</v>
      </c>
      <c r="M73" s="70" t="e">
        <f>IF(VLOOKUP(A73,Ergebnis_je_Aktie_verwässert!A$3:AJ$103,16,FALSE)&gt;0,IF(VLOOKUP(A73,Schlußkurse!A$5:AU$105,45,FALSE)&gt;0,VLOOKUP(A73,Schlußkurse!A$5:AU$105,45,FALSE)/VLOOKUP(A73,Ergebnis_je_Aktie_verwässert!A$3:AJ$103,16,FALSE),""),"")</f>
        <v>#N/A</v>
      </c>
      <c r="N73" s="70" t="e">
        <f>IF(VLOOKUP(A73,Ergebnis_je_Aktie_verwässert!A$3:AJ$103,17,FALSE)&gt;0,IF(VLOOKUP(A73,Schlußkurse!A$5:AU$105,46,FALSE)&gt;0,VLOOKUP(A73,Schlußkurse!A$5:AU$105,46,FALSE)/VLOOKUP(A73,Ergebnis_je_Aktie_verwässert!A$3:AJ$103,17,FALSE),""),"")</f>
        <v>#N/A</v>
      </c>
      <c r="O73" s="70" t="e">
        <f>IF(VLOOKUP(A73,Ergebnis_je_Aktie_verwässert!A$3:AJ$103,18,FALSE)&gt;0,IF(VLOOKUP(A73,Schlußkurse!A$5:AU$105,47,FALSE)&gt;0,VLOOKUP(A73,Schlußkurse!A$5:AU$105,47,FALSE)/VLOOKUP(A73,Ergebnis_je_Aktie_verwässert!A$3:AJ$103,18,FALSE),""),"")</f>
        <v>#N/A</v>
      </c>
      <c r="P73" s="70" t="e">
        <f t="shared" si="4"/>
        <v>#N/A</v>
      </c>
      <c r="Q73" s="3" t="e">
        <f>VLOOKUP(A73,Schlußkurse!A$5:AU$105,35,FALSE)/VLOOKUP(A73,Ergebnis_je_Aktie_verwässert!A$3:AK$103,23,FALSE)</f>
        <v>#N/A</v>
      </c>
      <c r="R73" s="5" t="e">
        <f t="shared" si="5"/>
        <v>#N/A</v>
      </c>
    </row>
    <row r="74" spans="1:18">
      <c r="B74" s="38"/>
      <c r="C74" s="70" t="e">
        <f>IF(VLOOKUP(A74,Ergebnis_je_Aktie_verwässert!A$3:AJ$103,6,FALSE)&gt;0,IF(VLOOKUP(A74,Schlußkurse!A$5:AU$105,35,FALSE)&gt;0,VLOOKUP(A74,Schlußkurse!A$5:AU$105,35,FALSE)/VLOOKUP(A74,Ergebnis_je_Aktie_verwässert!A$3:AJ$103,6,FALSE),""),"")</f>
        <v>#N/A</v>
      </c>
      <c r="D74" s="70" t="e">
        <f>IF(VLOOKUP(A74,Ergebnis_je_Aktie_verwässert!A$3:AJ$103,7,FALSE)&gt;0,IF(VLOOKUP(A74,Schlußkurse!A$5:AU$105,36,FALSE)&gt;0,VLOOKUP(A74,Schlußkurse!A$5:AU$105,36,FALSE)/VLOOKUP(A74,Ergebnis_je_Aktie_verwässert!A$3:AJ$103,7,FALSE),""),"")</f>
        <v>#N/A</v>
      </c>
      <c r="E74" s="70" t="e">
        <f>IF(VLOOKUP(A74,Ergebnis_je_Aktie_verwässert!A$3:AJ$103,8,FALSE)&gt;0,IF(VLOOKUP(A74,Schlußkurse!A$5:AU$105,37,FALSE)&gt;0,VLOOKUP(A74,Schlußkurse!A$5:AU$105,37,FALSE)/VLOOKUP(A74,Ergebnis_je_Aktie_verwässert!A$3:AJ$103,8,FALSE),""),"")</f>
        <v>#N/A</v>
      </c>
      <c r="F74" s="70" t="e">
        <f>IF(VLOOKUP(A74,Ergebnis_je_Aktie_verwässert!A$3:AJ$103,9,FALSE)&gt;0,IF(VLOOKUP(A74,Schlußkurse!A$5:AU$105,38,FALSE)&gt;0,VLOOKUP(A74,Schlußkurse!A$5:AU$105,38,FALSE)/VLOOKUP(A74,Ergebnis_je_Aktie_verwässert!A$3:AJ$103,9,FALSE),""),"")</f>
        <v>#N/A</v>
      </c>
      <c r="G74" s="70" t="e">
        <f>IF(VLOOKUP(A74,Ergebnis_je_Aktie_verwässert!A$3:AJ$103,10,FALSE)&gt;0,IF(VLOOKUP(A74,Schlußkurse!A$5:AU$105,39,FALSE)&gt;0,VLOOKUP(A74,Schlußkurse!A$5:AU$105,39,FALSE)/VLOOKUP(A74,Ergebnis_je_Aktie_verwässert!A$3:AJ$103,10,FALSE),""),"")</f>
        <v>#N/A</v>
      </c>
      <c r="H74" s="70" t="e">
        <f>IF(VLOOKUP(A74,Ergebnis_je_Aktie_verwässert!A$3:AJ$103,11,FALSE)&gt;0,IF(VLOOKUP(A74,Schlußkurse!A$5:AU$105,40,FALSE)&gt;0,VLOOKUP(A74,Schlußkurse!A$5:AU$105,40,FALSE)/VLOOKUP(A74,Ergebnis_je_Aktie_verwässert!A$3:AJ$103,11,FALSE),""),"")</f>
        <v>#N/A</v>
      </c>
      <c r="I74" s="70" t="e">
        <f>IF(VLOOKUP(A74,Ergebnis_je_Aktie_verwässert!A$3:AJ$103,12,FALSE)&gt;0,IF(VLOOKUP(A74,Schlußkurse!A$5:AU$105,41,FALSE)&gt;0,VLOOKUP(A74,Schlußkurse!A$5:AU$105,41,FALSE)/VLOOKUP(A74,Ergebnis_je_Aktie_verwässert!A$3:AJ$103,12,FALSE),""),"")</f>
        <v>#N/A</v>
      </c>
      <c r="J74" s="70" t="e">
        <f>IF(VLOOKUP(A74,Ergebnis_je_Aktie_verwässert!A$3:AJ$103,13,FALSE)&gt;0,IF(VLOOKUP(A74,Schlußkurse!A$5:AU$105,42,FALSE)&gt;0,VLOOKUP(A74,Schlußkurse!A$5:AU$105,42,FALSE)/VLOOKUP(A74,Ergebnis_je_Aktie_verwässert!A$3:AJ$103,13,FALSE),""),"")</f>
        <v>#N/A</v>
      </c>
      <c r="K74" s="70" t="e">
        <f>IF(VLOOKUP(A74,Ergebnis_je_Aktie_verwässert!A$3:AJ$103,14,FALSE)&gt;0,IF(VLOOKUP(A74,Schlußkurse!A$5:AU$105,43,FALSE)&gt;0,VLOOKUP(A74,Schlußkurse!A$5:AU$105,43,FALSE)/VLOOKUP(A74,Ergebnis_je_Aktie_verwässert!A$3:AJ$103,14,FALSE),""),"")</f>
        <v>#N/A</v>
      </c>
      <c r="L74" s="70" t="e">
        <f>IF(VLOOKUP(A74,Ergebnis_je_Aktie_verwässert!A$3:AJ$103,15,FALSE)&gt;0,IF(VLOOKUP(A74,Schlußkurse!A$5:AU$105,44,FALSE)&gt;0,VLOOKUP(A74,Schlußkurse!A$5:AU$105,44,FALSE)/VLOOKUP(A74,Ergebnis_je_Aktie_verwässert!A$3:AJ$103,15,FALSE),""),"")</f>
        <v>#N/A</v>
      </c>
      <c r="M74" s="70" t="e">
        <f>IF(VLOOKUP(A74,Ergebnis_je_Aktie_verwässert!A$3:AJ$103,16,FALSE)&gt;0,IF(VLOOKUP(A74,Schlußkurse!A$5:AU$105,45,FALSE)&gt;0,VLOOKUP(A74,Schlußkurse!A$5:AU$105,45,FALSE)/VLOOKUP(A74,Ergebnis_je_Aktie_verwässert!A$3:AJ$103,16,FALSE),""),"")</f>
        <v>#N/A</v>
      </c>
      <c r="N74" s="70" t="e">
        <f>IF(VLOOKUP(A74,Ergebnis_je_Aktie_verwässert!A$3:AJ$103,17,FALSE)&gt;0,IF(VLOOKUP(A74,Schlußkurse!A$5:AU$105,46,FALSE)&gt;0,VLOOKUP(A74,Schlußkurse!A$5:AU$105,46,FALSE)/VLOOKUP(A74,Ergebnis_je_Aktie_verwässert!A$3:AJ$103,17,FALSE),""),"")</f>
        <v>#N/A</v>
      </c>
      <c r="O74" s="70" t="e">
        <f>IF(VLOOKUP(A74,Ergebnis_je_Aktie_verwässert!A$3:AJ$103,18,FALSE)&gt;0,IF(VLOOKUP(A74,Schlußkurse!A$5:AU$105,47,FALSE)&gt;0,VLOOKUP(A74,Schlußkurse!A$5:AU$105,47,FALSE)/VLOOKUP(A74,Ergebnis_je_Aktie_verwässert!A$3:AJ$103,18,FALSE),""),"")</f>
        <v>#N/A</v>
      </c>
      <c r="P74" s="70" t="e">
        <f t="shared" si="4"/>
        <v>#N/A</v>
      </c>
      <c r="Q74" s="3" t="e">
        <f>VLOOKUP(A74,Schlußkurse!A$5:AU$105,35,FALSE)/VLOOKUP(A74,Ergebnis_je_Aktie_verwässert!A$3:AK$103,23,FALSE)</f>
        <v>#N/A</v>
      </c>
      <c r="R74" s="5" t="e">
        <f t="shared" si="5"/>
        <v>#N/A</v>
      </c>
    </row>
    <row r="75" spans="1:18">
      <c r="B75" s="38"/>
      <c r="C75" s="70" t="e">
        <f>IF(VLOOKUP(A75,Ergebnis_je_Aktie_verwässert!A$3:AJ$103,6,FALSE)&gt;0,IF(VLOOKUP(A75,Schlußkurse!A$5:AU$105,35,FALSE)&gt;0,VLOOKUP(A75,Schlußkurse!A$5:AU$105,35,FALSE)/VLOOKUP(A75,Ergebnis_je_Aktie_verwässert!A$3:AJ$103,6,FALSE),""),"")</f>
        <v>#N/A</v>
      </c>
      <c r="D75" s="70" t="e">
        <f>IF(VLOOKUP(A75,Ergebnis_je_Aktie_verwässert!A$3:AJ$103,7,FALSE)&gt;0,IF(VLOOKUP(A75,Schlußkurse!A$5:AU$105,36,FALSE)&gt;0,VLOOKUP(A75,Schlußkurse!A$5:AU$105,36,FALSE)/VLOOKUP(A75,Ergebnis_je_Aktie_verwässert!A$3:AJ$103,7,FALSE),""),"")</f>
        <v>#N/A</v>
      </c>
      <c r="E75" s="70" t="e">
        <f>IF(VLOOKUP(A75,Ergebnis_je_Aktie_verwässert!A$3:AJ$103,8,FALSE)&gt;0,IF(VLOOKUP(A75,Schlußkurse!A$5:AU$105,37,FALSE)&gt;0,VLOOKUP(A75,Schlußkurse!A$5:AU$105,37,FALSE)/VLOOKUP(A75,Ergebnis_je_Aktie_verwässert!A$3:AJ$103,8,FALSE),""),"")</f>
        <v>#N/A</v>
      </c>
      <c r="F75" s="70" t="e">
        <f>IF(VLOOKUP(A75,Ergebnis_je_Aktie_verwässert!A$3:AJ$103,9,FALSE)&gt;0,IF(VLOOKUP(A75,Schlußkurse!A$5:AU$105,38,FALSE)&gt;0,VLOOKUP(A75,Schlußkurse!A$5:AU$105,38,FALSE)/VLOOKUP(A75,Ergebnis_je_Aktie_verwässert!A$3:AJ$103,9,FALSE),""),"")</f>
        <v>#N/A</v>
      </c>
      <c r="G75" s="70" t="e">
        <f>IF(VLOOKUP(A75,Ergebnis_je_Aktie_verwässert!A$3:AJ$103,10,FALSE)&gt;0,IF(VLOOKUP(A75,Schlußkurse!A$5:AU$105,39,FALSE)&gt;0,VLOOKUP(A75,Schlußkurse!A$5:AU$105,39,FALSE)/VLOOKUP(A75,Ergebnis_je_Aktie_verwässert!A$3:AJ$103,10,FALSE),""),"")</f>
        <v>#N/A</v>
      </c>
      <c r="H75" s="70" t="e">
        <f>IF(VLOOKUP(A75,Ergebnis_je_Aktie_verwässert!A$3:AJ$103,11,FALSE)&gt;0,IF(VLOOKUP(A75,Schlußkurse!A$5:AU$105,40,FALSE)&gt;0,VLOOKUP(A75,Schlußkurse!A$5:AU$105,40,FALSE)/VLOOKUP(A75,Ergebnis_je_Aktie_verwässert!A$3:AJ$103,11,FALSE),""),"")</f>
        <v>#N/A</v>
      </c>
      <c r="I75" s="70" t="e">
        <f>IF(VLOOKUP(A75,Ergebnis_je_Aktie_verwässert!A$3:AJ$103,12,FALSE)&gt;0,IF(VLOOKUP(A75,Schlußkurse!A$5:AU$105,41,FALSE)&gt;0,VLOOKUP(A75,Schlußkurse!A$5:AU$105,41,FALSE)/VLOOKUP(A75,Ergebnis_je_Aktie_verwässert!A$3:AJ$103,12,FALSE),""),"")</f>
        <v>#N/A</v>
      </c>
      <c r="J75" s="70" t="e">
        <f>IF(VLOOKUP(A75,Ergebnis_je_Aktie_verwässert!A$3:AJ$103,13,FALSE)&gt;0,IF(VLOOKUP(A75,Schlußkurse!A$5:AU$105,42,FALSE)&gt;0,VLOOKUP(A75,Schlußkurse!A$5:AU$105,42,FALSE)/VLOOKUP(A75,Ergebnis_je_Aktie_verwässert!A$3:AJ$103,13,FALSE),""),"")</f>
        <v>#N/A</v>
      </c>
      <c r="K75" s="70" t="e">
        <f>IF(VLOOKUP(A75,Ergebnis_je_Aktie_verwässert!A$3:AJ$103,14,FALSE)&gt;0,IF(VLOOKUP(A75,Schlußkurse!A$5:AU$105,43,FALSE)&gt;0,VLOOKUP(A75,Schlußkurse!A$5:AU$105,43,FALSE)/VLOOKUP(A75,Ergebnis_je_Aktie_verwässert!A$3:AJ$103,14,FALSE),""),"")</f>
        <v>#N/A</v>
      </c>
      <c r="L75" s="70" t="e">
        <f>IF(VLOOKUP(A75,Ergebnis_je_Aktie_verwässert!A$3:AJ$103,15,FALSE)&gt;0,IF(VLOOKUP(A75,Schlußkurse!A$5:AU$105,44,FALSE)&gt;0,VLOOKUP(A75,Schlußkurse!A$5:AU$105,44,FALSE)/VLOOKUP(A75,Ergebnis_je_Aktie_verwässert!A$3:AJ$103,15,FALSE),""),"")</f>
        <v>#N/A</v>
      </c>
      <c r="M75" s="70" t="e">
        <f>IF(VLOOKUP(A75,Ergebnis_je_Aktie_verwässert!A$3:AJ$103,16,FALSE)&gt;0,IF(VLOOKUP(A75,Schlußkurse!A$5:AU$105,45,FALSE)&gt;0,VLOOKUP(A75,Schlußkurse!A$5:AU$105,45,FALSE)/VLOOKUP(A75,Ergebnis_je_Aktie_verwässert!A$3:AJ$103,16,FALSE),""),"")</f>
        <v>#N/A</v>
      </c>
      <c r="N75" s="70" t="e">
        <f>IF(VLOOKUP(A75,Ergebnis_je_Aktie_verwässert!A$3:AJ$103,17,FALSE)&gt;0,IF(VLOOKUP(A75,Schlußkurse!A$5:AU$105,46,FALSE)&gt;0,VLOOKUP(A75,Schlußkurse!A$5:AU$105,46,FALSE)/VLOOKUP(A75,Ergebnis_je_Aktie_verwässert!A$3:AJ$103,17,FALSE),""),"")</f>
        <v>#N/A</v>
      </c>
      <c r="O75" s="70" t="e">
        <f>IF(VLOOKUP(A75,Ergebnis_je_Aktie_verwässert!A$3:AJ$103,18,FALSE)&gt;0,IF(VLOOKUP(A75,Schlußkurse!A$5:AU$105,47,FALSE)&gt;0,VLOOKUP(A75,Schlußkurse!A$5:AU$105,47,FALSE)/VLOOKUP(A75,Ergebnis_je_Aktie_verwässert!A$3:AJ$103,18,FALSE),""),"")</f>
        <v>#N/A</v>
      </c>
      <c r="P75" s="70" t="e">
        <f t="shared" si="4"/>
        <v>#N/A</v>
      </c>
      <c r="Q75" s="3" t="e">
        <f>VLOOKUP(A75,Schlußkurse!A$5:AU$105,35,FALSE)/VLOOKUP(A75,Ergebnis_je_Aktie_verwässert!A$3:AK$103,23,FALSE)</f>
        <v>#N/A</v>
      </c>
      <c r="R75" s="5" t="e">
        <f t="shared" si="5"/>
        <v>#N/A</v>
      </c>
    </row>
    <row r="76" spans="1:18">
      <c r="B76" s="38"/>
      <c r="C76" s="70" t="e">
        <f>IF(VLOOKUP(A76,Ergebnis_je_Aktie_verwässert!A$3:AJ$103,6,FALSE)&gt;0,IF(VLOOKUP(A76,Schlußkurse!A$5:AU$105,35,FALSE)&gt;0,VLOOKUP(A76,Schlußkurse!A$5:AU$105,35,FALSE)/VLOOKUP(A76,Ergebnis_je_Aktie_verwässert!A$3:AJ$103,6,FALSE),""),"")</f>
        <v>#N/A</v>
      </c>
      <c r="D76" s="70" t="e">
        <f>IF(VLOOKUP(A76,Ergebnis_je_Aktie_verwässert!A$3:AJ$103,7,FALSE)&gt;0,IF(VLOOKUP(A76,Schlußkurse!A$5:AU$105,36,FALSE)&gt;0,VLOOKUP(A76,Schlußkurse!A$5:AU$105,36,FALSE)/VLOOKUP(A76,Ergebnis_je_Aktie_verwässert!A$3:AJ$103,7,FALSE),""),"")</f>
        <v>#N/A</v>
      </c>
      <c r="E76" s="70" t="e">
        <f>IF(VLOOKUP(A76,Ergebnis_je_Aktie_verwässert!A$3:AJ$103,8,FALSE)&gt;0,IF(VLOOKUP(A76,Schlußkurse!A$5:AU$105,37,FALSE)&gt;0,VLOOKUP(A76,Schlußkurse!A$5:AU$105,37,FALSE)/VLOOKUP(A76,Ergebnis_je_Aktie_verwässert!A$3:AJ$103,8,FALSE),""),"")</f>
        <v>#N/A</v>
      </c>
      <c r="F76" s="70" t="e">
        <f>IF(VLOOKUP(A76,Ergebnis_je_Aktie_verwässert!A$3:AJ$103,9,FALSE)&gt;0,IF(VLOOKUP(A76,Schlußkurse!A$5:AU$105,38,FALSE)&gt;0,VLOOKUP(A76,Schlußkurse!A$5:AU$105,38,FALSE)/VLOOKUP(A76,Ergebnis_je_Aktie_verwässert!A$3:AJ$103,9,FALSE),""),"")</f>
        <v>#N/A</v>
      </c>
      <c r="G76" s="70" t="e">
        <f>IF(VLOOKUP(A76,Ergebnis_je_Aktie_verwässert!A$3:AJ$103,10,FALSE)&gt;0,IF(VLOOKUP(A76,Schlußkurse!A$5:AU$105,39,FALSE)&gt;0,VLOOKUP(A76,Schlußkurse!A$5:AU$105,39,FALSE)/VLOOKUP(A76,Ergebnis_je_Aktie_verwässert!A$3:AJ$103,10,FALSE),""),"")</f>
        <v>#N/A</v>
      </c>
      <c r="H76" s="70" t="e">
        <f>IF(VLOOKUP(A76,Ergebnis_je_Aktie_verwässert!A$3:AJ$103,11,FALSE)&gt;0,IF(VLOOKUP(A76,Schlußkurse!A$5:AU$105,40,FALSE)&gt;0,VLOOKUP(A76,Schlußkurse!A$5:AU$105,40,FALSE)/VLOOKUP(A76,Ergebnis_je_Aktie_verwässert!A$3:AJ$103,11,FALSE),""),"")</f>
        <v>#N/A</v>
      </c>
      <c r="I76" s="70" t="e">
        <f>IF(VLOOKUP(A76,Ergebnis_je_Aktie_verwässert!A$3:AJ$103,12,FALSE)&gt;0,IF(VLOOKUP(A76,Schlußkurse!A$5:AU$105,41,FALSE)&gt;0,VLOOKUP(A76,Schlußkurse!A$5:AU$105,41,FALSE)/VLOOKUP(A76,Ergebnis_je_Aktie_verwässert!A$3:AJ$103,12,FALSE),""),"")</f>
        <v>#N/A</v>
      </c>
      <c r="J76" s="70" t="e">
        <f>IF(VLOOKUP(A76,Ergebnis_je_Aktie_verwässert!A$3:AJ$103,13,FALSE)&gt;0,IF(VLOOKUP(A76,Schlußkurse!A$5:AU$105,42,FALSE)&gt;0,VLOOKUP(A76,Schlußkurse!A$5:AU$105,42,FALSE)/VLOOKUP(A76,Ergebnis_je_Aktie_verwässert!A$3:AJ$103,13,FALSE),""),"")</f>
        <v>#N/A</v>
      </c>
      <c r="K76" s="70" t="e">
        <f>IF(VLOOKUP(A76,Ergebnis_je_Aktie_verwässert!A$3:AJ$103,14,FALSE)&gt;0,IF(VLOOKUP(A76,Schlußkurse!A$5:AU$105,43,FALSE)&gt;0,VLOOKUP(A76,Schlußkurse!A$5:AU$105,43,FALSE)/VLOOKUP(A76,Ergebnis_je_Aktie_verwässert!A$3:AJ$103,14,FALSE),""),"")</f>
        <v>#N/A</v>
      </c>
      <c r="L76" s="70" t="e">
        <f>IF(VLOOKUP(A76,Ergebnis_je_Aktie_verwässert!A$3:AJ$103,15,FALSE)&gt;0,IF(VLOOKUP(A76,Schlußkurse!A$5:AU$105,44,FALSE)&gt;0,VLOOKUP(A76,Schlußkurse!A$5:AU$105,44,FALSE)/VLOOKUP(A76,Ergebnis_je_Aktie_verwässert!A$3:AJ$103,15,FALSE),""),"")</f>
        <v>#N/A</v>
      </c>
      <c r="M76" s="70" t="e">
        <f>IF(VLOOKUP(A76,Ergebnis_je_Aktie_verwässert!A$3:AJ$103,16,FALSE)&gt;0,IF(VLOOKUP(A76,Schlußkurse!A$5:AU$105,45,FALSE)&gt;0,VLOOKUP(A76,Schlußkurse!A$5:AU$105,45,FALSE)/VLOOKUP(A76,Ergebnis_je_Aktie_verwässert!A$3:AJ$103,16,FALSE),""),"")</f>
        <v>#N/A</v>
      </c>
      <c r="N76" s="70" t="e">
        <f>IF(VLOOKUP(A76,Ergebnis_je_Aktie_verwässert!A$3:AJ$103,17,FALSE)&gt;0,IF(VLOOKUP(A76,Schlußkurse!A$5:AU$105,46,FALSE)&gt;0,VLOOKUP(A76,Schlußkurse!A$5:AU$105,46,FALSE)/VLOOKUP(A76,Ergebnis_je_Aktie_verwässert!A$3:AJ$103,17,FALSE),""),"")</f>
        <v>#N/A</v>
      </c>
      <c r="O76" s="70" t="e">
        <f>IF(VLOOKUP(A76,Ergebnis_je_Aktie_verwässert!A$3:AJ$103,18,FALSE)&gt;0,IF(VLOOKUP(A76,Schlußkurse!A$5:AU$105,47,FALSE)&gt;0,VLOOKUP(A76,Schlußkurse!A$5:AU$105,47,FALSE)/VLOOKUP(A76,Ergebnis_je_Aktie_verwässert!A$3:AJ$103,18,FALSE),""),"")</f>
        <v>#N/A</v>
      </c>
      <c r="P76" s="70" t="e">
        <f t="shared" si="4"/>
        <v>#N/A</v>
      </c>
      <c r="Q76" s="3" t="e">
        <f>VLOOKUP(A76,Schlußkurse!A$5:AU$105,35,FALSE)/VLOOKUP(A76,Ergebnis_je_Aktie_verwässert!A$3:AK$103,23,FALSE)</f>
        <v>#N/A</v>
      </c>
      <c r="R76" s="5" t="e">
        <f t="shared" si="5"/>
        <v>#N/A</v>
      </c>
    </row>
    <row r="77" spans="1:18">
      <c r="B77" s="38"/>
      <c r="C77" s="70" t="e">
        <f>IF(VLOOKUP(A77,Ergebnis_je_Aktie_verwässert!A$3:AJ$103,6,FALSE)&gt;0,IF(VLOOKUP(A77,Schlußkurse!A$5:AU$105,35,FALSE)&gt;0,VLOOKUP(A77,Schlußkurse!A$5:AU$105,35,FALSE)/VLOOKUP(A77,Ergebnis_je_Aktie_verwässert!A$3:AJ$103,6,FALSE),""),"")</f>
        <v>#N/A</v>
      </c>
      <c r="D77" s="70" t="e">
        <f>IF(VLOOKUP(A77,Ergebnis_je_Aktie_verwässert!A$3:AJ$103,7,FALSE)&gt;0,IF(VLOOKUP(A77,Schlußkurse!A$5:AU$105,36,FALSE)&gt;0,VLOOKUP(A77,Schlußkurse!A$5:AU$105,36,FALSE)/VLOOKUP(A77,Ergebnis_je_Aktie_verwässert!A$3:AJ$103,7,FALSE),""),"")</f>
        <v>#N/A</v>
      </c>
      <c r="E77" s="70" t="e">
        <f>IF(VLOOKUP(A77,Ergebnis_je_Aktie_verwässert!A$3:AJ$103,8,FALSE)&gt;0,IF(VLOOKUP(A77,Schlußkurse!A$5:AU$105,37,FALSE)&gt;0,VLOOKUP(A77,Schlußkurse!A$5:AU$105,37,FALSE)/VLOOKUP(A77,Ergebnis_je_Aktie_verwässert!A$3:AJ$103,8,FALSE),""),"")</f>
        <v>#N/A</v>
      </c>
      <c r="F77" s="70" t="e">
        <f>IF(VLOOKUP(A77,Ergebnis_je_Aktie_verwässert!A$3:AJ$103,9,FALSE)&gt;0,IF(VLOOKUP(A77,Schlußkurse!A$5:AU$105,38,FALSE)&gt;0,VLOOKUP(A77,Schlußkurse!A$5:AU$105,38,FALSE)/VLOOKUP(A77,Ergebnis_je_Aktie_verwässert!A$3:AJ$103,9,FALSE),""),"")</f>
        <v>#N/A</v>
      </c>
      <c r="G77" s="70" t="e">
        <f>IF(VLOOKUP(A77,Ergebnis_je_Aktie_verwässert!A$3:AJ$103,10,FALSE)&gt;0,IF(VLOOKUP(A77,Schlußkurse!A$5:AU$105,39,FALSE)&gt;0,VLOOKUP(A77,Schlußkurse!A$5:AU$105,39,FALSE)/VLOOKUP(A77,Ergebnis_je_Aktie_verwässert!A$3:AJ$103,10,FALSE),""),"")</f>
        <v>#N/A</v>
      </c>
      <c r="H77" s="70" t="e">
        <f>IF(VLOOKUP(A77,Ergebnis_je_Aktie_verwässert!A$3:AJ$103,11,FALSE)&gt;0,IF(VLOOKUP(A77,Schlußkurse!A$5:AU$105,40,FALSE)&gt;0,VLOOKUP(A77,Schlußkurse!A$5:AU$105,40,FALSE)/VLOOKUP(A77,Ergebnis_je_Aktie_verwässert!A$3:AJ$103,11,FALSE),""),"")</f>
        <v>#N/A</v>
      </c>
      <c r="I77" s="70" t="e">
        <f>IF(VLOOKUP(A77,Ergebnis_je_Aktie_verwässert!A$3:AJ$103,12,FALSE)&gt;0,IF(VLOOKUP(A77,Schlußkurse!A$5:AU$105,41,FALSE)&gt;0,VLOOKUP(A77,Schlußkurse!A$5:AU$105,41,FALSE)/VLOOKUP(A77,Ergebnis_je_Aktie_verwässert!A$3:AJ$103,12,FALSE),""),"")</f>
        <v>#N/A</v>
      </c>
      <c r="J77" s="70" t="e">
        <f>IF(VLOOKUP(A77,Ergebnis_je_Aktie_verwässert!A$3:AJ$103,13,FALSE)&gt;0,IF(VLOOKUP(A77,Schlußkurse!A$5:AU$105,42,FALSE)&gt;0,VLOOKUP(A77,Schlußkurse!A$5:AU$105,42,FALSE)/VLOOKUP(A77,Ergebnis_je_Aktie_verwässert!A$3:AJ$103,13,FALSE),""),"")</f>
        <v>#N/A</v>
      </c>
      <c r="K77" s="70" t="e">
        <f>IF(VLOOKUP(A77,Ergebnis_je_Aktie_verwässert!A$3:AJ$103,14,FALSE)&gt;0,IF(VLOOKUP(A77,Schlußkurse!A$5:AU$105,43,FALSE)&gt;0,VLOOKUP(A77,Schlußkurse!A$5:AU$105,43,FALSE)/VLOOKUP(A77,Ergebnis_je_Aktie_verwässert!A$3:AJ$103,14,FALSE),""),"")</f>
        <v>#N/A</v>
      </c>
      <c r="L77" s="70" t="e">
        <f>IF(VLOOKUP(A77,Ergebnis_je_Aktie_verwässert!A$3:AJ$103,15,FALSE)&gt;0,IF(VLOOKUP(A77,Schlußkurse!A$5:AU$105,44,FALSE)&gt;0,VLOOKUP(A77,Schlußkurse!A$5:AU$105,44,FALSE)/VLOOKUP(A77,Ergebnis_je_Aktie_verwässert!A$3:AJ$103,15,FALSE),""),"")</f>
        <v>#N/A</v>
      </c>
      <c r="M77" s="70" t="e">
        <f>IF(VLOOKUP(A77,Ergebnis_je_Aktie_verwässert!A$3:AJ$103,16,FALSE)&gt;0,IF(VLOOKUP(A77,Schlußkurse!A$5:AU$105,45,FALSE)&gt;0,VLOOKUP(A77,Schlußkurse!A$5:AU$105,45,FALSE)/VLOOKUP(A77,Ergebnis_je_Aktie_verwässert!A$3:AJ$103,16,FALSE),""),"")</f>
        <v>#N/A</v>
      </c>
      <c r="N77" s="70" t="e">
        <f>IF(VLOOKUP(A77,Ergebnis_je_Aktie_verwässert!A$3:AJ$103,17,FALSE)&gt;0,IF(VLOOKUP(A77,Schlußkurse!A$5:AU$105,46,FALSE)&gt;0,VLOOKUP(A77,Schlußkurse!A$5:AU$105,46,FALSE)/VLOOKUP(A77,Ergebnis_je_Aktie_verwässert!A$3:AJ$103,17,FALSE),""),"")</f>
        <v>#N/A</v>
      </c>
      <c r="O77" s="70" t="e">
        <f>IF(VLOOKUP(A77,Ergebnis_je_Aktie_verwässert!A$3:AJ$103,18,FALSE)&gt;0,IF(VLOOKUP(A77,Schlußkurse!A$5:AU$105,47,FALSE)&gt;0,VLOOKUP(A77,Schlußkurse!A$5:AU$105,47,FALSE)/VLOOKUP(A77,Ergebnis_je_Aktie_verwässert!A$3:AJ$103,18,FALSE),""),"")</f>
        <v>#N/A</v>
      </c>
      <c r="P77" s="70" t="e">
        <f t="shared" si="4"/>
        <v>#N/A</v>
      </c>
      <c r="Q77" s="3" t="e">
        <f>VLOOKUP(A77,Schlußkurse!A$5:AU$105,35,FALSE)/VLOOKUP(A77,Ergebnis_je_Aktie_verwässert!A$3:AK$103,23,FALSE)</f>
        <v>#N/A</v>
      </c>
      <c r="R77" s="5" t="e">
        <f t="shared" si="5"/>
        <v>#N/A</v>
      </c>
    </row>
    <row r="78" spans="1:18">
      <c r="B78" s="38"/>
      <c r="C78" s="70" t="e">
        <f>IF(VLOOKUP(A78,Ergebnis_je_Aktie_verwässert!A$3:AJ$103,6,FALSE)&gt;0,IF(VLOOKUP(A78,Schlußkurse!A$5:AU$105,35,FALSE)&gt;0,VLOOKUP(A78,Schlußkurse!A$5:AU$105,35,FALSE)/VLOOKUP(A78,Ergebnis_je_Aktie_verwässert!A$3:AJ$103,6,FALSE),""),"")</f>
        <v>#N/A</v>
      </c>
      <c r="D78" s="70" t="e">
        <f>IF(VLOOKUP(A78,Ergebnis_je_Aktie_verwässert!A$3:AJ$103,7,FALSE)&gt;0,IF(VLOOKUP(A78,Schlußkurse!A$5:AU$105,36,FALSE)&gt;0,VLOOKUP(A78,Schlußkurse!A$5:AU$105,36,FALSE)/VLOOKUP(A78,Ergebnis_je_Aktie_verwässert!A$3:AJ$103,7,FALSE),""),"")</f>
        <v>#N/A</v>
      </c>
      <c r="E78" s="70" t="e">
        <f>IF(VLOOKUP(A78,Ergebnis_je_Aktie_verwässert!A$3:AJ$103,8,FALSE)&gt;0,IF(VLOOKUP(A78,Schlußkurse!A$5:AU$105,37,FALSE)&gt;0,VLOOKUP(A78,Schlußkurse!A$5:AU$105,37,FALSE)/VLOOKUP(A78,Ergebnis_je_Aktie_verwässert!A$3:AJ$103,8,FALSE),""),"")</f>
        <v>#N/A</v>
      </c>
      <c r="F78" s="70" t="e">
        <f>IF(VLOOKUP(A78,Ergebnis_je_Aktie_verwässert!A$3:AJ$103,9,FALSE)&gt;0,IF(VLOOKUP(A78,Schlußkurse!A$5:AU$105,38,FALSE)&gt;0,VLOOKUP(A78,Schlußkurse!A$5:AU$105,38,FALSE)/VLOOKUP(A78,Ergebnis_je_Aktie_verwässert!A$3:AJ$103,9,FALSE),""),"")</f>
        <v>#N/A</v>
      </c>
      <c r="G78" s="70" t="e">
        <f>IF(VLOOKUP(A78,Ergebnis_je_Aktie_verwässert!A$3:AJ$103,10,FALSE)&gt;0,IF(VLOOKUP(A78,Schlußkurse!A$5:AU$105,39,FALSE)&gt;0,VLOOKUP(A78,Schlußkurse!A$5:AU$105,39,FALSE)/VLOOKUP(A78,Ergebnis_je_Aktie_verwässert!A$3:AJ$103,10,FALSE),""),"")</f>
        <v>#N/A</v>
      </c>
      <c r="H78" s="70" t="e">
        <f>IF(VLOOKUP(A78,Ergebnis_je_Aktie_verwässert!A$3:AJ$103,11,FALSE)&gt;0,IF(VLOOKUP(A78,Schlußkurse!A$5:AU$105,40,FALSE)&gt;0,VLOOKUP(A78,Schlußkurse!A$5:AU$105,40,FALSE)/VLOOKUP(A78,Ergebnis_je_Aktie_verwässert!A$3:AJ$103,11,FALSE),""),"")</f>
        <v>#N/A</v>
      </c>
      <c r="I78" s="70" t="e">
        <f>IF(VLOOKUP(A78,Ergebnis_je_Aktie_verwässert!A$3:AJ$103,12,FALSE)&gt;0,IF(VLOOKUP(A78,Schlußkurse!A$5:AU$105,41,FALSE)&gt;0,VLOOKUP(A78,Schlußkurse!A$5:AU$105,41,FALSE)/VLOOKUP(A78,Ergebnis_je_Aktie_verwässert!A$3:AJ$103,12,FALSE),""),"")</f>
        <v>#N/A</v>
      </c>
      <c r="J78" s="70" t="e">
        <f>IF(VLOOKUP(A78,Ergebnis_je_Aktie_verwässert!A$3:AJ$103,13,FALSE)&gt;0,IF(VLOOKUP(A78,Schlußkurse!A$5:AU$105,42,FALSE)&gt;0,VLOOKUP(A78,Schlußkurse!A$5:AU$105,42,FALSE)/VLOOKUP(A78,Ergebnis_je_Aktie_verwässert!A$3:AJ$103,13,FALSE),""),"")</f>
        <v>#N/A</v>
      </c>
      <c r="K78" s="70" t="e">
        <f>IF(VLOOKUP(A78,Ergebnis_je_Aktie_verwässert!A$3:AJ$103,14,FALSE)&gt;0,IF(VLOOKUP(A78,Schlußkurse!A$5:AU$105,43,FALSE)&gt;0,VLOOKUP(A78,Schlußkurse!A$5:AU$105,43,FALSE)/VLOOKUP(A78,Ergebnis_je_Aktie_verwässert!A$3:AJ$103,14,FALSE),""),"")</f>
        <v>#N/A</v>
      </c>
      <c r="L78" s="70" t="e">
        <f>IF(VLOOKUP(A78,Ergebnis_je_Aktie_verwässert!A$3:AJ$103,15,FALSE)&gt;0,IF(VLOOKUP(A78,Schlußkurse!A$5:AU$105,44,FALSE)&gt;0,VLOOKUP(A78,Schlußkurse!A$5:AU$105,44,FALSE)/VLOOKUP(A78,Ergebnis_je_Aktie_verwässert!A$3:AJ$103,15,FALSE),""),"")</f>
        <v>#N/A</v>
      </c>
      <c r="M78" s="70" t="e">
        <f>IF(VLOOKUP(A78,Ergebnis_je_Aktie_verwässert!A$3:AJ$103,16,FALSE)&gt;0,IF(VLOOKUP(A78,Schlußkurse!A$5:AU$105,45,FALSE)&gt;0,VLOOKUP(A78,Schlußkurse!A$5:AU$105,45,FALSE)/VLOOKUP(A78,Ergebnis_je_Aktie_verwässert!A$3:AJ$103,16,FALSE),""),"")</f>
        <v>#N/A</v>
      </c>
      <c r="N78" s="70" t="e">
        <f>IF(VLOOKUP(A78,Ergebnis_je_Aktie_verwässert!A$3:AJ$103,17,FALSE)&gt;0,IF(VLOOKUP(A78,Schlußkurse!A$5:AU$105,46,FALSE)&gt;0,VLOOKUP(A78,Schlußkurse!A$5:AU$105,46,FALSE)/VLOOKUP(A78,Ergebnis_je_Aktie_verwässert!A$3:AJ$103,17,FALSE),""),"")</f>
        <v>#N/A</v>
      </c>
      <c r="O78" s="70" t="e">
        <f>IF(VLOOKUP(A78,Ergebnis_je_Aktie_verwässert!A$3:AJ$103,18,FALSE)&gt;0,IF(VLOOKUP(A78,Schlußkurse!A$5:AU$105,47,FALSE)&gt;0,VLOOKUP(A78,Schlußkurse!A$5:AU$105,47,FALSE)/VLOOKUP(A78,Ergebnis_je_Aktie_verwässert!A$3:AJ$103,18,FALSE),""),"")</f>
        <v>#N/A</v>
      </c>
      <c r="P78" s="70" t="e">
        <f t="shared" si="4"/>
        <v>#N/A</v>
      </c>
      <c r="Q78" s="3" t="e">
        <f>VLOOKUP(A78,Schlußkurse!A$5:AU$105,35,FALSE)/VLOOKUP(A78,Ergebnis_je_Aktie_verwässert!A$3:AK$103,23,FALSE)</f>
        <v>#N/A</v>
      </c>
      <c r="R78" s="5" t="e">
        <f t="shared" si="5"/>
        <v>#N/A</v>
      </c>
    </row>
    <row r="79" spans="1:18">
      <c r="B79" s="38"/>
      <c r="C79" s="70" t="e">
        <f>IF(VLOOKUP(A79,Ergebnis_je_Aktie_verwässert!A$3:AJ$103,6,FALSE)&gt;0,IF(VLOOKUP(A79,Schlußkurse!A$5:AU$105,35,FALSE)&gt;0,VLOOKUP(A79,Schlußkurse!A$5:AU$105,35,FALSE)/VLOOKUP(A79,Ergebnis_je_Aktie_verwässert!A$3:AJ$103,6,FALSE),""),"")</f>
        <v>#N/A</v>
      </c>
      <c r="D79" s="70" t="e">
        <f>IF(VLOOKUP(A79,Ergebnis_je_Aktie_verwässert!A$3:AJ$103,7,FALSE)&gt;0,IF(VLOOKUP(A79,Schlußkurse!A$5:AU$105,36,FALSE)&gt;0,VLOOKUP(A79,Schlußkurse!A$5:AU$105,36,FALSE)/VLOOKUP(A79,Ergebnis_je_Aktie_verwässert!A$3:AJ$103,7,FALSE),""),"")</f>
        <v>#N/A</v>
      </c>
      <c r="E79" s="70" t="e">
        <f>IF(VLOOKUP(A79,Ergebnis_je_Aktie_verwässert!A$3:AJ$103,8,FALSE)&gt;0,IF(VLOOKUP(A79,Schlußkurse!A$5:AU$105,37,FALSE)&gt;0,VLOOKUP(A79,Schlußkurse!A$5:AU$105,37,FALSE)/VLOOKUP(A79,Ergebnis_je_Aktie_verwässert!A$3:AJ$103,8,FALSE),""),"")</f>
        <v>#N/A</v>
      </c>
      <c r="F79" s="70" t="e">
        <f>IF(VLOOKUP(A79,Ergebnis_je_Aktie_verwässert!A$3:AJ$103,9,FALSE)&gt;0,IF(VLOOKUP(A79,Schlußkurse!A$5:AU$105,38,FALSE)&gt;0,VLOOKUP(A79,Schlußkurse!A$5:AU$105,38,FALSE)/VLOOKUP(A79,Ergebnis_je_Aktie_verwässert!A$3:AJ$103,9,FALSE),""),"")</f>
        <v>#N/A</v>
      </c>
      <c r="G79" s="70" t="e">
        <f>IF(VLOOKUP(A79,Ergebnis_je_Aktie_verwässert!A$3:AJ$103,10,FALSE)&gt;0,IF(VLOOKUP(A79,Schlußkurse!A$5:AU$105,39,FALSE)&gt;0,VLOOKUP(A79,Schlußkurse!A$5:AU$105,39,FALSE)/VLOOKUP(A79,Ergebnis_je_Aktie_verwässert!A$3:AJ$103,10,FALSE),""),"")</f>
        <v>#N/A</v>
      </c>
      <c r="H79" s="70" t="e">
        <f>IF(VLOOKUP(A79,Ergebnis_je_Aktie_verwässert!A$3:AJ$103,11,FALSE)&gt;0,IF(VLOOKUP(A79,Schlußkurse!A$5:AU$105,40,FALSE)&gt;0,VLOOKUP(A79,Schlußkurse!A$5:AU$105,40,FALSE)/VLOOKUP(A79,Ergebnis_je_Aktie_verwässert!A$3:AJ$103,11,FALSE),""),"")</f>
        <v>#N/A</v>
      </c>
      <c r="I79" s="70" t="e">
        <f>IF(VLOOKUP(A79,Ergebnis_je_Aktie_verwässert!A$3:AJ$103,12,FALSE)&gt;0,IF(VLOOKUP(A79,Schlußkurse!A$5:AU$105,41,FALSE)&gt;0,VLOOKUP(A79,Schlußkurse!A$5:AU$105,41,FALSE)/VLOOKUP(A79,Ergebnis_je_Aktie_verwässert!A$3:AJ$103,12,FALSE),""),"")</f>
        <v>#N/A</v>
      </c>
      <c r="J79" s="70" t="e">
        <f>IF(VLOOKUP(A79,Ergebnis_je_Aktie_verwässert!A$3:AJ$103,13,FALSE)&gt;0,IF(VLOOKUP(A79,Schlußkurse!A$5:AU$105,42,FALSE)&gt;0,VLOOKUP(A79,Schlußkurse!A$5:AU$105,42,FALSE)/VLOOKUP(A79,Ergebnis_je_Aktie_verwässert!A$3:AJ$103,13,FALSE),""),"")</f>
        <v>#N/A</v>
      </c>
      <c r="K79" s="70" t="e">
        <f>IF(VLOOKUP(A79,Ergebnis_je_Aktie_verwässert!A$3:AJ$103,14,FALSE)&gt;0,IF(VLOOKUP(A79,Schlußkurse!A$5:AU$105,43,FALSE)&gt;0,VLOOKUP(A79,Schlußkurse!A$5:AU$105,43,FALSE)/VLOOKUP(A79,Ergebnis_je_Aktie_verwässert!A$3:AJ$103,14,FALSE),""),"")</f>
        <v>#N/A</v>
      </c>
      <c r="L79" s="70" t="e">
        <f>IF(VLOOKUP(A79,Ergebnis_je_Aktie_verwässert!A$3:AJ$103,15,FALSE)&gt;0,IF(VLOOKUP(A79,Schlußkurse!A$5:AU$105,44,FALSE)&gt;0,VLOOKUP(A79,Schlußkurse!A$5:AU$105,44,FALSE)/VLOOKUP(A79,Ergebnis_je_Aktie_verwässert!A$3:AJ$103,15,FALSE),""),"")</f>
        <v>#N/A</v>
      </c>
      <c r="M79" s="70" t="e">
        <f>IF(VLOOKUP(A79,Ergebnis_je_Aktie_verwässert!A$3:AJ$103,16,FALSE)&gt;0,IF(VLOOKUP(A79,Schlußkurse!A$5:AU$105,45,FALSE)&gt;0,VLOOKUP(A79,Schlußkurse!A$5:AU$105,45,FALSE)/VLOOKUP(A79,Ergebnis_je_Aktie_verwässert!A$3:AJ$103,16,FALSE),""),"")</f>
        <v>#N/A</v>
      </c>
      <c r="N79" s="70" t="e">
        <f>IF(VLOOKUP(A79,Ergebnis_je_Aktie_verwässert!A$3:AJ$103,17,FALSE)&gt;0,IF(VLOOKUP(A79,Schlußkurse!A$5:AU$105,46,FALSE)&gt;0,VLOOKUP(A79,Schlußkurse!A$5:AU$105,46,FALSE)/VLOOKUP(A79,Ergebnis_je_Aktie_verwässert!A$3:AJ$103,17,FALSE),""),"")</f>
        <v>#N/A</v>
      </c>
      <c r="O79" s="70" t="e">
        <f>IF(VLOOKUP(A79,Ergebnis_je_Aktie_verwässert!A$3:AJ$103,18,FALSE)&gt;0,IF(VLOOKUP(A79,Schlußkurse!A$5:AU$105,47,FALSE)&gt;0,VLOOKUP(A79,Schlußkurse!A$5:AU$105,47,FALSE)/VLOOKUP(A79,Ergebnis_je_Aktie_verwässert!A$3:AJ$103,18,FALSE),""),"")</f>
        <v>#N/A</v>
      </c>
      <c r="P79" s="70" t="e">
        <f t="shared" si="4"/>
        <v>#N/A</v>
      </c>
      <c r="Q79" s="3" t="e">
        <f>VLOOKUP(A79,Schlußkurse!A$5:AU$105,35,FALSE)/VLOOKUP(A79,Ergebnis_je_Aktie_verwässert!A$3:AK$103,23,FALSE)</f>
        <v>#N/A</v>
      </c>
      <c r="R79" s="5" t="e">
        <f t="shared" si="5"/>
        <v>#N/A</v>
      </c>
    </row>
    <row r="80" spans="1:18">
      <c r="B80" s="38"/>
      <c r="C80" s="70" t="e">
        <f>IF(VLOOKUP(A80,Ergebnis_je_Aktie_verwässert!A$3:AJ$103,6,FALSE)&gt;0,IF(VLOOKUP(A80,Schlußkurse!A$5:AU$105,35,FALSE)&gt;0,VLOOKUP(A80,Schlußkurse!A$5:AU$105,35,FALSE)/VLOOKUP(A80,Ergebnis_je_Aktie_verwässert!A$3:AJ$103,6,FALSE),""),"")</f>
        <v>#N/A</v>
      </c>
      <c r="D80" s="70" t="e">
        <f>IF(VLOOKUP(A80,Ergebnis_je_Aktie_verwässert!A$3:AJ$103,7,FALSE)&gt;0,IF(VLOOKUP(A80,Schlußkurse!A$5:AU$105,36,FALSE)&gt;0,VLOOKUP(A80,Schlußkurse!A$5:AU$105,36,FALSE)/VLOOKUP(A80,Ergebnis_je_Aktie_verwässert!A$3:AJ$103,7,FALSE),""),"")</f>
        <v>#N/A</v>
      </c>
      <c r="E80" s="70" t="e">
        <f>IF(VLOOKUP(A80,Ergebnis_je_Aktie_verwässert!A$3:AJ$103,8,FALSE)&gt;0,IF(VLOOKUP(A80,Schlußkurse!A$5:AU$105,37,FALSE)&gt;0,VLOOKUP(A80,Schlußkurse!A$5:AU$105,37,FALSE)/VLOOKUP(A80,Ergebnis_je_Aktie_verwässert!A$3:AJ$103,8,FALSE),""),"")</f>
        <v>#N/A</v>
      </c>
      <c r="F80" s="70" t="e">
        <f>IF(VLOOKUP(A80,Ergebnis_je_Aktie_verwässert!A$3:AJ$103,9,FALSE)&gt;0,IF(VLOOKUP(A80,Schlußkurse!A$5:AU$105,38,FALSE)&gt;0,VLOOKUP(A80,Schlußkurse!A$5:AU$105,38,FALSE)/VLOOKUP(A80,Ergebnis_je_Aktie_verwässert!A$3:AJ$103,9,FALSE),""),"")</f>
        <v>#N/A</v>
      </c>
      <c r="G80" s="70" t="e">
        <f>IF(VLOOKUP(A80,Ergebnis_je_Aktie_verwässert!A$3:AJ$103,10,FALSE)&gt;0,IF(VLOOKUP(A80,Schlußkurse!A$5:AU$105,39,FALSE)&gt;0,VLOOKUP(A80,Schlußkurse!A$5:AU$105,39,FALSE)/VLOOKUP(A80,Ergebnis_je_Aktie_verwässert!A$3:AJ$103,10,FALSE),""),"")</f>
        <v>#N/A</v>
      </c>
      <c r="H80" s="70" t="e">
        <f>IF(VLOOKUP(A80,Ergebnis_je_Aktie_verwässert!A$3:AJ$103,11,FALSE)&gt;0,IF(VLOOKUP(A80,Schlußkurse!A$5:AU$105,40,FALSE)&gt;0,VLOOKUP(A80,Schlußkurse!A$5:AU$105,40,FALSE)/VLOOKUP(A80,Ergebnis_je_Aktie_verwässert!A$3:AJ$103,11,FALSE),""),"")</f>
        <v>#N/A</v>
      </c>
      <c r="I80" s="70" t="e">
        <f>IF(VLOOKUP(A80,Ergebnis_je_Aktie_verwässert!A$3:AJ$103,12,FALSE)&gt;0,IF(VLOOKUP(A80,Schlußkurse!A$5:AU$105,41,FALSE)&gt;0,VLOOKUP(A80,Schlußkurse!A$5:AU$105,41,FALSE)/VLOOKUP(A80,Ergebnis_je_Aktie_verwässert!A$3:AJ$103,12,FALSE),""),"")</f>
        <v>#N/A</v>
      </c>
      <c r="J80" s="70" t="e">
        <f>IF(VLOOKUP(A80,Ergebnis_je_Aktie_verwässert!A$3:AJ$103,13,FALSE)&gt;0,IF(VLOOKUP(A80,Schlußkurse!A$5:AU$105,42,FALSE)&gt;0,VLOOKUP(A80,Schlußkurse!A$5:AU$105,42,FALSE)/VLOOKUP(A80,Ergebnis_je_Aktie_verwässert!A$3:AJ$103,13,FALSE),""),"")</f>
        <v>#N/A</v>
      </c>
      <c r="K80" s="70" t="e">
        <f>IF(VLOOKUP(A80,Ergebnis_je_Aktie_verwässert!A$3:AJ$103,14,FALSE)&gt;0,IF(VLOOKUP(A80,Schlußkurse!A$5:AU$105,43,FALSE)&gt;0,VLOOKUP(A80,Schlußkurse!A$5:AU$105,43,FALSE)/VLOOKUP(A80,Ergebnis_je_Aktie_verwässert!A$3:AJ$103,14,FALSE),""),"")</f>
        <v>#N/A</v>
      </c>
      <c r="L80" s="70" t="e">
        <f>IF(VLOOKUP(A80,Ergebnis_je_Aktie_verwässert!A$3:AJ$103,15,FALSE)&gt;0,IF(VLOOKUP(A80,Schlußkurse!A$5:AU$105,44,FALSE)&gt;0,VLOOKUP(A80,Schlußkurse!A$5:AU$105,44,FALSE)/VLOOKUP(A80,Ergebnis_je_Aktie_verwässert!A$3:AJ$103,15,FALSE),""),"")</f>
        <v>#N/A</v>
      </c>
      <c r="M80" s="70" t="e">
        <f>IF(VLOOKUP(A80,Ergebnis_je_Aktie_verwässert!A$3:AJ$103,16,FALSE)&gt;0,IF(VLOOKUP(A80,Schlußkurse!A$5:AU$105,45,FALSE)&gt;0,VLOOKUP(A80,Schlußkurse!A$5:AU$105,45,FALSE)/VLOOKUP(A80,Ergebnis_je_Aktie_verwässert!A$3:AJ$103,16,FALSE),""),"")</f>
        <v>#N/A</v>
      </c>
      <c r="N80" s="70" t="e">
        <f>IF(VLOOKUP(A80,Ergebnis_je_Aktie_verwässert!A$3:AJ$103,17,FALSE)&gt;0,IF(VLOOKUP(A80,Schlußkurse!A$5:AU$105,46,FALSE)&gt;0,VLOOKUP(A80,Schlußkurse!A$5:AU$105,46,FALSE)/VLOOKUP(A80,Ergebnis_je_Aktie_verwässert!A$3:AJ$103,17,FALSE),""),"")</f>
        <v>#N/A</v>
      </c>
      <c r="O80" s="70" t="e">
        <f>IF(VLOOKUP(A80,Ergebnis_je_Aktie_verwässert!A$3:AJ$103,18,FALSE)&gt;0,IF(VLOOKUP(A80,Schlußkurse!A$5:AU$105,47,FALSE)&gt;0,VLOOKUP(A80,Schlußkurse!A$5:AU$105,47,FALSE)/VLOOKUP(A80,Ergebnis_je_Aktie_verwässert!A$3:AJ$103,18,FALSE),""),"")</f>
        <v>#N/A</v>
      </c>
      <c r="P80" s="70" t="e">
        <f t="shared" si="4"/>
        <v>#N/A</v>
      </c>
      <c r="Q80" s="3" t="e">
        <f>VLOOKUP(A80,Schlußkurse!A$5:AU$105,35,FALSE)/VLOOKUP(A80,Ergebnis_je_Aktie_verwässert!A$3:AK$103,23,FALSE)</f>
        <v>#N/A</v>
      </c>
      <c r="R80" s="5" t="e">
        <f t="shared" si="5"/>
        <v>#N/A</v>
      </c>
    </row>
    <row r="81" spans="2:18">
      <c r="B81" s="38"/>
      <c r="C81" s="70" t="e">
        <f>IF(VLOOKUP(A81,Ergebnis_je_Aktie_verwässert!A$3:AJ$103,6,FALSE)&gt;0,IF(VLOOKUP(A81,Schlußkurse!A$5:AU$105,35,FALSE)&gt;0,VLOOKUP(A81,Schlußkurse!A$5:AU$105,35,FALSE)/VLOOKUP(A81,Ergebnis_je_Aktie_verwässert!A$3:AJ$103,6,FALSE),""),"")</f>
        <v>#N/A</v>
      </c>
      <c r="D81" s="70" t="e">
        <f>IF(VLOOKUP(A81,Ergebnis_je_Aktie_verwässert!A$3:AJ$103,7,FALSE)&gt;0,IF(VLOOKUP(A81,Schlußkurse!A$5:AU$105,36,FALSE)&gt;0,VLOOKUP(A81,Schlußkurse!A$5:AU$105,36,FALSE)/VLOOKUP(A81,Ergebnis_je_Aktie_verwässert!A$3:AJ$103,7,FALSE),""),"")</f>
        <v>#N/A</v>
      </c>
      <c r="E81" s="70" t="e">
        <f>IF(VLOOKUP(A81,Ergebnis_je_Aktie_verwässert!A$3:AJ$103,8,FALSE)&gt;0,IF(VLOOKUP(A81,Schlußkurse!A$5:AU$105,37,FALSE)&gt;0,VLOOKUP(A81,Schlußkurse!A$5:AU$105,37,FALSE)/VLOOKUP(A81,Ergebnis_je_Aktie_verwässert!A$3:AJ$103,8,FALSE),""),"")</f>
        <v>#N/A</v>
      </c>
      <c r="F81" s="70" t="e">
        <f>IF(VLOOKUP(A81,Ergebnis_je_Aktie_verwässert!A$3:AJ$103,9,FALSE)&gt;0,IF(VLOOKUP(A81,Schlußkurse!A$5:AU$105,38,FALSE)&gt;0,VLOOKUP(A81,Schlußkurse!A$5:AU$105,38,FALSE)/VLOOKUP(A81,Ergebnis_je_Aktie_verwässert!A$3:AJ$103,9,FALSE),""),"")</f>
        <v>#N/A</v>
      </c>
      <c r="G81" s="70" t="e">
        <f>IF(VLOOKUP(A81,Ergebnis_je_Aktie_verwässert!A$3:AJ$103,10,FALSE)&gt;0,IF(VLOOKUP(A81,Schlußkurse!A$5:AU$105,39,FALSE)&gt;0,VLOOKUP(A81,Schlußkurse!A$5:AU$105,39,FALSE)/VLOOKUP(A81,Ergebnis_je_Aktie_verwässert!A$3:AJ$103,10,FALSE),""),"")</f>
        <v>#N/A</v>
      </c>
      <c r="H81" s="70" t="e">
        <f>IF(VLOOKUP(A81,Ergebnis_je_Aktie_verwässert!A$3:AJ$103,11,FALSE)&gt;0,IF(VLOOKUP(A81,Schlußkurse!A$5:AU$105,40,FALSE)&gt;0,VLOOKUP(A81,Schlußkurse!A$5:AU$105,40,FALSE)/VLOOKUP(A81,Ergebnis_je_Aktie_verwässert!A$3:AJ$103,11,FALSE),""),"")</f>
        <v>#N/A</v>
      </c>
      <c r="I81" s="70" t="e">
        <f>IF(VLOOKUP(A81,Ergebnis_je_Aktie_verwässert!A$3:AJ$103,12,FALSE)&gt;0,IF(VLOOKUP(A81,Schlußkurse!A$5:AU$105,41,FALSE)&gt;0,VLOOKUP(A81,Schlußkurse!A$5:AU$105,41,FALSE)/VLOOKUP(A81,Ergebnis_je_Aktie_verwässert!A$3:AJ$103,12,FALSE),""),"")</f>
        <v>#N/A</v>
      </c>
      <c r="J81" s="70" t="e">
        <f>IF(VLOOKUP(A81,Ergebnis_je_Aktie_verwässert!A$3:AJ$103,13,FALSE)&gt;0,IF(VLOOKUP(A81,Schlußkurse!A$5:AU$105,42,FALSE)&gt;0,VLOOKUP(A81,Schlußkurse!A$5:AU$105,42,FALSE)/VLOOKUP(A81,Ergebnis_je_Aktie_verwässert!A$3:AJ$103,13,FALSE),""),"")</f>
        <v>#N/A</v>
      </c>
      <c r="K81" s="70" t="e">
        <f>IF(VLOOKUP(A81,Ergebnis_je_Aktie_verwässert!A$3:AJ$103,14,FALSE)&gt;0,IF(VLOOKUP(A81,Schlußkurse!A$5:AU$105,43,FALSE)&gt;0,VLOOKUP(A81,Schlußkurse!A$5:AU$105,43,FALSE)/VLOOKUP(A81,Ergebnis_je_Aktie_verwässert!A$3:AJ$103,14,FALSE),""),"")</f>
        <v>#N/A</v>
      </c>
      <c r="L81" s="70" t="e">
        <f>IF(VLOOKUP(A81,Ergebnis_je_Aktie_verwässert!A$3:AJ$103,15,FALSE)&gt;0,IF(VLOOKUP(A81,Schlußkurse!A$5:AU$105,44,FALSE)&gt;0,VLOOKUP(A81,Schlußkurse!A$5:AU$105,44,FALSE)/VLOOKUP(A81,Ergebnis_je_Aktie_verwässert!A$3:AJ$103,15,FALSE),""),"")</f>
        <v>#N/A</v>
      </c>
      <c r="M81" s="70" t="e">
        <f>IF(VLOOKUP(A81,Ergebnis_je_Aktie_verwässert!A$3:AJ$103,16,FALSE)&gt;0,IF(VLOOKUP(A81,Schlußkurse!A$5:AU$105,45,FALSE)&gt;0,VLOOKUP(A81,Schlußkurse!A$5:AU$105,45,FALSE)/VLOOKUP(A81,Ergebnis_je_Aktie_verwässert!A$3:AJ$103,16,FALSE),""),"")</f>
        <v>#N/A</v>
      </c>
      <c r="N81" s="70" t="e">
        <f>IF(VLOOKUP(A81,Ergebnis_je_Aktie_verwässert!A$3:AJ$103,17,FALSE)&gt;0,IF(VLOOKUP(A81,Schlußkurse!A$5:AU$105,46,FALSE)&gt;0,VLOOKUP(A81,Schlußkurse!A$5:AU$105,46,FALSE)/VLOOKUP(A81,Ergebnis_je_Aktie_verwässert!A$3:AJ$103,17,FALSE),""),"")</f>
        <v>#N/A</v>
      </c>
      <c r="O81" s="70" t="e">
        <f>IF(VLOOKUP(A81,Ergebnis_je_Aktie_verwässert!A$3:AJ$103,18,FALSE)&gt;0,IF(VLOOKUP(A81,Schlußkurse!A$5:AU$105,47,FALSE)&gt;0,VLOOKUP(A81,Schlußkurse!A$5:AU$105,47,FALSE)/VLOOKUP(A81,Ergebnis_je_Aktie_verwässert!A$3:AJ$103,18,FALSE),""),"")</f>
        <v>#N/A</v>
      </c>
      <c r="P81" s="70" t="e">
        <f t="shared" si="4"/>
        <v>#N/A</v>
      </c>
      <c r="Q81" s="3" t="e">
        <f>VLOOKUP(A81,Schlußkurse!A$5:AU$105,35,FALSE)/VLOOKUP(A81,Ergebnis_je_Aktie_verwässert!A$3:AK$103,23,FALSE)</f>
        <v>#N/A</v>
      </c>
      <c r="R81" s="5" t="e">
        <f t="shared" si="5"/>
        <v>#N/A</v>
      </c>
    </row>
    <row r="82" spans="2:18">
      <c r="B82" s="38"/>
      <c r="C82" s="70" t="e">
        <f>IF(VLOOKUP(A82,Ergebnis_je_Aktie_verwässert!A$3:AJ$103,6,FALSE)&gt;0,IF(VLOOKUP(A82,Schlußkurse!A$5:AU$105,35,FALSE)&gt;0,VLOOKUP(A82,Schlußkurse!A$5:AU$105,35,FALSE)/VLOOKUP(A82,Ergebnis_je_Aktie_verwässert!A$3:AJ$103,6,FALSE),""),"")</f>
        <v>#N/A</v>
      </c>
      <c r="D82" s="70" t="e">
        <f>IF(VLOOKUP(A82,Ergebnis_je_Aktie_verwässert!A$3:AJ$103,7,FALSE)&gt;0,IF(VLOOKUP(A82,Schlußkurse!A$5:AU$105,36,FALSE)&gt;0,VLOOKUP(A82,Schlußkurse!A$5:AU$105,36,FALSE)/VLOOKUP(A82,Ergebnis_je_Aktie_verwässert!A$3:AJ$103,7,FALSE),""),"")</f>
        <v>#N/A</v>
      </c>
      <c r="E82" s="70" t="e">
        <f>IF(VLOOKUP(A82,Ergebnis_je_Aktie_verwässert!A$3:AJ$103,8,FALSE)&gt;0,IF(VLOOKUP(A82,Schlußkurse!A$5:AU$105,37,FALSE)&gt;0,VLOOKUP(A82,Schlußkurse!A$5:AU$105,37,FALSE)/VLOOKUP(A82,Ergebnis_je_Aktie_verwässert!A$3:AJ$103,8,FALSE),""),"")</f>
        <v>#N/A</v>
      </c>
      <c r="F82" s="70" t="e">
        <f>IF(VLOOKUP(A82,Ergebnis_je_Aktie_verwässert!A$3:AJ$103,9,FALSE)&gt;0,IF(VLOOKUP(A82,Schlußkurse!A$5:AU$105,38,FALSE)&gt;0,VLOOKUP(A82,Schlußkurse!A$5:AU$105,38,FALSE)/VLOOKUP(A82,Ergebnis_je_Aktie_verwässert!A$3:AJ$103,9,FALSE),""),"")</f>
        <v>#N/A</v>
      </c>
      <c r="G82" s="70" t="e">
        <f>IF(VLOOKUP(A82,Ergebnis_je_Aktie_verwässert!A$3:AJ$103,10,FALSE)&gt;0,IF(VLOOKUP(A82,Schlußkurse!A$5:AU$105,39,FALSE)&gt;0,VLOOKUP(A82,Schlußkurse!A$5:AU$105,39,FALSE)/VLOOKUP(A82,Ergebnis_je_Aktie_verwässert!A$3:AJ$103,10,FALSE),""),"")</f>
        <v>#N/A</v>
      </c>
      <c r="H82" s="70" t="e">
        <f>IF(VLOOKUP(A82,Ergebnis_je_Aktie_verwässert!A$3:AJ$103,11,FALSE)&gt;0,IF(VLOOKUP(A82,Schlußkurse!A$5:AU$105,40,FALSE)&gt;0,VLOOKUP(A82,Schlußkurse!A$5:AU$105,40,FALSE)/VLOOKUP(A82,Ergebnis_je_Aktie_verwässert!A$3:AJ$103,11,FALSE),""),"")</f>
        <v>#N/A</v>
      </c>
      <c r="I82" s="70" t="e">
        <f>IF(VLOOKUP(A82,Ergebnis_je_Aktie_verwässert!A$3:AJ$103,12,FALSE)&gt;0,IF(VLOOKUP(A82,Schlußkurse!A$5:AU$105,41,FALSE)&gt;0,VLOOKUP(A82,Schlußkurse!A$5:AU$105,41,FALSE)/VLOOKUP(A82,Ergebnis_je_Aktie_verwässert!A$3:AJ$103,12,FALSE),""),"")</f>
        <v>#N/A</v>
      </c>
      <c r="J82" s="70" t="e">
        <f>IF(VLOOKUP(A82,Ergebnis_je_Aktie_verwässert!A$3:AJ$103,13,FALSE)&gt;0,IF(VLOOKUP(A82,Schlußkurse!A$5:AU$105,42,FALSE)&gt;0,VLOOKUP(A82,Schlußkurse!A$5:AU$105,42,FALSE)/VLOOKUP(A82,Ergebnis_je_Aktie_verwässert!A$3:AJ$103,13,FALSE),""),"")</f>
        <v>#N/A</v>
      </c>
      <c r="K82" s="70" t="e">
        <f>IF(VLOOKUP(A82,Ergebnis_je_Aktie_verwässert!A$3:AJ$103,14,FALSE)&gt;0,IF(VLOOKUP(A82,Schlußkurse!A$5:AU$105,43,FALSE)&gt;0,VLOOKUP(A82,Schlußkurse!A$5:AU$105,43,FALSE)/VLOOKUP(A82,Ergebnis_je_Aktie_verwässert!A$3:AJ$103,14,FALSE),""),"")</f>
        <v>#N/A</v>
      </c>
      <c r="L82" s="70" t="e">
        <f>IF(VLOOKUP(A82,Ergebnis_je_Aktie_verwässert!A$3:AJ$103,15,FALSE)&gt;0,IF(VLOOKUP(A82,Schlußkurse!A$5:AU$105,44,FALSE)&gt;0,VLOOKUP(A82,Schlußkurse!A$5:AU$105,44,FALSE)/VLOOKUP(A82,Ergebnis_je_Aktie_verwässert!A$3:AJ$103,15,FALSE),""),"")</f>
        <v>#N/A</v>
      </c>
      <c r="M82" s="70" t="e">
        <f>IF(VLOOKUP(A82,Ergebnis_je_Aktie_verwässert!A$3:AJ$103,16,FALSE)&gt;0,IF(VLOOKUP(A82,Schlußkurse!A$5:AU$105,45,FALSE)&gt;0,VLOOKUP(A82,Schlußkurse!A$5:AU$105,45,FALSE)/VLOOKUP(A82,Ergebnis_je_Aktie_verwässert!A$3:AJ$103,16,FALSE),""),"")</f>
        <v>#N/A</v>
      </c>
      <c r="N82" s="70" t="e">
        <f>IF(VLOOKUP(A82,Ergebnis_je_Aktie_verwässert!A$3:AJ$103,17,FALSE)&gt;0,IF(VLOOKUP(A82,Schlußkurse!A$5:AU$105,46,FALSE)&gt;0,VLOOKUP(A82,Schlußkurse!A$5:AU$105,46,FALSE)/VLOOKUP(A82,Ergebnis_je_Aktie_verwässert!A$3:AJ$103,17,FALSE),""),"")</f>
        <v>#N/A</v>
      </c>
      <c r="O82" s="70" t="e">
        <f>IF(VLOOKUP(A82,Ergebnis_je_Aktie_verwässert!A$3:AJ$103,18,FALSE)&gt;0,IF(VLOOKUP(A82,Schlußkurse!A$5:AU$105,47,FALSE)&gt;0,VLOOKUP(A82,Schlußkurse!A$5:AU$105,47,FALSE)/VLOOKUP(A82,Ergebnis_je_Aktie_verwässert!A$3:AJ$103,18,FALSE),""),"")</f>
        <v>#N/A</v>
      </c>
      <c r="P82" s="70" t="e">
        <f t="shared" si="4"/>
        <v>#N/A</v>
      </c>
      <c r="Q82" s="3" t="e">
        <f>VLOOKUP(A82,Schlußkurse!A$5:AU$105,35,FALSE)/VLOOKUP(A82,Ergebnis_je_Aktie_verwässert!A$3:AK$103,23,FALSE)</f>
        <v>#N/A</v>
      </c>
      <c r="R82" s="5" t="e">
        <f t="shared" si="5"/>
        <v>#N/A</v>
      </c>
    </row>
    <row r="83" spans="2:18">
      <c r="B83" s="38"/>
      <c r="C83" s="70" t="e">
        <f>IF(VLOOKUP(A83,Ergebnis_je_Aktie_verwässert!A$3:AJ$103,6,FALSE)&gt;0,IF(VLOOKUP(A83,Schlußkurse!A$5:AU$105,35,FALSE)&gt;0,VLOOKUP(A83,Schlußkurse!A$5:AU$105,35,FALSE)/VLOOKUP(A83,Ergebnis_je_Aktie_verwässert!A$3:AJ$103,6,FALSE),""),"")</f>
        <v>#N/A</v>
      </c>
      <c r="D83" s="70" t="e">
        <f>IF(VLOOKUP(A83,Ergebnis_je_Aktie_verwässert!A$3:AJ$103,7,FALSE)&gt;0,IF(VLOOKUP(A83,Schlußkurse!A$5:AU$105,36,FALSE)&gt;0,VLOOKUP(A83,Schlußkurse!A$5:AU$105,36,FALSE)/VLOOKUP(A83,Ergebnis_je_Aktie_verwässert!A$3:AJ$103,7,FALSE),""),"")</f>
        <v>#N/A</v>
      </c>
      <c r="E83" s="70" t="e">
        <f>IF(VLOOKUP(A83,Ergebnis_je_Aktie_verwässert!A$3:AJ$103,8,FALSE)&gt;0,IF(VLOOKUP(A83,Schlußkurse!A$5:AU$105,37,FALSE)&gt;0,VLOOKUP(A83,Schlußkurse!A$5:AU$105,37,FALSE)/VLOOKUP(A83,Ergebnis_je_Aktie_verwässert!A$3:AJ$103,8,FALSE),""),"")</f>
        <v>#N/A</v>
      </c>
      <c r="F83" s="70" t="e">
        <f>IF(VLOOKUP(A83,Ergebnis_je_Aktie_verwässert!A$3:AJ$103,9,FALSE)&gt;0,IF(VLOOKUP(A83,Schlußkurse!A$5:AU$105,38,FALSE)&gt;0,VLOOKUP(A83,Schlußkurse!A$5:AU$105,38,FALSE)/VLOOKUP(A83,Ergebnis_je_Aktie_verwässert!A$3:AJ$103,9,FALSE),""),"")</f>
        <v>#N/A</v>
      </c>
      <c r="G83" s="70" t="e">
        <f>IF(VLOOKUP(A83,Ergebnis_je_Aktie_verwässert!A$3:AJ$103,10,FALSE)&gt;0,IF(VLOOKUP(A83,Schlußkurse!A$5:AU$105,39,FALSE)&gt;0,VLOOKUP(A83,Schlußkurse!A$5:AU$105,39,FALSE)/VLOOKUP(A83,Ergebnis_je_Aktie_verwässert!A$3:AJ$103,10,FALSE),""),"")</f>
        <v>#N/A</v>
      </c>
      <c r="H83" s="70" t="e">
        <f>IF(VLOOKUP(A83,Ergebnis_je_Aktie_verwässert!A$3:AJ$103,11,FALSE)&gt;0,IF(VLOOKUP(A83,Schlußkurse!A$5:AU$105,40,FALSE)&gt;0,VLOOKUP(A83,Schlußkurse!A$5:AU$105,40,FALSE)/VLOOKUP(A83,Ergebnis_je_Aktie_verwässert!A$3:AJ$103,11,FALSE),""),"")</f>
        <v>#N/A</v>
      </c>
      <c r="I83" s="70" t="e">
        <f>IF(VLOOKUP(A83,Ergebnis_je_Aktie_verwässert!A$3:AJ$103,12,FALSE)&gt;0,IF(VLOOKUP(A83,Schlußkurse!A$5:AU$105,41,FALSE)&gt;0,VLOOKUP(A83,Schlußkurse!A$5:AU$105,41,FALSE)/VLOOKUP(A83,Ergebnis_je_Aktie_verwässert!A$3:AJ$103,12,FALSE),""),"")</f>
        <v>#N/A</v>
      </c>
      <c r="J83" s="70" t="e">
        <f>IF(VLOOKUP(A83,Ergebnis_je_Aktie_verwässert!A$3:AJ$103,13,FALSE)&gt;0,IF(VLOOKUP(A83,Schlußkurse!A$5:AU$105,42,FALSE)&gt;0,VLOOKUP(A83,Schlußkurse!A$5:AU$105,42,FALSE)/VLOOKUP(A83,Ergebnis_je_Aktie_verwässert!A$3:AJ$103,13,FALSE),""),"")</f>
        <v>#N/A</v>
      </c>
      <c r="K83" s="70" t="e">
        <f>IF(VLOOKUP(A83,Ergebnis_je_Aktie_verwässert!A$3:AJ$103,14,FALSE)&gt;0,IF(VLOOKUP(A83,Schlußkurse!A$5:AU$105,43,FALSE)&gt;0,VLOOKUP(A83,Schlußkurse!A$5:AU$105,43,FALSE)/VLOOKUP(A83,Ergebnis_je_Aktie_verwässert!A$3:AJ$103,14,FALSE),""),"")</f>
        <v>#N/A</v>
      </c>
      <c r="L83" s="70" t="e">
        <f>IF(VLOOKUP(A83,Ergebnis_je_Aktie_verwässert!A$3:AJ$103,15,FALSE)&gt;0,IF(VLOOKUP(A83,Schlußkurse!A$5:AU$105,44,FALSE)&gt;0,VLOOKUP(A83,Schlußkurse!A$5:AU$105,44,FALSE)/VLOOKUP(A83,Ergebnis_je_Aktie_verwässert!A$3:AJ$103,15,FALSE),""),"")</f>
        <v>#N/A</v>
      </c>
      <c r="M83" s="70" t="e">
        <f>IF(VLOOKUP(A83,Ergebnis_je_Aktie_verwässert!A$3:AJ$103,16,FALSE)&gt;0,IF(VLOOKUP(A83,Schlußkurse!A$5:AU$105,45,FALSE)&gt;0,VLOOKUP(A83,Schlußkurse!A$5:AU$105,45,FALSE)/VLOOKUP(A83,Ergebnis_je_Aktie_verwässert!A$3:AJ$103,16,FALSE),""),"")</f>
        <v>#N/A</v>
      </c>
      <c r="N83" s="70" t="e">
        <f>IF(VLOOKUP(A83,Ergebnis_je_Aktie_verwässert!A$3:AJ$103,17,FALSE)&gt;0,IF(VLOOKUP(A83,Schlußkurse!A$5:AU$105,46,FALSE)&gt;0,VLOOKUP(A83,Schlußkurse!A$5:AU$105,46,FALSE)/VLOOKUP(A83,Ergebnis_je_Aktie_verwässert!A$3:AJ$103,17,FALSE),""),"")</f>
        <v>#N/A</v>
      </c>
      <c r="O83" s="70" t="e">
        <f>IF(VLOOKUP(A83,Ergebnis_je_Aktie_verwässert!A$3:AJ$103,18,FALSE)&gt;0,IF(VLOOKUP(A83,Schlußkurse!A$5:AU$105,47,FALSE)&gt;0,VLOOKUP(A83,Schlußkurse!A$5:AU$105,47,FALSE)/VLOOKUP(A83,Ergebnis_je_Aktie_verwässert!A$3:AJ$103,18,FALSE),""),"")</f>
        <v>#N/A</v>
      </c>
      <c r="P83" s="70" t="e">
        <f t="shared" si="4"/>
        <v>#N/A</v>
      </c>
      <c r="Q83" s="3" t="e">
        <f>VLOOKUP(A83,Schlußkurse!A$5:AU$105,35,FALSE)/VLOOKUP(A83,Ergebnis_je_Aktie_verwässert!A$3:AK$103,23,FALSE)</f>
        <v>#N/A</v>
      </c>
      <c r="R83" s="5" t="e">
        <f t="shared" si="5"/>
        <v>#N/A</v>
      </c>
    </row>
    <row r="84" spans="2:18">
      <c r="B84" s="38"/>
      <c r="C84" s="70" t="e">
        <f>IF(VLOOKUP(A84,Ergebnis_je_Aktie_verwässert!A$3:AJ$103,6,FALSE)&gt;0,IF(VLOOKUP(A84,Schlußkurse!A$5:AU$105,35,FALSE)&gt;0,VLOOKUP(A84,Schlußkurse!A$5:AU$105,35,FALSE)/VLOOKUP(A84,Ergebnis_je_Aktie_verwässert!A$3:AJ$103,6,FALSE),""),"")</f>
        <v>#N/A</v>
      </c>
      <c r="D84" s="70" t="e">
        <f>IF(VLOOKUP(A84,Ergebnis_je_Aktie_verwässert!A$3:AJ$103,7,FALSE)&gt;0,IF(VLOOKUP(A84,Schlußkurse!A$5:AU$105,36,FALSE)&gt;0,VLOOKUP(A84,Schlußkurse!A$5:AU$105,36,FALSE)/VLOOKUP(A84,Ergebnis_je_Aktie_verwässert!A$3:AJ$103,7,FALSE),""),"")</f>
        <v>#N/A</v>
      </c>
      <c r="E84" s="70" t="e">
        <f>IF(VLOOKUP(A84,Ergebnis_je_Aktie_verwässert!A$3:AJ$103,8,FALSE)&gt;0,IF(VLOOKUP(A84,Schlußkurse!A$5:AU$105,37,FALSE)&gt;0,VLOOKUP(A84,Schlußkurse!A$5:AU$105,37,FALSE)/VLOOKUP(A84,Ergebnis_je_Aktie_verwässert!A$3:AJ$103,8,FALSE),""),"")</f>
        <v>#N/A</v>
      </c>
      <c r="F84" s="70" t="e">
        <f>IF(VLOOKUP(A84,Ergebnis_je_Aktie_verwässert!A$3:AJ$103,9,FALSE)&gt;0,IF(VLOOKUP(A84,Schlußkurse!A$5:AU$105,38,FALSE)&gt;0,VLOOKUP(A84,Schlußkurse!A$5:AU$105,38,FALSE)/VLOOKUP(A84,Ergebnis_je_Aktie_verwässert!A$3:AJ$103,9,FALSE),""),"")</f>
        <v>#N/A</v>
      </c>
      <c r="G84" s="70" t="e">
        <f>IF(VLOOKUP(A84,Ergebnis_je_Aktie_verwässert!A$3:AJ$103,10,FALSE)&gt;0,IF(VLOOKUP(A84,Schlußkurse!A$5:AU$105,39,FALSE)&gt;0,VLOOKUP(A84,Schlußkurse!A$5:AU$105,39,FALSE)/VLOOKUP(A84,Ergebnis_je_Aktie_verwässert!A$3:AJ$103,10,FALSE),""),"")</f>
        <v>#N/A</v>
      </c>
      <c r="H84" s="70" t="e">
        <f>IF(VLOOKUP(A84,Ergebnis_je_Aktie_verwässert!A$3:AJ$103,11,FALSE)&gt;0,IF(VLOOKUP(A84,Schlußkurse!A$5:AU$105,40,FALSE)&gt;0,VLOOKUP(A84,Schlußkurse!A$5:AU$105,40,FALSE)/VLOOKUP(A84,Ergebnis_je_Aktie_verwässert!A$3:AJ$103,11,FALSE),""),"")</f>
        <v>#N/A</v>
      </c>
      <c r="I84" s="70" t="e">
        <f>IF(VLOOKUP(A84,Ergebnis_je_Aktie_verwässert!A$3:AJ$103,12,FALSE)&gt;0,IF(VLOOKUP(A84,Schlußkurse!A$5:AU$105,41,FALSE)&gt;0,VLOOKUP(A84,Schlußkurse!A$5:AU$105,41,FALSE)/VLOOKUP(A84,Ergebnis_je_Aktie_verwässert!A$3:AJ$103,12,FALSE),""),"")</f>
        <v>#N/A</v>
      </c>
      <c r="J84" s="70" t="e">
        <f>IF(VLOOKUP(A84,Ergebnis_je_Aktie_verwässert!A$3:AJ$103,13,FALSE)&gt;0,IF(VLOOKUP(A84,Schlußkurse!A$5:AU$105,42,FALSE)&gt;0,VLOOKUP(A84,Schlußkurse!A$5:AU$105,42,FALSE)/VLOOKUP(A84,Ergebnis_je_Aktie_verwässert!A$3:AJ$103,13,FALSE),""),"")</f>
        <v>#N/A</v>
      </c>
      <c r="K84" s="70" t="e">
        <f>IF(VLOOKUP(A84,Ergebnis_je_Aktie_verwässert!A$3:AJ$103,14,FALSE)&gt;0,IF(VLOOKUP(A84,Schlußkurse!A$5:AU$105,43,FALSE)&gt;0,VLOOKUP(A84,Schlußkurse!A$5:AU$105,43,FALSE)/VLOOKUP(A84,Ergebnis_je_Aktie_verwässert!A$3:AJ$103,14,FALSE),""),"")</f>
        <v>#N/A</v>
      </c>
      <c r="L84" s="70" t="e">
        <f>IF(VLOOKUP(A84,Ergebnis_je_Aktie_verwässert!A$3:AJ$103,15,FALSE)&gt;0,IF(VLOOKUP(A84,Schlußkurse!A$5:AU$105,44,FALSE)&gt;0,VLOOKUP(A84,Schlußkurse!A$5:AU$105,44,FALSE)/VLOOKUP(A84,Ergebnis_je_Aktie_verwässert!A$3:AJ$103,15,FALSE),""),"")</f>
        <v>#N/A</v>
      </c>
      <c r="M84" s="70" t="e">
        <f>IF(VLOOKUP(A84,Ergebnis_je_Aktie_verwässert!A$3:AJ$103,16,FALSE)&gt;0,IF(VLOOKUP(A84,Schlußkurse!A$5:AU$105,45,FALSE)&gt;0,VLOOKUP(A84,Schlußkurse!A$5:AU$105,45,FALSE)/VLOOKUP(A84,Ergebnis_je_Aktie_verwässert!A$3:AJ$103,16,FALSE),""),"")</f>
        <v>#N/A</v>
      </c>
      <c r="N84" s="70" t="e">
        <f>IF(VLOOKUP(A84,Ergebnis_je_Aktie_verwässert!A$3:AJ$103,17,FALSE)&gt;0,IF(VLOOKUP(A84,Schlußkurse!A$5:AU$105,46,FALSE)&gt;0,VLOOKUP(A84,Schlußkurse!A$5:AU$105,46,FALSE)/VLOOKUP(A84,Ergebnis_je_Aktie_verwässert!A$3:AJ$103,17,FALSE),""),"")</f>
        <v>#N/A</v>
      </c>
      <c r="O84" s="70" t="e">
        <f>IF(VLOOKUP(A84,Ergebnis_je_Aktie_verwässert!A$3:AJ$103,18,FALSE)&gt;0,IF(VLOOKUP(A84,Schlußkurse!A$5:AU$105,47,FALSE)&gt;0,VLOOKUP(A84,Schlußkurse!A$5:AU$105,47,FALSE)/VLOOKUP(A84,Ergebnis_je_Aktie_verwässert!A$3:AJ$103,18,FALSE),""),"")</f>
        <v>#N/A</v>
      </c>
      <c r="P84" s="70" t="e">
        <f t="shared" si="4"/>
        <v>#N/A</v>
      </c>
      <c r="Q84" s="3" t="e">
        <f>VLOOKUP(A84,Schlußkurse!A$5:AU$105,35,FALSE)/VLOOKUP(A84,Ergebnis_je_Aktie_verwässert!A$3:AK$103,23,FALSE)</f>
        <v>#N/A</v>
      </c>
      <c r="R84" s="5" t="e">
        <f t="shared" si="5"/>
        <v>#N/A</v>
      </c>
    </row>
    <row r="85" spans="2:18">
      <c r="B85" s="38"/>
      <c r="C85" s="70" t="e">
        <f>IF(VLOOKUP(A85,Ergebnis_je_Aktie_verwässert!A$3:AJ$103,6,FALSE)&gt;0,IF(VLOOKUP(A85,Schlußkurse!A$5:AU$105,35,FALSE)&gt;0,VLOOKUP(A85,Schlußkurse!A$5:AU$105,35,FALSE)/VLOOKUP(A85,Ergebnis_je_Aktie_verwässert!A$3:AJ$103,6,FALSE),""),"")</f>
        <v>#N/A</v>
      </c>
      <c r="D85" s="70" t="e">
        <f>IF(VLOOKUP(A85,Ergebnis_je_Aktie_verwässert!A$3:AJ$103,7,FALSE)&gt;0,IF(VLOOKUP(A85,Schlußkurse!A$5:AU$105,36,FALSE)&gt;0,VLOOKUP(A85,Schlußkurse!A$5:AU$105,36,FALSE)/VLOOKUP(A85,Ergebnis_je_Aktie_verwässert!A$3:AJ$103,7,FALSE),""),"")</f>
        <v>#N/A</v>
      </c>
      <c r="E85" s="70" t="e">
        <f>IF(VLOOKUP(A85,Ergebnis_je_Aktie_verwässert!A$3:AJ$103,8,FALSE)&gt;0,IF(VLOOKUP(A85,Schlußkurse!A$5:AU$105,37,FALSE)&gt;0,VLOOKUP(A85,Schlußkurse!A$5:AU$105,37,FALSE)/VLOOKUP(A85,Ergebnis_je_Aktie_verwässert!A$3:AJ$103,8,FALSE),""),"")</f>
        <v>#N/A</v>
      </c>
      <c r="F85" s="70" t="e">
        <f>IF(VLOOKUP(A85,Ergebnis_je_Aktie_verwässert!A$3:AJ$103,9,FALSE)&gt;0,IF(VLOOKUP(A85,Schlußkurse!A$5:AU$105,38,FALSE)&gt;0,VLOOKUP(A85,Schlußkurse!A$5:AU$105,38,FALSE)/VLOOKUP(A85,Ergebnis_je_Aktie_verwässert!A$3:AJ$103,9,FALSE),""),"")</f>
        <v>#N/A</v>
      </c>
      <c r="G85" s="70" t="e">
        <f>IF(VLOOKUP(A85,Ergebnis_je_Aktie_verwässert!A$3:AJ$103,10,FALSE)&gt;0,IF(VLOOKUP(A85,Schlußkurse!A$5:AU$105,39,FALSE)&gt;0,VLOOKUP(A85,Schlußkurse!A$5:AU$105,39,FALSE)/VLOOKUP(A85,Ergebnis_je_Aktie_verwässert!A$3:AJ$103,10,FALSE),""),"")</f>
        <v>#N/A</v>
      </c>
      <c r="H85" s="70" t="e">
        <f>IF(VLOOKUP(A85,Ergebnis_je_Aktie_verwässert!A$3:AJ$103,11,FALSE)&gt;0,IF(VLOOKUP(A85,Schlußkurse!A$5:AU$105,40,FALSE)&gt;0,VLOOKUP(A85,Schlußkurse!A$5:AU$105,40,FALSE)/VLOOKUP(A85,Ergebnis_je_Aktie_verwässert!A$3:AJ$103,11,FALSE),""),"")</f>
        <v>#N/A</v>
      </c>
      <c r="I85" s="70" t="e">
        <f>IF(VLOOKUP(A85,Ergebnis_je_Aktie_verwässert!A$3:AJ$103,12,FALSE)&gt;0,IF(VLOOKUP(A85,Schlußkurse!A$5:AU$105,41,FALSE)&gt;0,VLOOKUP(A85,Schlußkurse!A$5:AU$105,41,FALSE)/VLOOKUP(A85,Ergebnis_je_Aktie_verwässert!A$3:AJ$103,12,FALSE),""),"")</f>
        <v>#N/A</v>
      </c>
      <c r="J85" s="70" t="e">
        <f>IF(VLOOKUP(A85,Ergebnis_je_Aktie_verwässert!A$3:AJ$103,13,FALSE)&gt;0,IF(VLOOKUP(A85,Schlußkurse!A$5:AU$105,42,FALSE)&gt;0,VLOOKUP(A85,Schlußkurse!A$5:AU$105,42,FALSE)/VLOOKUP(A85,Ergebnis_je_Aktie_verwässert!A$3:AJ$103,13,FALSE),""),"")</f>
        <v>#N/A</v>
      </c>
      <c r="K85" s="70" t="e">
        <f>IF(VLOOKUP(A85,Ergebnis_je_Aktie_verwässert!A$3:AJ$103,14,FALSE)&gt;0,IF(VLOOKUP(A85,Schlußkurse!A$5:AU$105,43,FALSE)&gt;0,VLOOKUP(A85,Schlußkurse!A$5:AU$105,43,FALSE)/VLOOKUP(A85,Ergebnis_je_Aktie_verwässert!A$3:AJ$103,14,FALSE),""),"")</f>
        <v>#N/A</v>
      </c>
      <c r="L85" s="70" t="e">
        <f>IF(VLOOKUP(A85,Ergebnis_je_Aktie_verwässert!A$3:AJ$103,15,FALSE)&gt;0,IF(VLOOKUP(A85,Schlußkurse!A$5:AU$105,44,FALSE)&gt;0,VLOOKUP(A85,Schlußkurse!A$5:AU$105,44,FALSE)/VLOOKUP(A85,Ergebnis_je_Aktie_verwässert!A$3:AJ$103,15,FALSE),""),"")</f>
        <v>#N/A</v>
      </c>
      <c r="M85" s="70" t="e">
        <f>IF(VLOOKUP(A85,Ergebnis_je_Aktie_verwässert!A$3:AJ$103,16,FALSE)&gt;0,IF(VLOOKUP(A85,Schlußkurse!A$5:AU$105,45,FALSE)&gt;0,VLOOKUP(A85,Schlußkurse!A$5:AU$105,45,FALSE)/VLOOKUP(A85,Ergebnis_je_Aktie_verwässert!A$3:AJ$103,16,FALSE),""),"")</f>
        <v>#N/A</v>
      </c>
      <c r="N85" s="70" t="e">
        <f>IF(VLOOKUP(A85,Ergebnis_je_Aktie_verwässert!A$3:AJ$103,17,FALSE)&gt;0,IF(VLOOKUP(A85,Schlußkurse!A$5:AU$105,46,FALSE)&gt;0,VLOOKUP(A85,Schlußkurse!A$5:AU$105,46,FALSE)/VLOOKUP(A85,Ergebnis_je_Aktie_verwässert!A$3:AJ$103,17,FALSE),""),"")</f>
        <v>#N/A</v>
      </c>
      <c r="O85" s="70" t="e">
        <f>IF(VLOOKUP(A85,Ergebnis_je_Aktie_verwässert!A$3:AJ$103,18,FALSE)&gt;0,IF(VLOOKUP(A85,Schlußkurse!A$5:AU$105,47,FALSE)&gt;0,VLOOKUP(A85,Schlußkurse!A$5:AU$105,47,FALSE)/VLOOKUP(A85,Ergebnis_je_Aktie_verwässert!A$3:AJ$103,18,FALSE),""),"")</f>
        <v>#N/A</v>
      </c>
      <c r="P85" s="70" t="e">
        <f t="shared" si="4"/>
        <v>#N/A</v>
      </c>
      <c r="Q85" s="3" t="e">
        <f>VLOOKUP(A85,Schlußkurse!A$5:AU$105,35,FALSE)/VLOOKUP(A85,Ergebnis_je_Aktie_verwässert!A$3:AK$103,23,FALSE)</f>
        <v>#N/A</v>
      </c>
      <c r="R85" s="5" t="e">
        <f t="shared" si="5"/>
        <v>#N/A</v>
      </c>
    </row>
    <row r="86" spans="2:18">
      <c r="B86" s="38"/>
      <c r="C86" s="70" t="e">
        <f>IF(VLOOKUP(A86,Ergebnis_je_Aktie_verwässert!A$3:AJ$103,6,FALSE)&gt;0,IF(VLOOKUP(A86,Schlußkurse!A$5:AU$105,35,FALSE)&gt;0,VLOOKUP(A86,Schlußkurse!A$5:AU$105,35,FALSE)/VLOOKUP(A86,Ergebnis_je_Aktie_verwässert!A$3:AJ$103,6,FALSE),""),"")</f>
        <v>#N/A</v>
      </c>
      <c r="D86" s="70" t="e">
        <f>IF(VLOOKUP(A86,Ergebnis_je_Aktie_verwässert!A$3:AJ$103,7,FALSE)&gt;0,IF(VLOOKUP(A86,Schlußkurse!A$5:AU$105,36,FALSE)&gt;0,VLOOKUP(A86,Schlußkurse!A$5:AU$105,36,FALSE)/VLOOKUP(A86,Ergebnis_je_Aktie_verwässert!A$3:AJ$103,7,FALSE),""),"")</f>
        <v>#N/A</v>
      </c>
      <c r="E86" s="70" t="e">
        <f>IF(VLOOKUP(A86,Ergebnis_je_Aktie_verwässert!A$3:AJ$103,8,FALSE)&gt;0,IF(VLOOKUP(A86,Schlußkurse!A$5:AU$105,37,FALSE)&gt;0,VLOOKUP(A86,Schlußkurse!A$5:AU$105,37,FALSE)/VLOOKUP(A86,Ergebnis_je_Aktie_verwässert!A$3:AJ$103,8,FALSE),""),"")</f>
        <v>#N/A</v>
      </c>
      <c r="F86" s="70" t="e">
        <f>IF(VLOOKUP(A86,Ergebnis_je_Aktie_verwässert!A$3:AJ$103,9,FALSE)&gt;0,IF(VLOOKUP(A86,Schlußkurse!A$5:AU$105,38,FALSE)&gt;0,VLOOKUP(A86,Schlußkurse!A$5:AU$105,38,FALSE)/VLOOKUP(A86,Ergebnis_je_Aktie_verwässert!A$3:AJ$103,9,FALSE),""),"")</f>
        <v>#N/A</v>
      </c>
      <c r="G86" s="70" t="e">
        <f>IF(VLOOKUP(A86,Ergebnis_je_Aktie_verwässert!A$3:AJ$103,10,FALSE)&gt;0,IF(VLOOKUP(A86,Schlußkurse!A$5:AU$105,39,FALSE)&gt;0,VLOOKUP(A86,Schlußkurse!A$5:AU$105,39,FALSE)/VLOOKUP(A86,Ergebnis_je_Aktie_verwässert!A$3:AJ$103,10,FALSE),""),"")</f>
        <v>#N/A</v>
      </c>
      <c r="H86" s="70" t="e">
        <f>IF(VLOOKUP(A86,Ergebnis_je_Aktie_verwässert!A$3:AJ$103,11,FALSE)&gt;0,IF(VLOOKUP(A86,Schlußkurse!A$5:AU$105,40,FALSE)&gt;0,VLOOKUP(A86,Schlußkurse!A$5:AU$105,40,FALSE)/VLOOKUP(A86,Ergebnis_je_Aktie_verwässert!A$3:AJ$103,11,FALSE),""),"")</f>
        <v>#N/A</v>
      </c>
      <c r="I86" s="70" t="e">
        <f>IF(VLOOKUP(A86,Ergebnis_je_Aktie_verwässert!A$3:AJ$103,12,FALSE)&gt;0,IF(VLOOKUP(A86,Schlußkurse!A$5:AU$105,41,FALSE)&gt;0,VLOOKUP(A86,Schlußkurse!A$5:AU$105,41,FALSE)/VLOOKUP(A86,Ergebnis_je_Aktie_verwässert!A$3:AJ$103,12,FALSE),""),"")</f>
        <v>#N/A</v>
      </c>
      <c r="J86" s="70" t="e">
        <f>IF(VLOOKUP(A86,Ergebnis_je_Aktie_verwässert!A$3:AJ$103,13,FALSE)&gt;0,IF(VLOOKUP(A86,Schlußkurse!A$5:AU$105,42,FALSE)&gt;0,VLOOKUP(A86,Schlußkurse!A$5:AU$105,42,FALSE)/VLOOKUP(A86,Ergebnis_je_Aktie_verwässert!A$3:AJ$103,13,FALSE),""),"")</f>
        <v>#N/A</v>
      </c>
      <c r="K86" s="70" t="e">
        <f>IF(VLOOKUP(A86,Ergebnis_je_Aktie_verwässert!A$3:AJ$103,14,FALSE)&gt;0,IF(VLOOKUP(A86,Schlußkurse!A$5:AU$105,43,FALSE)&gt;0,VLOOKUP(A86,Schlußkurse!A$5:AU$105,43,FALSE)/VLOOKUP(A86,Ergebnis_je_Aktie_verwässert!A$3:AJ$103,14,FALSE),""),"")</f>
        <v>#N/A</v>
      </c>
      <c r="L86" s="70" t="e">
        <f>IF(VLOOKUP(A86,Ergebnis_je_Aktie_verwässert!A$3:AJ$103,15,FALSE)&gt;0,IF(VLOOKUP(A86,Schlußkurse!A$5:AU$105,44,FALSE)&gt;0,VLOOKUP(A86,Schlußkurse!A$5:AU$105,44,FALSE)/VLOOKUP(A86,Ergebnis_je_Aktie_verwässert!A$3:AJ$103,15,FALSE),""),"")</f>
        <v>#N/A</v>
      </c>
      <c r="M86" s="70" t="e">
        <f>IF(VLOOKUP(A86,Ergebnis_je_Aktie_verwässert!A$3:AJ$103,16,FALSE)&gt;0,IF(VLOOKUP(A86,Schlußkurse!A$5:AU$105,45,FALSE)&gt;0,VLOOKUP(A86,Schlußkurse!A$5:AU$105,45,FALSE)/VLOOKUP(A86,Ergebnis_je_Aktie_verwässert!A$3:AJ$103,16,FALSE),""),"")</f>
        <v>#N/A</v>
      </c>
      <c r="N86" s="70" t="e">
        <f>IF(VLOOKUP(A86,Ergebnis_je_Aktie_verwässert!A$3:AJ$103,17,FALSE)&gt;0,IF(VLOOKUP(A86,Schlußkurse!A$5:AU$105,46,FALSE)&gt;0,VLOOKUP(A86,Schlußkurse!A$5:AU$105,46,FALSE)/VLOOKUP(A86,Ergebnis_je_Aktie_verwässert!A$3:AJ$103,17,FALSE),""),"")</f>
        <v>#N/A</v>
      </c>
      <c r="O86" s="70" t="e">
        <f>IF(VLOOKUP(A86,Ergebnis_je_Aktie_verwässert!A$3:AJ$103,18,FALSE)&gt;0,IF(VLOOKUP(A86,Schlußkurse!A$5:AU$105,47,FALSE)&gt;0,VLOOKUP(A86,Schlußkurse!A$5:AU$105,47,FALSE)/VLOOKUP(A86,Ergebnis_je_Aktie_verwässert!A$3:AJ$103,18,FALSE),""),"")</f>
        <v>#N/A</v>
      </c>
      <c r="P86" s="70" t="e">
        <f t="shared" si="4"/>
        <v>#N/A</v>
      </c>
      <c r="Q86" s="3" t="e">
        <f>VLOOKUP(A86,Schlußkurse!A$5:AU$105,35,FALSE)/VLOOKUP(A86,Ergebnis_je_Aktie_verwässert!A$3:AK$103,23,FALSE)</f>
        <v>#N/A</v>
      </c>
      <c r="R86" s="5" t="e">
        <f t="shared" si="5"/>
        <v>#N/A</v>
      </c>
    </row>
    <row r="87" spans="2:18">
      <c r="B87" s="38"/>
      <c r="C87" s="70" t="e">
        <f>IF(VLOOKUP(A87,Ergebnis_je_Aktie_verwässert!A$3:AJ$103,6,FALSE)&gt;0,IF(VLOOKUP(A87,Schlußkurse!A$5:AU$105,35,FALSE)&gt;0,VLOOKUP(A87,Schlußkurse!A$5:AU$105,35,FALSE)/VLOOKUP(A87,Ergebnis_je_Aktie_verwässert!A$3:AJ$103,6,FALSE),""),"")</f>
        <v>#N/A</v>
      </c>
      <c r="D87" s="70" t="e">
        <f>IF(VLOOKUP(A87,Ergebnis_je_Aktie_verwässert!A$3:AJ$103,7,FALSE)&gt;0,IF(VLOOKUP(A87,Schlußkurse!A$5:AU$105,36,FALSE)&gt;0,VLOOKUP(A87,Schlußkurse!A$5:AU$105,36,FALSE)/VLOOKUP(A87,Ergebnis_je_Aktie_verwässert!A$3:AJ$103,7,FALSE),""),"")</f>
        <v>#N/A</v>
      </c>
      <c r="E87" s="70" t="e">
        <f>IF(VLOOKUP(A87,Ergebnis_je_Aktie_verwässert!A$3:AJ$103,8,FALSE)&gt;0,IF(VLOOKUP(A87,Schlußkurse!A$5:AU$105,37,FALSE)&gt;0,VLOOKUP(A87,Schlußkurse!A$5:AU$105,37,FALSE)/VLOOKUP(A87,Ergebnis_je_Aktie_verwässert!A$3:AJ$103,8,FALSE),""),"")</f>
        <v>#N/A</v>
      </c>
      <c r="F87" s="70" t="e">
        <f>IF(VLOOKUP(A87,Ergebnis_je_Aktie_verwässert!A$3:AJ$103,9,FALSE)&gt;0,IF(VLOOKUP(A87,Schlußkurse!A$5:AU$105,38,FALSE)&gt;0,VLOOKUP(A87,Schlußkurse!A$5:AU$105,38,FALSE)/VLOOKUP(A87,Ergebnis_je_Aktie_verwässert!A$3:AJ$103,9,FALSE),""),"")</f>
        <v>#N/A</v>
      </c>
      <c r="G87" s="70" t="e">
        <f>IF(VLOOKUP(A87,Ergebnis_je_Aktie_verwässert!A$3:AJ$103,10,FALSE)&gt;0,IF(VLOOKUP(A87,Schlußkurse!A$5:AU$105,39,FALSE)&gt;0,VLOOKUP(A87,Schlußkurse!A$5:AU$105,39,FALSE)/VLOOKUP(A87,Ergebnis_je_Aktie_verwässert!A$3:AJ$103,10,FALSE),""),"")</f>
        <v>#N/A</v>
      </c>
      <c r="H87" s="70" t="e">
        <f>IF(VLOOKUP(A87,Ergebnis_je_Aktie_verwässert!A$3:AJ$103,11,FALSE)&gt;0,IF(VLOOKUP(A87,Schlußkurse!A$5:AU$105,40,FALSE)&gt;0,VLOOKUP(A87,Schlußkurse!A$5:AU$105,40,FALSE)/VLOOKUP(A87,Ergebnis_je_Aktie_verwässert!A$3:AJ$103,11,FALSE),""),"")</f>
        <v>#N/A</v>
      </c>
      <c r="I87" s="70" t="e">
        <f>IF(VLOOKUP(A87,Ergebnis_je_Aktie_verwässert!A$3:AJ$103,12,FALSE)&gt;0,IF(VLOOKUP(A87,Schlußkurse!A$5:AU$105,41,FALSE)&gt;0,VLOOKUP(A87,Schlußkurse!A$5:AU$105,41,FALSE)/VLOOKUP(A87,Ergebnis_je_Aktie_verwässert!A$3:AJ$103,12,FALSE),""),"")</f>
        <v>#N/A</v>
      </c>
      <c r="J87" s="70" t="e">
        <f>IF(VLOOKUP(A87,Ergebnis_je_Aktie_verwässert!A$3:AJ$103,13,FALSE)&gt;0,IF(VLOOKUP(A87,Schlußkurse!A$5:AU$105,42,FALSE)&gt;0,VLOOKUP(A87,Schlußkurse!A$5:AU$105,42,FALSE)/VLOOKUP(A87,Ergebnis_je_Aktie_verwässert!A$3:AJ$103,13,FALSE),""),"")</f>
        <v>#N/A</v>
      </c>
      <c r="K87" s="70" t="e">
        <f>IF(VLOOKUP(A87,Ergebnis_je_Aktie_verwässert!A$3:AJ$103,14,FALSE)&gt;0,IF(VLOOKUP(A87,Schlußkurse!A$5:AU$105,43,FALSE)&gt;0,VLOOKUP(A87,Schlußkurse!A$5:AU$105,43,FALSE)/VLOOKUP(A87,Ergebnis_je_Aktie_verwässert!A$3:AJ$103,14,FALSE),""),"")</f>
        <v>#N/A</v>
      </c>
      <c r="L87" s="70" t="e">
        <f>IF(VLOOKUP(A87,Ergebnis_je_Aktie_verwässert!A$3:AJ$103,15,FALSE)&gt;0,IF(VLOOKUP(A87,Schlußkurse!A$5:AU$105,44,FALSE)&gt;0,VLOOKUP(A87,Schlußkurse!A$5:AU$105,44,FALSE)/VLOOKUP(A87,Ergebnis_je_Aktie_verwässert!A$3:AJ$103,15,FALSE),""),"")</f>
        <v>#N/A</v>
      </c>
      <c r="M87" s="70" t="e">
        <f>IF(VLOOKUP(A87,Ergebnis_je_Aktie_verwässert!A$3:AJ$103,16,FALSE)&gt;0,IF(VLOOKUP(A87,Schlußkurse!A$5:AU$105,45,FALSE)&gt;0,VLOOKUP(A87,Schlußkurse!A$5:AU$105,45,FALSE)/VLOOKUP(A87,Ergebnis_je_Aktie_verwässert!A$3:AJ$103,16,FALSE),""),"")</f>
        <v>#N/A</v>
      </c>
      <c r="N87" s="70" t="e">
        <f>IF(VLOOKUP(A87,Ergebnis_je_Aktie_verwässert!A$3:AJ$103,17,FALSE)&gt;0,IF(VLOOKUP(A87,Schlußkurse!A$5:AU$105,46,FALSE)&gt;0,VLOOKUP(A87,Schlußkurse!A$5:AU$105,46,FALSE)/VLOOKUP(A87,Ergebnis_je_Aktie_verwässert!A$3:AJ$103,17,FALSE),""),"")</f>
        <v>#N/A</v>
      </c>
      <c r="O87" s="70" t="e">
        <f>IF(VLOOKUP(A87,Ergebnis_je_Aktie_verwässert!A$3:AJ$103,18,FALSE)&gt;0,IF(VLOOKUP(A87,Schlußkurse!A$5:AU$105,47,FALSE)&gt;0,VLOOKUP(A87,Schlußkurse!A$5:AU$105,47,FALSE)/VLOOKUP(A87,Ergebnis_je_Aktie_verwässert!A$3:AJ$103,18,FALSE),""),"")</f>
        <v>#N/A</v>
      </c>
      <c r="P87" s="70" t="e">
        <f t="shared" si="4"/>
        <v>#N/A</v>
      </c>
      <c r="Q87" s="3" t="e">
        <f>VLOOKUP(A87,Schlußkurse!A$5:AU$105,35,FALSE)/VLOOKUP(A87,Ergebnis_je_Aktie_verwässert!A$3:AK$103,23,FALSE)</f>
        <v>#N/A</v>
      </c>
      <c r="R87" s="5" t="e">
        <f t="shared" si="5"/>
        <v>#N/A</v>
      </c>
    </row>
    <row r="88" spans="2:18">
      <c r="B88" s="38"/>
      <c r="C88" s="70" t="e">
        <f>IF(VLOOKUP(A88,Ergebnis_je_Aktie_verwässert!A$3:AJ$103,6,FALSE)&gt;0,IF(VLOOKUP(A88,Schlußkurse!A$5:AU$105,35,FALSE)&gt;0,VLOOKUP(A88,Schlußkurse!A$5:AU$105,35,FALSE)/VLOOKUP(A88,Ergebnis_je_Aktie_verwässert!A$3:AJ$103,6,FALSE),""),"")</f>
        <v>#N/A</v>
      </c>
      <c r="D88" s="70" t="e">
        <f>IF(VLOOKUP(A88,Ergebnis_je_Aktie_verwässert!A$3:AJ$103,7,FALSE)&gt;0,IF(VLOOKUP(A88,Schlußkurse!A$5:AU$105,36,FALSE)&gt;0,VLOOKUP(A88,Schlußkurse!A$5:AU$105,36,FALSE)/VLOOKUP(A88,Ergebnis_je_Aktie_verwässert!A$3:AJ$103,7,FALSE),""),"")</f>
        <v>#N/A</v>
      </c>
      <c r="E88" s="70" t="e">
        <f>IF(VLOOKUP(A88,Ergebnis_je_Aktie_verwässert!A$3:AJ$103,8,FALSE)&gt;0,IF(VLOOKUP(A88,Schlußkurse!A$5:AU$105,37,FALSE)&gt;0,VLOOKUP(A88,Schlußkurse!A$5:AU$105,37,FALSE)/VLOOKUP(A88,Ergebnis_je_Aktie_verwässert!A$3:AJ$103,8,FALSE),""),"")</f>
        <v>#N/A</v>
      </c>
      <c r="F88" s="70" t="e">
        <f>IF(VLOOKUP(A88,Ergebnis_je_Aktie_verwässert!A$3:AJ$103,9,FALSE)&gt;0,IF(VLOOKUP(A88,Schlußkurse!A$5:AU$105,38,FALSE)&gt;0,VLOOKUP(A88,Schlußkurse!A$5:AU$105,38,FALSE)/VLOOKUP(A88,Ergebnis_je_Aktie_verwässert!A$3:AJ$103,9,FALSE),""),"")</f>
        <v>#N/A</v>
      </c>
      <c r="G88" s="70" t="e">
        <f>IF(VLOOKUP(A88,Ergebnis_je_Aktie_verwässert!A$3:AJ$103,10,FALSE)&gt;0,IF(VLOOKUP(A88,Schlußkurse!A$5:AU$105,39,FALSE)&gt;0,VLOOKUP(A88,Schlußkurse!A$5:AU$105,39,FALSE)/VLOOKUP(A88,Ergebnis_je_Aktie_verwässert!A$3:AJ$103,10,FALSE),""),"")</f>
        <v>#N/A</v>
      </c>
      <c r="H88" s="70" t="e">
        <f>IF(VLOOKUP(A88,Ergebnis_je_Aktie_verwässert!A$3:AJ$103,11,FALSE)&gt;0,IF(VLOOKUP(A88,Schlußkurse!A$5:AU$105,40,FALSE)&gt;0,VLOOKUP(A88,Schlußkurse!A$5:AU$105,40,FALSE)/VLOOKUP(A88,Ergebnis_je_Aktie_verwässert!A$3:AJ$103,11,FALSE),""),"")</f>
        <v>#N/A</v>
      </c>
      <c r="I88" s="70" t="e">
        <f>IF(VLOOKUP(A88,Ergebnis_je_Aktie_verwässert!A$3:AJ$103,12,FALSE)&gt;0,IF(VLOOKUP(A88,Schlußkurse!A$5:AU$105,41,FALSE)&gt;0,VLOOKUP(A88,Schlußkurse!A$5:AU$105,41,FALSE)/VLOOKUP(A88,Ergebnis_je_Aktie_verwässert!A$3:AJ$103,12,FALSE),""),"")</f>
        <v>#N/A</v>
      </c>
      <c r="J88" s="70" t="e">
        <f>IF(VLOOKUP(A88,Ergebnis_je_Aktie_verwässert!A$3:AJ$103,13,FALSE)&gt;0,IF(VLOOKUP(A88,Schlußkurse!A$5:AU$105,42,FALSE)&gt;0,VLOOKUP(A88,Schlußkurse!A$5:AU$105,42,FALSE)/VLOOKUP(A88,Ergebnis_je_Aktie_verwässert!A$3:AJ$103,13,FALSE),""),"")</f>
        <v>#N/A</v>
      </c>
      <c r="K88" s="70" t="e">
        <f>IF(VLOOKUP(A88,Ergebnis_je_Aktie_verwässert!A$3:AJ$103,14,FALSE)&gt;0,IF(VLOOKUP(A88,Schlußkurse!A$5:AU$105,43,FALSE)&gt;0,VLOOKUP(A88,Schlußkurse!A$5:AU$105,43,FALSE)/VLOOKUP(A88,Ergebnis_je_Aktie_verwässert!A$3:AJ$103,14,FALSE),""),"")</f>
        <v>#N/A</v>
      </c>
      <c r="L88" s="70" t="e">
        <f>IF(VLOOKUP(A88,Ergebnis_je_Aktie_verwässert!A$3:AJ$103,15,FALSE)&gt;0,IF(VLOOKUP(A88,Schlußkurse!A$5:AU$105,44,FALSE)&gt;0,VLOOKUP(A88,Schlußkurse!A$5:AU$105,44,FALSE)/VLOOKUP(A88,Ergebnis_je_Aktie_verwässert!A$3:AJ$103,15,FALSE),""),"")</f>
        <v>#N/A</v>
      </c>
      <c r="M88" s="70" t="e">
        <f>IF(VLOOKUP(A88,Ergebnis_je_Aktie_verwässert!A$3:AJ$103,16,FALSE)&gt;0,IF(VLOOKUP(A88,Schlußkurse!A$5:AU$105,45,FALSE)&gt;0,VLOOKUP(A88,Schlußkurse!A$5:AU$105,45,FALSE)/VLOOKUP(A88,Ergebnis_je_Aktie_verwässert!A$3:AJ$103,16,FALSE),""),"")</f>
        <v>#N/A</v>
      </c>
      <c r="N88" s="70" t="e">
        <f>IF(VLOOKUP(A88,Ergebnis_je_Aktie_verwässert!A$3:AJ$103,17,FALSE)&gt;0,IF(VLOOKUP(A88,Schlußkurse!A$5:AU$105,46,FALSE)&gt;0,VLOOKUP(A88,Schlußkurse!A$5:AU$105,46,FALSE)/VLOOKUP(A88,Ergebnis_je_Aktie_verwässert!A$3:AJ$103,17,FALSE),""),"")</f>
        <v>#N/A</v>
      </c>
      <c r="O88" s="70" t="e">
        <f>IF(VLOOKUP(A88,Ergebnis_je_Aktie_verwässert!A$3:AJ$103,18,FALSE)&gt;0,IF(VLOOKUP(A88,Schlußkurse!A$5:AU$105,47,FALSE)&gt;0,VLOOKUP(A88,Schlußkurse!A$5:AU$105,47,FALSE)/VLOOKUP(A88,Ergebnis_je_Aktie_verwässert!A$3:AJ$103,18,FALSE),""),"")</f>
        <v>#N/A</v>
      </c>
      <c r="P88" s="70" t="e">
        <f t="shared" si="4"/>
        <v>#N/A</v>
      </c>
      <c r="Q88" s="3" t="e">
        <f>VLOOKUP(A88,Schlußkurse!A$5:AU$105,35,FALSE)/VLOOKUP(A88,Ergebnis_je_Aktie_verwässert!A$3:AK$103,23,FALSE)</f>
        <v>#N/A</v>
      </c>
      <c r="R88" s="5" t="e">
        <f t="shared" si="5"/>
        <v>#N/A</v>
      </c>
    </row>
    <row r="89" spans="2:18">
      <c r="B89" s="38"/>
      <c r="C89" s="70" t="e">
        <f>IF(VLOOKUP(A89,Ergebnis_je_Aktie_verwässert!A$3:AJ$103,6,FALSE)&gt;0,IF(VLOOKUP(A89,Schlußkurse!A$5:AU$105,35,FALSE)&gt;0,VLOOKUP(A89,Schlußkurse!A$5:AU$105,35,FALSE)/VLOOKUP(A89,Ergebnis_je_Aktie_verwässert!A$3:AJ$103,6,FALSE),""),"")</f>
        <v>#N/A</v>
      </c>
      <c r="D89" s="70" t="e">
        <f>IF(VLOOKUP(A89,Ergebnis_je_Aktie_verwässert!A$3:AJ$103,7,FALSE)&gt;0,IF(VLOOKUP(A89,Schlußkurse!A$5:AU$105,36,FALSE)&gt;0,VLOOKUP(A89,Schlußkurse!A$5:AU$105,36,FALSE)/VLOOKUP(A89,Ergebnis_je_Aktie_verwässert!A$3:AJ$103,7,FALSE),""),"")</f>
        <v>#N/A</v>
      </c>
      <c r="E89" s="70" t="e">
        <f>IF(VLOOKUP(A89,Ergebnis_je_Aktie_verwässert!A$3:AJ$103,8,FALSE)&gt;0,IF(VLOOKUP(A89,Schlußkurse!A$5:AU$105,37,FALSE)&gt;0,VLOOKUP(A89,Schlußkurse!A$5:AU$105,37,FALSE)/VLOOKUP(A89,Ergebnis_je_Aktie_verwässert!A$3:AJ$103,8,FALSE),""),"")</f>
        <v>#N/A</v>
      </c>
      <c r="F89" s="70" t="e">
        <f>IF(VLOOKUP(A89,Ergebnis_je_Aktie_verwässert!A$3:AJ$103,9,FALSE)&gt;0,IF(VLOOKUP(A89,Schlußkurse!A$5:AU$105,38,FALSE)&gt;0,VLOOKUP(A89,Schlußkurse!A$5:AU$105,38,FALSE)/VLOOKUP(A89,Ergebnis_je_Aktie_verwässert!A$3:AJ$103,9,FALSE),""),"")</f>
        <v>#N/A</v>
      </c>
      <c r="G89" s="70" t="e">
        <f>IF(VLOOKUP(A89,Ergebnis_je_Aktie_verwässert!A$3:AJ$103,10,FALSE)&gt;0,IF(VLOOKUP(A89,Schlußkurse!A$5:AU$105,39,FALSE)&gt;0,VLOOKUP(A89,Schlußkurse!A$5:AU$105,39,FALSE)/VLOOKUP(A89,Ergebnis_je_Aktie_verwässert!A$3:AJ$103,10,FALSE),""),"")</f>
        <v>#N/A</v>
      </c>
      <c r="H89" s="70" t="e">
        <f>IF(VLOOKUP(A89,Ergebnis_je_Aktie_verwässert!A$3:AJ$103,11,FALSE)&gt;0,IF(VLOOKUP(A89,Schlußkurse!A$5:AU$105,40,FALSE)&gt;0,VLOOKUP(A89,Schlußkurse!A$5:AU$105,40,FALSE)/VLOOKUP(A89,Ergebnis_je_Aktie_verwässert!A$3:AJ$103,11,FALSE),""),"")</f>
        <v>#N/A</v>
      </c>
      <c r="I89" s="70" t="e">
        <f>IF(VLOOKUP(A89,Ergebnis_je_Aktie_verwässert!A$3:AJ$103,12,FALSE)&gt;0,IF(VLOOKUP(A89,Schlußkurse!A$5:AU$105,41,FALSE)&gt;0,VLOOKUP(A89,Schlußkurse!A$5:AU$105,41,FALSE)/VLOOKUP(A89,Ergebnis_je_Aktie_verwässert!A$3:AJ$103,12,FALSE),""),"")</f>
        <v>#N/A</v>
      </c>
      <c r="J89" s="70" t="e">
        <f>IF(VLOOKUP(A89,Ergebnis_je_Aktie_verwässert!A$3:AJ$103,13,FALSE)&gt;0,IF(VLOOKUP(A89,Schlußkurse!A$5:AU$105,42,FALSE)&gt;0,VLOOKUP(A89,Schlußkurse!A$5:AU$105,42,FALSE)/VLOOKUP(A89,Ergebnis_je_Aktie_verwässert!A$3:AJ$103,13,FALSE),""),"")</f>
        <v>#N/A</v>
      </c>
      <c r="K89" s="70" t="e">
        <f>IF(VLOOKUP(A89,Ergebnis_je_Aktie_verwässert!A$3:AJ$103,14,FALSE)&gt;0,IF(VLOOKUP(A89,Schlußkurse!A$5:AU$105,43,FALSE)&gt;0,VLOOKUP(A89,Schlußkurse!A$5:AU$105,43,FALSE)/VLOOKUP(A89,Ergebnis_je_Aktie_verwässert!A$3:AJ$103,14,FALSE),""),"")</f>
        <v>#N/A</v>
      </c>
      <c r="L89" s="70" t="e">
        <f>IF(VLOOKUP(A89,Ergebnis_je_Aktie_verwässert!A$3:AJ$103,15,FALSE)&gt;0,IF(VLOOKUP(A89,Schlußkurse!A$5:AU$105,44,FALSE)&gt;0,VLOOKUP(A89,Schlußkurse!A$5:AU$105,44,FALSE)/VLOOKUP(A89,Ergebnis_je_Aktie_verwässert!A$3:AJ$103,15,FALSE),""),"")</f>
        <v>#N/A</v>
      </c>
      <c r="M89" s="70" t="e">
        <f>IF(VLOOKUP(A89,Ergebnis_je_Aktie_verwässert!A$3:AJ$103,16,FALSE)&gt;0,IF(VLOOKUP(A89,Schlußkurse!A$5:AU$105,45,FALSE)&gt;0,VLOOKUP(A89,Schlußkurse!A$5:AU$105,45,FALSE)/VLOOKUP(A89,Ergebnis_je_Aktie_verwässert!A$3:AJ$103,16,FALSE),""),"")</f>
        <v>#N/A</v>
      </c>
      <c r="N89" s="70" t="e">
        <f>IF(VLOOKUP(A89,Ergebnis_je_Aktie_verwässert!A$3:AJ$103,17,FALSE)&gt;0,IF(VLOOKUP(A89,Schlußkurse!A$5:AU$105,46,FALSE)&gt;0,VLOOKUP(A89,Schlußkurse!A$5:AU$105,46,FALSE)/VLOOKUP(A89,Ergebnis_je_Aktie_verwässert!A$3:AJ$103,17,FALSE),""),"")</f>
        <v>#N/A</v>
      </c>
      <c r="O89" s="70" t="e">
        <f>IF(VLOOKUP(A89,Ergebnis_je_Aktie_verwässert!A$3:AJ$103,18,FALSE)&gt;0,IF(VLOOKUP(A89,Schlußkurse!A$5:AU$105,47,FALSE)&gt;0,VLOOKUP(A89,Schlußkurse!A$5:AU$105,47,FALSE)/VLOOKUP(A89,Ergebnis_je_Aktie_verwässert!A$3:AJ$103,18,FALSE),""),"")</f>
        <v>#N/A</v>
      </c>
      <c r="P89" s="70" t="e">
        <f t="shared" si="4"/>
        <v>#N/A</v>
      </c>
      <c r="Q89" s="3" t="e">
        <f>VLOOKUP(A89,Schlußkurse!A$5:AU$105,35,FALSE)/VLOOKUP(A89,Ergebnis_je_Aktie_verwässert!A$3:AK$103,23,FALSE)</f>
        <v>#N/A</v>
      </c>
      <c r="R89" s="5" t="e">
        <f t="shared" si="5"/>
        <v>#N/A</v>
      </c>
    </row>
    <row r="90" spans="2:18">
      <c r="B90" s="38"/>
      <c r="C90" s="70" t="e">
        <f>IF(VLOOKUP(A90,Ergebnis_je_Aktie_verwässert!A$3:AJ$103,6,FALSE)&gt;0,IF(VLOOKUP(A90,Schlußkurse!A$5:AU$105,35,FALSE)&gt;0,VLOOKUP(A90,Schlußkurse!A$5:AU$105,35,FALSE)/VLOOKUP(A90,Ergebnis_je_Aktie_verwässert!A$3:AJ$103,6,FALSE),""),"")</f>
        <v>#N/A</v>
      </c>
      <c r="D90" s="70" t="e">
        <f>IF(VLOOKUP(A90,Ergebnis_je_Aktie_verwässert!A$3:AJ$103,7,FALSE)&gt;0,IF(VLOOKUP(A90,Schlußkurse!A$5:AU$105,36,FALSE)&gt;0,VLOOKUP(A90,Schlußkurse!A$5:AU$105,36,FALSE)/VLOOKUP(A90,Ergebnis_je_Aktie_verwässert!A$3:AJ$103,7,FALSE),""),"")</f>
        <v>#N/A</v>
      </c>
      <c r="E90" s="70" t="e">
        <f>IF(VLOOKUP(A90,Ergebnis_je_Aktie_verwässert!A$3:AJ$103,8,FALSE)&gt;0,IF(VLOOKUP(A90,Schlußkurse!A$5:AU$105,37,FALSE)&gt;0,VLOOKUP(A90,Schlußkurse!A$5:AU$105,37,FALSE)/VLOOKUP(A90,Ergebnis_je_Aktie_verwässert!A$3:AJ$103,8,FALSE),""),"")</f>
        <v>#N/A</v>
      </c>
      <c r="F90" s="70" t="e">
        <f>IF(VLOOKUP(A90,Ergebnis_je_Aktie_verwässert!A$3:AJ$103,9,FALSE)&gt;0,IF(VLOOKUP(A90,Schlußkurse!A$5:AU$105,38,FALSE)&gt;0,VLOOKUP(A90,Schlußkurse!A$5:AU$105,38,FALSE)/VLOOKUP(A90,Ergebnis_je_Aktie_verwässert!A$3:AJ$103,9,FALSE),""),"")</f>
        <v>#N/A</v>
      </c>
      <c r="G90" s="70" t="e">
        <f>IF(VLOOKUP(A90,Ergebnis_je_Aktie_verwässert!A$3:AJ$103,10,FALSE)&gt;0,IF(VLOOKUP(A90,Schlußkurse!A$5:AU$105,39,FALSE)&gt;0,VLOOKUP(A90,Schlußkurse!A$5:AU$105,39,FALSE)/VLOOKUP(A90,Ergebnis_je_Aktie_verwässert!A$3:AJ$103,10,FALSE),""),"")</f>
        <v>#N/A</v>
      </c>
      <c r="H90" s="70" t="e">
        <f>IF(VLOOKUP(A90,Ergebnis_je_Aktie_verwässert!A$3:AJ$103,11,FALSE)&gt;0,IF(VLOOKUP(A90,Schlußkurse!A$5:AU$105,40,FALSE)&gt;0,VLOOKUP(A90,Schlußkurse!A$5:AU$105,40,FALSE)/VLOOKUP(A90,Ergebnis_je_Aktie_verwässert!A$3:AJ$103,11,FALSE),""),"")</f>
        <v>#N/A</v>
      </c>
      <c r="I90" s="70" t="e">
        <f>IF(VLOOKUP(A90,Ergebnis_je_Aktie_verwässert!A$3:AJ$103,12,FALSE)&gt;0,IF(VLOOKUP(A90,Schlußkurse!A$5:AU$105,41,FALSE)&gt;0,VLOOKUP(A90,Schlußkurse!A$5:AU$105,41,FALSE)/VLOOKUP(A90,Ergebnis_je_Aktie_verwässert!A$3:AJ$103,12,FALSE),""),"")</f>
        <v>#N/A</v>
      </c>
      <c r="J90" s="70" t="e">
        <f>IF(VLOOKUP(A90,Ergebnis_je_Aktie_verwässert!A$3:AJ$103,13,FALSE)&gt;0,IF(VLOOKUP(A90,Schlußkurse!A$5:AU$105,42,FALSE)&gt;0,VLOOKUP(A90,Schlußkurse!A$5:AU$105,42,FALSE)/VLOOKUP(A90,Ergebnis_je_Aktie_verwässert!A$3:AJ$103,13,FALSE),""),"")</f>
        <v>#N/A</v>
      </c>
      <c r="K90" s="70" t="e">
        <f>IF(VLOOKUP(A90,Ergebnis_je_Aktie_verwässert!A$3:AJ$103,14,FALSE)&gt;0,IF(VLOOKUP(A90,Schlußkurse!A$5:AU$105,43,FALSE)&gt;0,VLOOKUP(A90,Schlußkurse!A$5:AU$105,43,FALSE)/VLOOKUP(A90,Ergebnis_je_Aktie_verwässert!A$3:AJ$103,14,FALSE),""),"")</f>
        <v>#N/A</v>
      </c>
      <c r="L90" s="70" t="e">
        <f>IF(VLOOKUP(A90,Ergebnis_je_Aktie_verwässert!A$3:AJ$103,15,FALSE)&gt;0,IF(VLOOKUP(A90,Schlußkurse!A$5:AU$105,44,FALSE)&gt;0,VLOOKUP(A90,Schlußkurse!A$5:AU$105,44,FALSE)/VLOOKUP(A90,Ergebnis_je_Aktie_verwässert!A$3:AJ$103,15,FALSE),""),"")</f>
        <v>#N/A</v>
      </c>
      <c r="M90" s="70" t="e">
        <f>IF(VLOOKUP(A90,Ergebnis_je_Aktie_verwässert!A$3:AJ$103,16,FALSE)&gt;0,IF(VLOOKUP(A90,Schlußkurse!A$5:AU$105,45,FALSE)&gt;0,VLOOKUP(A90,Schlußkurse!A$5:AU$105,45,FALSE)/VLOOKUP(A90,Ergebnis_je_Aktie_verwässert!A$3:AJ$103,16,FALSE),""),"")</f>
        <v>#N/A</v>
      </c>
      <c r="N90" s="70" t="e">
        <f>IF(VLOOKUP(A90,Ergebnis_je_Aktie_verwässert!A$3:AJ$103,17,FALSE)&gt;0,IF(VLOOKUP(A90,Schlußkurse!A$5:AU$105,46,FALSE)&gt;0,VLOOKUP(A90,Schlußkurse!A$5:AU$105,46,FALSE)/VLOOKUP(A90,Ergebnis_je_Aktie_verwässert!A$3:AJ$103,17,FALSE),""),"")</f>
        <v>#N/A</v>
      </c>
      <c r="O90" s="70" t="e">
        <f>IF(VLOOKUP(A90,Ergebnis_je_Aktie_verwässert!A$3:AJ$103,18,FALSE)&gt;0,IF(VLOOKUP(A90,Schlußkurse!A$5:AU$105,47,FALSE)&gt;0,VLOOKUP(A90,Schlußkurse!A$5:AU$105,47,FALSE)/VLOOKUP(A90,Ergebnis_je_Aktie_verwässert!A$3:AJ$103,18,FALSE),""),"")</f>
        <v>#N/A</v>
      </c>
      <c r="P90" s="70" t="e">
        <f t="shared" si="4"/>
        <v>#N/A</v>
      </c>
      <c r="Q90" s="3" t="e">
        <f>VLOOKUP(A90,Schlußkurse!A$5:AU$105,35,FALSE)/VLOOKUP(A90,Ergebnis_je_Aktie_verwässert!A$3:AK$103,23,FALSE)</f>
        <v>#N/A</v>
      </c>
      <c r="R90" s="5" t="e">
        <f t="shared" si="5"/>
        <v>#N/A</v>
      </c>
    </row>
    <row r="91" spans="2:18">
      <c r="B91" s="38"/>
      <c r="C91" s="70" t="e">
        <f>IF(VLOOKUP(A91,Ergebnis_je_Aktie_verwässert!A$3:AJ$103,6,FALSE)&gt;0,IF(VLOOKUP(A91,Schlußkurse!A$5:AU$105,35,FALSE)&gt;0,VLOOKUP(A91,Schlußkurse!A$5:AU$105,35,FALSE)/VLOOKUP(A91,Ergebnis_je_Aktie_verwässert!A$3:AJ$103,6,FALSE),""),"")</f>
        <v>#N/A</v>
      </c>
      <c r="D91" s="70" t="e">
        <f>IF(VLOOKUP(A91,Ergebnis_je_Aktie_verwässert!A$3:AJ$103,7,FALSE)&gt;0,IF(VLOOKUP(A91,Schlußkurse!A$5:AU$105,36,FALSE)&gt;0,VLOOKUP(A91,Schlußkurse!A$5:AU$105,36,FALSE)/VLOOKUP(A91,Ergebnis_je_Aktie_verwässert!A$3:AJ$103,7,FALSE),""),"")</f>
        <v>#N/A</v>
      </c>
      <c r="E91" s="70" t="e">
        <f>IF(VLOOKUP(A91,Ergebnis_je_Aktie_verwässert!A$3:AJ$103,8,FALSE)&gt;0,IF(VLOOKUP(A91,Schlußkurse!A$5:AU$105,37,FALSE)&gt;0,VLOOKUP(A91,Schlußkurse!A$5:AU$105,37,FALSE)/VLOOKUP(A91,Ergebnis_je_Aktie_verwässert!A$3:AJ$103,8,FALSE),""),"")</f>
        <v>#N/A</v>
      </c>
      <c r="F91" s="70" t="e">
        <f>IF(VLOOKUP(A91,Ergebnis_je_Aktie_verwässert!A$3:AJ$103,9,FALSE)&gt;0,IF(VLOOKUP(A91,Schlußkurse!A$5:AU$105,38,FALSE)&gt;0,VLOOKUP(A91,Schlußkurse!A$5:AU$105,38,FALSE)/VLOOKUP(A91,Ergebnis_je_Aktie_verwässert!A$3:AJ$103,9,FALSE),""),"")</f>
        <v>#N/A</v>
      </c>
      <c r="G91" s="70" t="e">
        <f>IF(VLOOKUP(A91,Ergebnis_je_Aktie_verwässert!A$3:AJ$103,10,FALSE)&gt;0,IF(VLOOKUP(A91,Schlußkurse!A$5:AU$105,39,FALSE)&gt;0,VLOOKUP(A91,Schlußkurse!A$5:AU$105,39,FALSE)/VLOOKUP(A91,Ergebnis_je_Aktie_verwässert!A$3:AJ$103,10,FALSE),""),"")</f>
        <v>#N/A</v>
      </c>
      <c r="H91" s="70" t="e">
        <f>IF(VLOOKUP(A91,Ergebnis_je_Aktie_verwässert!A$3:AJ$103,11,FALSE)&gt;0,IF(VLOOKUP(A91,Schlußkurse!A$5:AU$105,40,FALSE)&gt;0,VLOOKUP(A91,Schlußkurse!A$5:AU$105,40,FALSE)/VLOOKUP(A91,Ergebnis_je_Aktie_verwässert!A$3:AJ$103,11,FALSE),""),"")</f>
        <v>#N/A</v>
      </c>
      <c r="I91" s="70" t="e">
        <f>IF(VLOOKUP(A91,Ergebnis_je_Aktie_verwässert!A$3:AJ$103,12,FALSE)&gt;0,IF(VLOOKUP(A91,Schlußkurse!A$5:AU$105,41,FALSE)&gt;0,VLOOKUP(A91,Schlußkurse!A$5:AU$105,41,FALSE)/VLOOKUP(A91,Ergebnis_je_Aktie_verwässert!A$3:AJ$103,12,FALSE),""),"")</f>
        <v>#N/A</v>
      </c>
      <c r="J91" s="70" t="e">
        <f>IF(VLOOKUP(A91,Ergebnis_je_Aktie_verwässert!A$3:AJ$103,13,FALSE)&gt;0,IF(VLOOKUP(A91,Schlußkurse!A$5:AU$105,42,FALSE)&gt;0,VLOOKUP(A91,Schlußkurse!A$5:AU$105,42,FALSE)/VLOOKUP(A91,Ergebnis_je_Aktie_verwässert!A$3:AJ$103,13,FALSE),""),"")</f>
        <v>#N/A</v>
      </c>
      <c r="K91" s="70" t="e">
        <f>IF(VLOOKUP(A91,Ergebnis_je_Aktie_verwässert!A$3:AJ$103,14,FALSE)&gt;0,IF(VLOOKUP(A91,Schlußkurse!A$5:AU$105,43,FALSE)&gt;0,VLOOKUP(A91,Schlußkurse!A$5:AU$105,43,FALSE)/VLOOKUP(A91,Ergebnis_je_Aktie_verwässert!A$3:AJ$103,14,FALSE),""),"")</f>
        <v>#N/A</v>
      </c>
      <c r="L91" s="70" t="e">
        <f>IF(VLOOKUP(A91,Ergebnis_je_Aktie_verwässert!A$3:AJ$103,15,FALSE)&gt;0,IF(VLOOKUP(A91,Schlußkurse!A$5:AU$105,44,FALSE)&gt;0,VLOOKUP(A91,Schlußkurse!A$5:AU$105,44,FALSE)/VLOOKUP(A91,Ergebnis_je_Aktie_verwässert!A$3:AJ$103,15,FALSE),""),"")</f>
        <v>#N/A</v>
      </c>
      <c r="M91" s="70" t="e">
        <f>IF(VLOOKUP(A91,Ergebnis_je_Aktie_verwässert!A$3:AJ$103,16,FALSE)&gt;0,IF(VLOOKUP(A91,Schlußkurse!A$5:AU$105,45,FALSE)&gt;0,VLOOKUP(A91,Schlußkurse!A$5:AU$105,45,FALSE)/VLOOKUP(A91,Ergebnis_je_Aktie_verwässert!A$3:AJ$103,16,FALSE),""),"")</f>
        <v>#N/A</v>
      </c>
      <c r="N91" s="70" t="e">
        <f>IF(VLOOKUP(A91,Ergebnis_je_Aktie_verwässert!A$3:AJ$103,17,FALSE)&gt;0,IF(VLOOKUP(A91,Schlußkurse!A$5:AU$105,46,FALSE)&gt;0,VLOOKUP(A91,Schlußkurse!A$5:AU$105,46,FALSE)/VLOOKUP(A91,Ergebnis_je_Aktie_verwässert!A$3:AJ$103,17,FALSE),""),"")</f>
        <v>#N/A</v>
      </c>
      <c r="O91" s="70" t="e">
        <f>IF(VLOOKUP(A91,Ergebnis_je_Aktie_verwässert!A$3:AJ$103,18,FALSE)&gt;0,IF(VLOOKUP(A91,Schlußkurse!A$5:AU$105,47,FALSE)&gt;0,VLOOKUP(A91,Schlußkurse!A$5:AU$105,47,FALSE)/VLOOKUP(A91,Ergebnis_je_Aktie_verwässert!A$3:AJ$103,18,FALSE),""),"")</f>
        <v>#N/A</v>
      </c>
      <c r="P91" s="70" t="e">
        <f t="shared" si="4"/>
        <v>#N/A</v>
      </c>
      <c r="Q91" s="3" t="e">
        <f>VLOOKUP(A91,Schlußkurse!A$5:AU$105,35,FALSE)/VLOOKUP(A91,Ergebnis_je_Aktie_verwässert!A$3:AK$103,23,FALSE)</f>
        <v>#N/A</v>
      </c>
      <c r="R91" s="5" t="e">
        <f t="shared" si="5"/>
        <v>#N/A</v>
      </c>
    </row>
    <row r="92" spans="2:18">
      <c r="B92" s="38"/>
      <c r="C92" s="70" t="e">
        <f>IF(VLOOKUP(A92,Ergebnis_je_Aktie_verwässert!A$3:AJ$103,6,FALSE)&gt;0,IF(VLOOKUP(A92,Schlußkurse!A$5:AU$105,35,FALSE)&gt;0,VLOOKUP(A92,Schlußkurse!A$5:AU$105,35,FALSE)/VLOOKUP(A92,Ergebnis_je_Aktie_verwässert!A$3:AJ$103,6,FALSE),""),"")</f>
        <v>#N/A</v>
      </c>
      <c r="D92" s="70" t="e">
        <f>IF(VLOOKUP(A92,Ergebnis_je_Aktie_verwässert!A$3:AJ$103,7,FALSE)&gt;0,IF(VLOOKUP(A92,Schlußkurse!A$5:AU$105,36,FALSE)&gt;0,VLOOKUP(A92,Schlußkurse!A$5:AU$105,36,FALSE)/VLOOKUP(A92,Ergebnis_je_Aktie_verwässert!A$3:AJ$103,7,FALSE),""),"")</f>
        <v>#N/A</v>
      </c>
      <c r="E92" s="70" t="e">
        <f>IF(VLOOKUP(A92,Ergebnis_je_Aktie_verwässert!A$3:AJ$103,8,FALSE)&gt;0,IF(VLOOKUP(A92,Schlußkurse!A$5:AU$105,37,FALSE)&gt;0,VLOOKUP(A92,Schlußkurse!A$5:AU$105,37,FALSE)/VLOOKUP(A92,Ergebnis_je_Aktie_verwässert!A$3:AJ$103,8,FALSE),""),"")</f>
        <v>#N/A</v>
      </c>
      <c r="F92" s="70" t="e">
        <f>IF(VLOOKUP(A92,Ergebnis_je_Aktie_verwässert!A$3:AJ$103,9,FALSE)&gt;0,IF(VLOOKUP(A92,Schlußkurse!A$5:AU$105,38,FALSE)&gt;0,VLOOKUP(A92,Schlußkurse!A$5:AU$105,38,FALSE)/VLOOKUP(A92,Ergebnis_je_Aktie_verwässert!A$3:AJ$103,9,FALSE),""),"")</f>
        <v>#N/A</v>
      </c>
      <c r="G92" s="70" t="e">
        <f>IF(VLOOKUP(A92,Ergebnis_je_Aktie_verwässert!A$3:AJ$103,10,FALSE)&gt;0,IF(VLOOKUP(A92,Schlußkurse!A$5:AU$105,39,FALSE)&gt;0,VLOOKUP(A92,Schlußkurse!A$5:AU$105,39,FALSE)/VLOOKUP(A92,Ergebnis_je_Aktie_verwässert!A$3:AJ$103,10,FALSE),""),"")</f>
        <v>#N/A</v>
      </c>
      <c r="H92" s="70" t="e">
        <f>IF(VLOOKUP(A92,Ergebnis_je_Aktie_verwässert!A$3:AJ$103,11,FALSE)&gt;0,IF(VLOOKUP(A92,Schlußkurse!A$5:AU$105,40,FALSE)&gt;0,VLOOKUP(A92,Schlußkurse!A$5:AU$105,40,FALSE)/VLOOKUP(A92,Ergebnis_je_Aktie_verwässert!A$3:AJ$103,11,FALSE),""),"")</f>
        <v>#N/A</v>
      </c>
      <c r="I92" s="70" t="e">
        <f>IF(VLOOKUP(A92,Ergebnis_je_Aktie_verwässert!A$3:AJ$103,12,FALSE)&gt;0,IF(VLOOKUP(A92,Schlußkurse!A$5:AU$105,41,FALSE)&gt;0,VLOOKUP(A92,Schlußkurse!A$5:AU$105,41,FALSE)/VLOOKUP(A92,Ergebnis_je_Aktie_verwässert!A$3:AJ$103,12,FALSE),""),"")</f>
        <v>#N/A</v>
      </c>
      <c r="J92" s="70" t="e">
        <f>IF(VLOOKUP(A92,Ergebnis_je_Aktie_verwässert!A$3:AJ$103,13,FALSE)&gt;0,IF(VLOOKUP(A92,Schlußkurse!A$5:AU$105,42,FALSE)&gt;0,VLOOKUP(A92,Schlußkurse!A$5:AU$105,42,FALSE)/VLOOKUP(A92,Ergebnis_je_Aktie_verwässert!A$3:AJ$103,13,FALSE),""),"")</f>
        <v>#N/A</v>
      </c>
      <c r="K92" s="70" t="e">
        <f>IF(VLOOKUP(A92,Ergebnis_je_Aktie_verwässert!A$3:AJ$103,14,FALSE)&gt;0,IF(VLOOKUP(A92,Schlußkurse!A$5:AU$105,43,FALSE)&gt;0,VLOOKUP(A92,Schlußkurse!A$5:AU$105,43,FALSE)/VLOOKUP(A92,Ergebnis_je_Aktie_verwässert!A$3:AJ$103,14,FALSE),""),"")</f>
        <v>#N/A</v>
      </c>
      <c r="L92" s="70" t="e">
        <f>IF(VLOOKUP(A92,Ergebnis_je_Aktie_verwässert!A$3:AJ$103,15,FALSE)&gt;0,IF(VLOOKUP(A92,Schlußkurse!A$5:AU$105,44,FALSE)&gt;0,VLOOKUP(A92,Schlußkurse!A$5:AU$105,44,FALSE)/VLOOKUP(A92,Ergebnis_je_Aktie_verwässert!A$3:AJ$103,15,FALSE),""),"")</f>
        <v>#N/A</v>
      </c>
      <c r="M92" s="70" t="e">
        <f>IF(VLOOKUP(A92,Ergebnis_je_Aktie_verwässert!A$3:AJ$103,16,FALSE)&gt;0,IF(VLOOKUP(A92,Schlußkurse!A$5:AU$105,45,FALSE)&gt;0,VLOOKUP(A92,Schlußkurse!A$5:AU$105,45,FALSE)/VLOOKUP(A92,Ergebnis_je_Aktie_verwässert!A$3:AJ$103,16,FALSE),""),"")</f>
        <v>#N/A</v>
      </c>
      <c r="N92" s="70" t="e">
        <f>IF(VLOOKUP(A92,Ergebnis_je_Aktie_verwässert!A$3:AJ$103,17,FALSE)&gt;0,IF(VLOOKUP(A92,Schlußkurse!A$5:AU$105,46,FALSE)&gt;0,VLOOKUP(A92,Schlußkurse!A$5:AU$105,46,FALSE)/VLOOKUP(A92,Ergebnis_je_Aktie_verwässert!A$3:AJ$103,17,FALSE),""),"")</f>
        <v>#N/A</v>
      </c>
      <c r="O92" s="70" t="e">
        <f>IF(VLOOKUP(A92,Ergebnis_je_Aktie_verwässert!A$3:AJ$103,18,FALSE)&gt;0,IF(VLOOKUP(A92,Schlußkurse!A$5:AU$105,47,FALSE)&gt;0,VLOOKUP(A92,Schlußkurse!A$5:AU$105,47,FALSE)/VLOOKUP(A92,Ergebnis_je_Aktie_verwässert!A$3:AJ$103,18,FALSE),""),"")</f>
        <v>#N/A</v>
      </c>
      <c r="P92" s="70" t="e">
        <f t="shared" si="4"/>
        <v>#N/A</v>
      </c>
      <c r="Q92" s="3" t="e">
        <f>VLOOKUP(A92,Schlußkurse!A$5:AU$105,35,FALSE)/VLOOKUP(A92,Ergebnis_je_Aktie_verwässert!A$3:AK$103,23,FALSE)</f>
        <v>#N/A</v>
      </c>
      <c r="R92" s="5" t="e">
        <f t="shared" si="5"/>
        <v>#N/A</v>
      </c>
    </row>
    <row r="93" spans="2:18">
      <c r="B93" s="38"/>
      <c r="C93" s="70" t="e">
        <f>IF(VLOOKUP(A93,Ergebnis_je_Aktie_verwässert!A$3:AJ$103,6,FALSE)&gt;0,IF(VLOOKUP(A93,Schlußkurse!A$5:AU$105,35,FALSE)&gt;0,VLOOKUP(A93,Schlußkurse!A$5:AU$105,35,FALSE)/VLOOKUP(A93,Ergebnis_je_Aktie_verwässert!A$3:AJ$103,6,FALSE),""),"")</f>
        <v>#N/A</v>
      </c>
      <c r="D93" s="70" t="e">
        <f>IF(VLOOKUP(A93,Ergebnis_je_Aktie_verwässert!A$3:AJ$103,7,FALSE)&gt;0,IF(VLOOKUP(A93,Schlußkurse!A$5:AU$105,36,FALSE)&gt;0,VLOOKUP(A93,Schlußkurse!A$5:AU$105,36,FALSE)/VLOOKUP(A93,Ergebnis_je_Aktie_verwässert!A$3:AJ$103,7,FALSE),""),"")</f>
        <v>#N/A</v>
      </c>
      <c r="E93" s="70" t="e">
        <f>IF(VLOOKUP(A93,Ergebnis_je_Aktie_verwässert!A$3:AJ$103,8,FALSE)&gt;0,IF(VLOOKUP(A93,Schlußkurse!A$5:AU$105,37,FALSE)&gt;0,VLOOKUP(A93,Schlußkurse!A$5:AU$105,37,FALSE)/VLOOKUP(A93,Ergebnis_je_Aktie_verwässert!A$3:AJ$103,8,FALSE),""),"")</f>
        <v>#N/A</v>
      </c>
      <c r="F93" s="70" t="e">
        <f>IF(VLOOKUP(A93,Ergebnis_je_Aktie_verwässert!A$3:AJ$103,9,FALSE)&gt;0,IF(VLOOKUP(A93,Schlußkurse!A$5:AU$105,38,FALSE)&gt;0,VLOOKUP(A93,Schlußkurse!A$5:AU$105,38,FALSE)/VLOOKUP(A93,Ergebnis_je_Aktie_verwässert!A$3:AJ$103,9,FALSE),""),"")</f>
        <v>#N/A</v>
      </c>
      <c r="G93" s="70" t="e">
        <f>IF(VLOOKUP(A93,Ergebnis_je_Aktie_verwässert!A$3:AJ$103,10,FALSE)&gt;0,IF(VLOOKUP(A93,Schlußkurse!A$5:AU$105,39,FALSE)&gt;0,VLOOKUP(A93,Schlußkurse!A$5:AU$105,39,FALSE)/VLOOKUP(A93,Ergebnis_je_Aktie_verwässert!A$3:AJ$103,10,FALSE),""),"")</f>
        <v>#N/A</v>
      </c>
      <c r="H93" s="70" t="e">
        <f>IF(VLOOKUP(A93,Ergebnis_je_Aktie_verwässert!A$3:AJ$103,11,FALSE)&gt;0,IF(VLOOKUP(A93,Schlußkurse!A$5:AU$105,40,FALSE)&gt;0,VLOOKUP(A93,Schlußkurse!A$5:AU$105,40,FALSE)/VLOOKUP(A93,Ergebnis_je_Aktie_verwässert!A$3:AJ$103,11,FALSE),""),"")</f>
        <v>#N/A</v>
      </c>
      <c r="I93" s="70" t="e">
        <f>IF(VLOOKUP(A93,Ergebnis_je_Aktie_verwässert!A$3:AJ$103,12,FALSE)&gt;0,IF(VLOOKUP(A93,Schlußkurse!A$5:AU$105,41,FALSE)&gt;0,VLOOKUP(A93,Schlußkurse!A$5:AU$105,41,FALSE)/VLOOKUP(A93,Ergebnis_je_Aktie_verwässert!A$3:AJ$103,12,FALSE),""),"")</f>
        <v>#N/A</v>
      </c>
      <c r="J93" s="70" t="e">
        <f>IF(VLOOKUP(A93,Ergebnis_je_Aktie_verwässert!A$3:AJ$103,13,FALSE)&gt;0,IF(VLOOKUP(A93,Schlußkurse!A$5:AU$105,42,FALSE)&gt;0,VLOOKUP(A93,Schlußkurse!A$5:AU$105,42,FALSE)/VLOOKUP(A93,Ergebnis_je_Aktie_verwässert!A$3:AJ$103,13,FALSE),""),"")</f>
        <v>#N/A</v>
      </c>
      <c r="K93" s="70" t="e">
        <f>IF(VLOOKUP(A93,Ergebnis_je_Aktie_verwässert!A$3:AJ$103,14,FALSE)&gt;0,IF(VLOOKUP(A93,Schlußkurse!A$5:AU$105,43,FALSE)&gt;0,VLOOKUP(A93,Schlußkurse!A$5:AU$105,43,FALSE)/VLOOKUP(A93,Ergebnis_je_Aktie_verwässert!A$3:AJ$103,14,FALSE),""),"")</f>
        <v>#N/A</v>
      </c>
      <c r="L93" s="70" t="e">
        <f>IF(VLOOKUP(A93,Ergebnis_je_Aktie_verwässert!A$3:AJ$103,15,FALSE)&gt;0,IF(VLOOKUP(A93,Schlußkurse!A$5:AU$105,44,FALSE)&gt;0,VLOOKUP(A93,Schlußkurse!A$5:AU$105,44,FALSE)/VLOOKUP(A93,Ergebnis_je_Aktie_verwässert!A$3:AJ$103,15,FALSE),""),"")</f>
        <v>#N/A</v>
      </c>
      <c r="M93" s="70" t="e">
        <f>IF(VLOOKUP(A93,Ergebnis_je_Aktie_verwässert!A$3:AJ$103,16,FALSE)&gt;0,IF(VLOOKUP(A93,Schlußkurse!A$5:AU$105,45,FALSE)&gt;0,VLOOKUP(A93,Schlußkurse!A$5:AU$105,45,FALSE)/VLOOKUP(A93,Ergebnis_je_Aktie_verwässert!A$3:AJ$103,16,FALSE),""),"")</f>
        <v>#N/A</v>
      </c>
      <c r="N93" s="70" t="e">
        <f>IF(VLOOKUP(A93,Ergebnis_je_Aktie_verwässert!A$3:AJ$103,17,FALSE)&gt;0,IF(VLOOKUP(A93,Schlußkurse!A$5:AU$105,46,FALSE)&gt;0,VLOOKUP(A93,Schlußkurse!A$5:AU$105,46,FALSE)/VLOOKUP(A93,Ergebnis_je_Aktie_verwässert!A$3:AJ$103,17,FALSE),""),"")</f>
        <v>#N/A</v>
      </c>
      <c r="O93" s="70" t="e">
        <f>IF(VLOOKUP(A93,Ergebnis_je_Aktie_verwässert!A$3:AJ$103,18,FALSE)&gt;0,IF(VLOOKUP(A93,Schlußkurse!A$5:AU$105,47,FALSE)&gt;0,VLOOKUP(A93,Schlußkurse!A$5:AU$105,47,FALSE)/VLOOKUP(A93,Ergebnis_je_Aktie_verwässert!A$3:AJ$103,18,FALSE),""),"")</f>
        <v>#N/A</v>
      </c>
      <c r="P93" s="70" t="e">
        <f t="shared" si="4"/>
        <v>#N/A</v>
      </c>
      <c r="Q93" s="3" t="e">
        <f>VLOOKUP(A93,Schlußkurse!A$5:AU$105,35,FALSE)/VLOOKUP(A93,Ergebnis_je_Aktie_verwässert!A$3:AK$103,23,FALSE)</f>
        <v>#N/A</v>
      </c>
      <c r="R93" s="5" t="e">
        <f t="shared" si="5"/>
        <v>#N/A</v>
      </c>
    </row>
    <row r="94" spans="2:18">
      <c r="B94" s="38"/>
      <c r="C94" s="70" t="e">
        <f>IF(VLOOKUP(A94,Ergebnis_je_Aktie_verwässert!A$3:AJ$103,6,FALSE)&gt;0,IF(VLOOKUP(A94,Schlußkurse!A$5:AU$105,35,FALSE)&gt;0,VLOOKUP(A94,Schlußkurse!A$5:AU$105,35,FALSE)/VLOOKUP(A94,Ergebnis_je_Aktie_verwässert!A$3:AJ$103,6,FALSE),""),"")</f>
        <v>#N/A</v>
      </c>
      <c r="D94" s="70" t="e">
        <f>IF(VLOOKUP(A94,Ergebnis_je_Aktie_verwässert!A$3:AJ$103,7,FALSE)&gt;0,IF(VLOOKUP(A94,Schlußkurse!A$5:AU$105,36,FALSE)&gt;0,VLOOKUP(A94,Schlußkurse!A$5:AU$105,36,FALSE)/VLOOKUP(A94,Ergebnis_je_Aktie_verwässert!A$3:AJ$103,7,FALSE),""),"")</f>
        <v>#N/A</v>
      </c>
      <c r="E94" s="70" t="e">
        <f>IF(VLOOKUP(A94,Ergebnis_je_Aktie_verwässert!A$3:AJ$103,8,FALSE)&gt;0,IF(VLOOKUP(A94,Schlußkurse!A$5:AU$105,37,FALSE)&gt;0,VLOOKUP(A94,Schlußkurse!A$5:AU$105,37,FALSE)/VLOOKUP(A94,Ergebnis_je_Aktie_verwässert!A$3:AJ$103,8,FALSE),""),"")</f>
        <v>#N/A</v>
      </c>
      <c r="F94" s="70" t="e">
        <f>IF(VLOOKUP(A94,Ergebnis_je_Aktie_verwässert!A$3:AJ$103,9,FALSE)&gt;0,IF(VLOOKUP(A94,Schlußkurse!A$5:AU$105,38,FALSE)&gt;0,VLOOKUP(A94,Schlußkurse!A$5:AU$105,38,FALSE)/VLOOKUP(A94,Ergebnis_je_Aktie_verwässert!A$3:AJ$103,9,FALSE),""),"")</f>
        <v>#N/A</v>
      </c>
      <c r="G94" s="70" t="e">
        <f>IF(VLOOKUP(A94,Ergebnis_je_Aktie_verwässert!A$3:AJ$103,10,FALSE)&gt;0,IF(VLOOKUP(A94,Schlußkurse!A$5:AU$105,39,FALSE)&gt;0,VLOOKUP(A94,Schlußkurse!A$5:AU$105,39,FALSE)/VLOOKUP(A94,Ergebnis_je_Aktie_verwässert!A$3:AJ$103,10,FALSE),""),"")</f>
        <v>#N/A</v>
      </c>
      <c r="H94" s="70" t="e">
        <f>IF(VLOOKUP(A94,Ergebnis_je_Aktie_verwässert!A$3:AJ$103,11,FALSE)&gt;0,IF(VLOOKUP(A94,Schlußkurse!A$5:AU$105,40,FALSE)&gt;0,VLOOKUP(A94,Schlußkurse!A$5:AU$105,40,FALSE)/VLOOKUP(A94,Ergebnis_je_Aktie_verwässert!A$3:AJ$103,11,FALSE),""),"")</f>
        <v>#N/A</v>
      </c>
      <c r="I94" s="70" t="e">
        <f>IF(VLOOKUP(A94,Ergebnis_je_Aktie_verwässert!A$3:AJ$103,12,FALSE)&gt;0,IF(VLOOKUP(A94,Schlußkurse!A$5:AU$105,41,FALSE)&gt;0,VLOOKUP(A94,Schlußkurse!A$5:AU$105,41,FALSE)/VLOOKUP(A94,Ergebnis_je_Aktie_verwässert!A$3:AJ$103,12,FALSE),""),"")</f>
        <v>#N/A</v>
      </c>
      <c r="J94" s="70" t="e">
        <f>IF(VLOOKUP(A94,Ergebnis_je_Aktie_verwässert!A$3:AJ$103,13,FALSE)&gt;0,IF(VLOOKUP(A94,Schlußkurse!A$5:AU$105,42,FALSE)&gt;0,VLOOKUP(A94,Schlußkurse!A$5:AU$105,42,FALSE)/VLOOKUP(A94,Ergebnis_je_Aktie_verwässert!A$3:AJ$103,13,FALSE),""),"")</f>
        <v>#N/A</v>
      </c>
      <c r="K94" s="70" t="e">
        <f>IF(VLOOKUP(A94,Ergebnis_je_Aktie_verwässert!A$3:AJ$103,14,FALSE)&gt;0,IF(VLOOKUP(A94,Schlußkurse!A$5:AU$105,43,FALSE)&gt;0,VLOOKUP(A94,Schlußkurse!A$5:AU$105,43,FALSE)/VLOOKUP(A94,Ergebnis_je_Aktie_verwässert!A$3:AJ$103,14,FALSE),""),"")</f>
        <v>#N/A</v>
      </c>
      <c r="L94" s="70" t="e">
        <f>IF(VLOOKUP(A94,Ergebnis_je_Aktie_verwässert!A$3:AJ$103,15,FALSE)&gt;0,IF(VLOOKUP(A94,Schlußkurse!A$5:AU$105,44,FALSE)&gt;0,VLOOKUP(A94,Schlußkurse!A$5:AU$105,44,FALSE)/VLOOKUP(A94,Ergebnis_je_Aktie_verwässert!A$3:AJ$103,15,FALSE),""),"")</f>
        <v>#N/A</v>
      </c>
      <c r="M94" s="70" t="e">
        <f>IF(VLOOKUP(A94,Ergebnis_je_Aktie_verwässert!A$3:AJ$103,16,FALSE)&gt;0,IF(VLOOKUP(A94,Schlußkurse!A$5:AU$105,45,FALSE)&gt;0,VLOOKUP(A94,Schlußkurse!A$5:AU$105,45,FALSE)/VLOOKUP(A94,Ergebnis_je_Aktie_verwässert!A$3:AJ$103,16,FALSE),""),"")</f>
        <v>#N/A</v>
      </c>
      <c r="N94" s="70" t="e">
        <f>IF(VLOOKUP(A94,Ergebnis_je_Aktie_verwässert!A$3:AJ$103,17,FALSE)&gt;0,IF(VLOOKUP(A94,Schlußkurse!A$5:AU$105,46,FALSE)&gt;0,VLOOKUP(A94,Schlußkurse!A$5:AU$105,46,FALSE)/VLOOKUP(A94,Ergebnis_je_Aktie_verwässert!A$3:AJ$103,17,FALSE),""),"")</f>
        <v>#N/A</v>
      </c>
      <c r="O94" s="70" t="e">
        <f>IF(VLOOKUP(A94,Ergebnis_je_Aktie_verwässert!A$3:AJ$103,18,FALSE)&gt;0,IF(VLOOKUP(A94,Schlußkurse!A$5:AU$105,47,FALSE)&gt;0,VLOOKUP(A94,Schlußkurse!A$5:AU$105,47,FALSE)/VLOOKUP(A94,Ergebnis_je_Aktie_verwässert!A$3:AJ$103,18,FALSE),""),"")</f>
        <v>#N/A</v>
      </c>
      <c r="P94" s="70" t="e">
        <f t="shared" si="4"/>
        <v>#N/A</v>
      </c>
      <c r="Q94" s="3" t="e">
        <f>VLOOKUP(A94,Schlußkurse!A$5:AU$105,35,FALSE)/VLOOKUP(A94,Ergebnis_je_Aktie_verwässert!A$3:AK$103,23,FALSE)</f>
        <v>#N/A</v>
      </c>
      <c r="R94" s="5" t="e">
        <f t="shared" si="5"/>
        <v>#N/A</v>
      </c>
    </row>
    <row r="95" spans="2:18">
      <c r="B95" s="38"/>
      <c r="C95" s="70" t="e">
        <f>IF(VLOOKUP(A95,Ergebnis_je_Aktie_verwässert!A$3:AJ$103,6,FALSE)&gt;0,IF(VLOOKUP(A95,Schlußkurse!A$5:AU$105,35,FALSE)&gt;0,VLOOKUP(A95,Schlußkurse!A$5:AU$105,35,FALSE)/VLOOKUP(A95,Ergebnis_je_Aktie_verwässert!A$3:AJ$103,6,FALSE),""),"")</f>
        <v>#N/A</v>
      </c>
      <c r="D95" s="70" t="e">
        <f>IF(VLOOKUP(A95,Ergebnis_je_Aktie_verwässert!A$3:AJ$103,7,FALSE)&gt;0,IF(VLOOKUP(A95,Schlußkurse!A$5:AU$105,36,FALSE)&gt;0,VLOOKUP(A95,Schlußkurse!A$5:AU$105,36,FALSE)/VLOOKUP(A95,Ergebnis_je_Aktie_verwässert!A$3:AJ$103,7,FALSE),""),"")</f>
        <v>#N/A</v>
      </c>
      <c r="E95" s="70" t="e">
        <f>IF(VLOOKUP(A95,Ergebnis_je_Aktie_verwässert!A$3:AJ$103,8,FALSE)&gt;0,IF(VLOOKUP(A95,Schlußkurse!A$5:AU$105,37,FALSE)&gt;0,VLOOKUP(A95,Schlußkurse!A$5:AU$105,37,FALSE)/VLOOKUP(A95,Ergebnis_je_Aktie_verwässert!A$3:AJ$103,8,FALSE),""),"")</f>
        <v>#N/A</v>
      </c>
      <c r="F95" s="70" t="e">
        <f>IF(VLOOKUP(A95,Ergebnis_je_Aktie_verwässert!A$3:AJ$103,9,FALSE)&gt;0,IF(VLOOKUP(A95,Schlußkurse!A$5:AU$105,38,FALSE)&gt;0,VLOOKUP(A95,Schlußkurse!A$5:AU$105,38,FALSE)/VLOOKUP(A95,Ergebnis_je_Aktie_verwässert!A$3:AJ$103,9,FALSE),""),"")</f>
        <v>#N/A</v>
      </c>
      <c r="G95" s="70" t="e">
        <f>IF(VLOOKUP(A95,Ergebnis_je_Aktie_verwässert!A$3:AJ$103,10,FALSE)&gt;0,IF(VLOOKUP(A95,Schlußkurse!A$5:AU$105,39,FALSE)&gt;0,VLOOKUP(A95,Schlußkurse!A$5:AU$105,39,FALSE)/VLOOKUP(A95,Ergebnis_je_Aktie_verwässert!A$3:AJ$103,10,FALSE),""),"")</f>
        <v>#N/A</v>
      </c>
      <c r="H95" s="70" t="e">
        <f>IF(VLOOKUP(A95,Ergebnis_je_Aktie_verwässert!A$3:AJ$103,11,FALSE)&gt;0,IF(VLOOKUP(A95,Schlußkurse!A$5:AU$105,40,FALSE)&gt;0,VLOOKUP(A95,Schlußkurse!A$5:AU$105,40,FALSE)/VLOOKUP(A95,Ergebnis_je_Aktie_verwässert!A$3:AJ$103,11,FALSE),""),"")</f>
        <v>#N/A</v>
      </c>
      <c r="I95" s="70" t="e">
        <f>IF(VLOOKUP(A95,Ergebnis_je_Aktie_verwässert!A$3:AJ$103,12,FALSE)&gt;0,IF(VLOOKUP(A95,Schlußkurse!A$5:AU$105,41,FALSE)&gt;0,VLOOKUP(A95,Schlußkurse!A$5:AU$105,41,FALSE)/VLOOKUP(A95,Ergebnis_je_Aktie_verwässert!A$3:AJ$103,12,FALSE),""),"")</f>
        <v>#N/A</v>
      </c>
      <c r="J95" s="70" t="e">
        <f>IF(VLOOKUP(A95,Ergebnis_je_Aktie_verwässert!A$3:AJ$103,13,FALSE)&gt;0,IF(VLOOKUP(A95,Schlußkurse!A$5:AU$105,42,FALSE)&gt;0,VLOOKUP(A95,Schlußkurse!A$5:AU$105,42,FALSE)/VLOOKUP(A95,Ergebnis_je_Aktie_verwässert!A$3:AJ$103,13,FALSE),""),"")</f>
        <v>#N/A</v>
      </c>
      <c r="K95" s="70" t="e">
        <f>IF(VLOOKUP(A95,Ergebnis_je_Aktie_verwässert!A$3:AJ$103,14,FALSE)&gt;0,IF(VLOOKUP(A95,Schlußkurse!A$5:AU$105,43,FALSE)&gt;0,VLOOKUP(A95,Schlußkurse!A$5:AU$105,43,FALSE)/VLOOKUP(A95,Ergebnis_je_Aktie_verwässert!A$3:AJ$103,14,FALSE),""),"")</f>
        <v>#N/A</v>
      </c>
      <c r="L95" s="70" t="e">
        <f>IF(VLOOKUP(A95,Ergebnis_je_Aktie_verwässert!A$3:AJ$103,15,FALSE)&gt;0,IF(VLOOKUP(A95,Schlußkurse!A$5:AU$105,44,FALSE)&gt;0,VLOOKUP(A95,Schlußkurse!A$5:AU$105,44,FALSE)/VLOOKUP(A95,Ergebnis_je_Aktie_verwässert!A$3:AJ$103,15,FALSE),""),"")</f>
        <v>#N/A</v>
      </c>
      <c r="M95" s="70" t="e">
        <f>IF(VLOOKUP(A95,Ergebnis_je_Aktie_verwässert!A$3:AJ$103,16,FALSE)&gt;0,IF(VLOOKUP(A95,Schlußkurse!A$5:AU$105,45,FALSE)&gt;0,VLOOKUP(A95,Schlußkurse!A$5:AU$105,45,FALSE)/VLOOKUP(A95,Ergebnis_je_Aktie_verwässert!A$3:AJ$103,16,FALSE),""),"")</f>
        <v>#N/A</v>
      </c>
      <c r="N95" s="70" t="e">
        <f>IF(VLOOKUP(A95,Ergebnis_je_Aktie_verwässert!A$3:AJ$103,17,FALSE)&gt;0,IF(VLOOKUP(A95,Schlußkurse!A$5:AU$105,46,FALSE)&gt;0,VLOOKUP(A95,Schlußkurse!A$5:AU$105,46,FALSE)/VLOOKUP(A95,Ergebnis_je_Aktie_verwässert!A$3:AJ$103,17,FALSE),""),"")</f>
        <v>#N/A</v>
      </c>
      <c r="O95" s="70" t="e">
        <f>IF(VLOOKUP(A95,Ergebnis_je_Aktie_verwässert!A$3:AJ$103,18,FALSE)&gt;0,IF(VLOOKUP(A95,Schlußkurse!A$5:AU$105,47,FALSE)&gt;0,VLOOKUP(A95,Schlußkurse!A$5:AU$105,47,FALSE)/VLOOKUP(A95,Ergebnis_je_Aktie_verwässert!A$3:AJ$103,18,FALSE),""),"")</f>
        <v>#N/A</v>
      </c>
      <c r="P95" s="70" t="e">
        <f t="shared" si="4"/>
        <v>#N/A</v>
      </c>
      <c r="Q95" s="3" t="e">
        <f>VLOOKUP(A95,Schlußkurse!A$5:AU$105,35,FALSE)/VLOOKUP(A95,Ergebnis_je_Aktie_verwässert!A$3:AK$103,23,FALSE)</f>
        <v>#N/A</v>
      </c>
      <c r="R95" s="5" t="e">
        <f t="shared" si="5"/>
        <v>#N/A</v>
      </c>
    </row>
    <row r="96" spans="2:18">
      <c r="B96" s="38"/>
      <c r="C96" s="70" t="e">
        <f>IF(VLOOKUP(A96,Ergebnis_je_Aktie_verwässert!A$3:AJ$103,6,FALSE)&gt;0,IF(VLOOKUP(A96,Schlußkurse!A$5:AU$105,35,FALSE)&gt;0,VLOOKUP(A96,Schlußkurse!A$5:AU$105,35,FALSE)/VLOOKUP(A96,Ergebnis_je_Aktie_verwässert!A$3:AJ$103,6,FALSE),""),"")</f>
        <v>#N/A</v>
      </c>
      <c r="D96" s="70" t="e">
        <f>IF(VLOOKUP(A96,Ergebnis_je_Aktie_verwässert!A$3:AJ$103,7,FALSE)&gt;0,IF(VLOOKUP(A96,Schlußkurse!A$5:AU$105,36,FALSE)&gt;0,VLOOKUP(A96,Schlußkurse!A$5:AU$105,36,FALSE)/VLOOKUP(A96,Ergebnis_je_Aktie_verwässert!A$3:AJ$103,7,FALSE),""),"")</f>
        <v>#N/A</v>
      </c>
      <c r="E96" s="70" t="e">
        <f>IF(VLOOKUP(A96,Ergebnis_je_Aktie_verwässert!A$3:AJ$103,8,FALSE)&gt;0,IF(VLOOKUP(A96,Schlußkurse!A$5:AU$105,37,FALSE)&gt;0,VLOOKUP(A96,Schlußkurse!A$5:AU$105,37,FALSE)/VLOOKUP(A96,Ergebnis_je_Aktie_verwässert!A$3:AJ$103,8,FALSE),""),"")</f>
        <v>#N/A</v>
      </c>
      <c r="F96" s="70" t="e">
        <f>IF(VLOOKUP(A96,Ergebnis_je_Aktie_verwässert!A$3:AJ$103,9,FALSE)&gt;0,IF(VLOOKUP(A96,Schlußkurse!A$5:AU$105,38,FALSE)&gt;0,VLOOKUP(A96,Schlußkurse!A$5:AU$105,38,FALSE)/VLOOKUP(A96,Ergebnis_je_Aktie_verwässert!A$3:AJ$103,9,FALSE),""),"")</f>
        <v>#N/A</v>
      </c>
      <c r="G96" s="70" t="e">
        <f>IF(VLOOKUP(A96,Ergebnis_je_Aktie_verwässert!A$3:AJ$103,10,FALSE)&gt;0,IF(VLOOKUP(A96,Schlußkurse!A$5:AU$105,39,FALSE)&gt;0,VLOOKUP(A96,Schlußkurse!A$5:AU$105,39,FALSE)/VLOOKUP(A96,Ergebnis_je_Aktie_verwässert!A$3:AJ$103,10,FALSE),""),"")</f>
        <v>#N/A</v>
      </c>
      <c r="H96" s="70" t="e">
        <f>IF(VLOOKUP(A96,Ergebnis_je_Aktie_verwässert!A$3:AJ$103,11,FALSE)&gt;0,IF(VLOOKUP(A96,Schlußkurse!A$5:AU$105,40,FALSE)&gt;0,VLOOKUP(A96,Schlußkurse!A$5:AU$105,40,FALSE)/VLOOKUP(A96,Ergebnis_je_Aktie_verwässert!A$3:AJ$103,11,FALSE),""),"")</f>
        <v>#N/A</v>
      </c>
      <c r="I96" s="70" t="e">
        <f>IF(VLOOKUP(A96,Ergebnis_je_Aktie_verwässert!A$3:AJ$103,12,FALSE)&gt;0,IF(VLOOKUP(A96,Schlußkurse!A$5:AU$105,41,FALSE)&gt;0,VLOOKUP(A96,Schlußkurse!A$5:AU$105,41,FALSE)/VLOOKUP(A96,Ergebnis_je_Aktie_verwässert!A$3:AJ$103,12,FALSE),""),"")</f>
        <v>#N/A</v>
      </c>
      <c r="J96" s="70" t="e">
        <f>IF(VLOOKUP(A96,Ergebnis_je_Aktie_verwässert!A$3:AJ$103,13,FALSE)&gt;0,IF(VLOOKUP(A96,Schlußkurse!A$5:AU$105,42,FALSE)&gt;0,VLOOKUP(A96,Schlußkurse!A$5:AU$105,42,FALSE)/VLOOKUP(A96,Ergebnis_je_Aktie_verwässert!A$3:AJ$103,13,FALSE),""),"")</f>
        <v>#N/A</v>
      </c>
      <c r="K96" s="70" t="e">
        <f>IF(VLOOKUP(A96,Ergebnis_je_Aktie_verwässert!A$3:AJ$103,14,FALSE)&gt;0,IF(VLOOKUP(A96,Schlußkurse!A$5:AU$105,43,FALSE)&gt;0,VLOOKUP(A96,Schlußkurse!A$5:AU$105,43,FALSE)/VLOOKUP(A96,Ergebnis_je_Aktie_verwässert!A$3:AJ$103,14,FALSE),""),"")</f>
        <v>#N/A</v>
      </c>
      <c r="L96" s="70" t="e">
        <f>IF(VLOOKUP(A96,Ergebnis_je_Aktie_verwässert!A$3:AJ$103,15,FALSE)&gt;0,IF(VLOOKUP(A96,Schlußkurse!A$5:AU$105,44,FALSE)&gt;0,VLOOKUP(A96,Schlußkurse!A$5:AU$105,44,FALSE)/VLOOKUP(A96,Ergebnis_je_Aktie_verwässert!A$3:AJ$103,15,FALSE),""),"")</f>
        <v>#N/A</v>
      </c>
      <c r="M96" s="70" t="e">
        <f>IF(VLOOKUP(A96,Ergebnis_je_Aktie_verwässert!A$3:AJ$103,16,FALSE)&gt;0,IF(VLOOKUP(A96,Schlußkurse!A$5:AU$105,45,FALSE)&gt;0,VLOOKUP(A96,Schlußkurse!A$5:AU$105,45,FALSE)/VLOOKUP(A96,Ergebnis_je_Aktie_verwässert!A$3:AJ$103,16,FALSE),""),"")</f>
        <v>#N/A</v>
      </c>
      <c r="N96" s="70" t="e">
        <f>IF(VLOOKUP(A96,Ergebnis_je_Aktie_verwässert!A$3:AJ$103,17,FALSE)&gt;0,IF(VLOOKUP(A96,Schlußkurse!A$5:AU$105,46,FALSE)&gt;0,VLOOKUP(A96,Schlußkurse!A$5:AU$105,46,FALSE)/VLOOKUP(A96,Ergebnis_je_Aktie_verwässert!A$3:AJ$103,17,FALSE),""),"")</f>
        <v>#N/A</v>
      </c>
      <c r="O96" s="70" t="e">
        <f>IF(VLOOKUP(A96,Ergebnis_je_Aktie_verwässert!A$3:AJ$103,18,FALSE)&gt;0,IF(VLOOKUP(A96,Schlußkurse!A$5:AU$105,47,FALSE)&gt;0,VLOOKUP(A96,Schlußkurse!A$5:AU$105,47,FALSE)/VLOOKUP(A96,Ergebnis_je_Aktie_verwässert!A$3:AJ$103,18,FALSE),""),"")</f>
        <v>#N/A</v>
      </c>
      <c r="P96" s="70" t="e">
        <f t="shared" si="4"/>
        <v>#N/A</v>
      </c>
      <c r="Q96" s="3" t="e">
        <f>VLOOKUP(A96,Schlußkurse!A$5:AU$105,35,FALSE)/VLOOKUP(A96,Ergebnis_je_Aktie_verwässert!A$3:AK$103,23,FALSE)</f>
        <v>#N/A</v>
      </c>
      <c r="R96" s="5" t="e">
        <f t="shared" si="5"/>
        <v>#N/A</v>
      </c>
    </row>
    <row r="97" spans="2:18">
      <c r="B97" s="38"/>
      <c r="C97" s="70" t="e">
        <f>IF(VLOOKUP(A97,Ergebnis_je_Aktie_verwässert!A$3:AJ$103,6,FALSE)&gt;0,IF(VLOOKUP(A97,Schlußkurse!A$5:AU$105,35,FALSE)&gt;0,VLOOKUP(A97,Schlußkurse!A$5:AU$105,35,FALSE)/VLOOKUP(A97,Ergebnis_je_Aktie_verwässert!A$3:AJ$103,6,FALSE),""),"")</f>
        <v>#N/A</v>
      </c>
      <c r="D97" s="70" t="e">
        <f>IF(VLOOKUP(A97,Ergebnis_je_Aktie_verwässert!A$3:AJ$103,7,FALSE)&gt;0,IF(VLOOKUP(A97,Schlußkurse!A$5:AU$105,36,FALSE)&gt;0,VLOOKUP(A97,Schlußkurse!A$5:AU$105,36,FALSE)/VLOOKUP(A97,Ergebnis_je_Aktie_verwässert!A$3:AJ$103,7,FALSE),""),"")</f>
        <v>#N/A</v>
      </c>
      <c r="E97" s="70" t="e">
        <f>IF(VLOOKUP(A97,Ergebnis_je_Aktie_verwässert!A$3:AJ$103,8,FALSE)&gt;0,IF(VLOOKUP(A97,Schlußkurse!A$5:AU$105,37,FALSE)&gt;0,VLOOKUP(A97,Schlußkurse!A$5:AU$105,37,FALSE)/VLOOKUP(A97,Ergebnis_je_Aktie_verwässert!A$3:AJ$103,8,FALSE),""),"")</f>
        <v>#N/A</v>
      </c>
      <c r="F97" s="70" t="e">
        <f>IF(VLOOKUP(A97,Ergebnis_je_Aktie_verwässert!A$3:AJ$103,9,FALSE)&gt;0,IF(VLOOKUP(A97,Schlußkurse!A$5:AU$105,38,FALSE)&gt;0,VLOOKUP(A97,Schlußkurse!A$5:AU$105,38,FALSE)/VLOOKUP(A97,Ergebnis_je_Aktie_verwässert!A$3:AJ$103,9,FALSE),""),"")</f>
        <v>#N/A</v>
      </c>
      <c r="G97" s="70" t="e">
        <f>IF(VLOOKUP(A97,Ergebnis_je_Aktie_verwässert!A$3:AJ$103,10,FALSE)&gt;0,IF(VLOOKUP(A97,Schlußkurse!A$5:AU$105,39,FALSE)&gt;0,VLOOKUP(A97,Schlußkurse!A$5:AU$105,39,FALSE)/VLOOKUP(A97,Ergebnis_je_Aktie_verwässert!A$3:AJ$103,10,FALSE),""),"")</f>
        <v>#N/A</v>
      </c>
      <c r="H97" s="70" t="e">
        <f>IF(VLOOKUP(A97,Ergebnis_je_Aktie_verwässert!A$3:AJ$103,11,FALSE)&gt;0,IF(VLOOKUP(A97,Schlußkurse!A$5:AU$105,40,FALSE)&gt;0,VLOOKUP(A97,Schlußkurse!A$5:AU$105,40,FALSE)/VLOOKUP(A97,Ergebnis_je_Aktie_verwässert!A$3:AJ$103,11,FALSE),""),"")</f>
        <v>#N/A</v>
      </c>
      <c r="I97" s="70" t="e">
        <f>IF(VLOOKUP(A97,Ergebnis_je_Aktie_verwässert!A$3:AJ$103,12,FALSE)&gt;0,IF(VLOOKUP(A97,Schlußkurse!A$5:AU$105,41,FALSE)&gt;0,VLOOKUP(A97,Schlußkurse!A$5:AU$105,41,FALSE)/VLOOKUP(A97,Ergebnis_je_Aktie_verwässert!A$3:AJ$103,12,FALSE),""),"")</f>
        <v>#N/A</v>
      </c>
      <c r="J97" s="70" t="e">
        <f>IF(VLOOKUP(A97,Ergebnis_je_Aktie_verwässert!A$3:AJ$103,13,FALSE)&gt;0,IF(VLOOKUP(A97,Schlußkurse!A$5:AU$105,42,FALSE)&gt;0,VLOOKUP(A97,Schlußkurse!A$5:AU$105,42,FALSE)/VLOOKUP(A97,Ergebnis_je_Aktie_verwässert!A$3:AJ$103,13,FALSE),""),"")</f>
        <v>#N/A</v>
      </c>
      <c r="K97" s="70" t="e">
        <f>IF(VLOOKUP(A97,Ergebnis_je_Aktie_verwässert!A$3:AJ$103,14,FALSE)&gt;0,IF(VLOOKUP(A97,Schlußkurse!A$5:AU$105,43,FALSE)&gt;0,VLOOKUP(A97,Schlußkurse!A$5:AU$105,43,FALSE)/VLOOKUP(A97,Ergebnis_je_Aktie_verwässert!A$3:AJ$103,14,FALSE),""),"")</f>
        <v>#N/A</v>
      </c>
      <c r="L97" s="70" t="e">
        <f>IF(VLOOKUP(A97,Ergebnis_je_Aktie_verwässert!A$3:AJ$103,15,FALSE)&gt;0,IF(VLOOKUP(A97,Schlußkurse!A$5:AU$105,44,FALSE)&gt;0,VLOOKUP(A97,Schlußkurse!A$5:AU$105,44,FALSE)/VLOOKUP(A97,Ergebnis_je_Aktie_verwässert!A$3:AJ$103,15,FALSE),""),"")</f>
        <v>#N/A</v>
      </c>
      <c r="M97" s="70" t="e">
        <f>IF(VLOOKUP(A97,Ergebnis_je_Aktie_verwässert!A$3:AJ$103,16,FALSE)&gt;0,IF(VLOOKUP(A97,Schlußkurse!A$5:AU$105,45,FALSE)&gt;0,VLOOKUP(A97,Schlußkurse!A$5:AU$105,45,FALSE)/VLOOKUP(A97,Ergebnis_je_Aktie_verwässert!A$3:AJ$103,16,FALSE),""),"")</f>
        <v>#N/A</v>
      </c>
      <c r="N97" s="70" t="e">
        <f>IF(VLOOKUP(A97,Ergebnis_je_Aktie_verwässert!A$3:AJ$103,17,FALSE)&gt;0,IF(VLOOKUP(A97,Schlußkurse!A$5:AU$105,46,FALSE)&gt;0,VLOOKUP(A97,Schlußkurse!A$5:AU$105,46,FALSE)/VLOOKUP(A97,Ergebnis_je_Aktie_verwässert!A$3:AJ$103,17,FALSE),""),"")</f>
        <v>#N/A</v>
      </c>
      <c r="O97" s="70" t="e">
        <f>IF(VLOOKUP(A97,Ergebnis_je_Aktie_verwässert!A$3:AJ$103,18,FALSE)&gt;0,IF(VLOOKUP(A97,Schlußkurse!A$5:AU$105,47,FALSE)&gt;0,VLOOKUP(A97,Schlußkurse!A$5:AU$105,47,FALSE)/VLOOKUP(A97,Ergebnis_je_Aktie_verwässert!A$3:AJ$103,18,FALSE),""),"")</f>
        <v>#N/A</v>
      </c>
      <c r="P97" s="70" t="e">
        <f t="shared" si="4"/>
        <v>#N/A</v>
      </c>
      <c r="Q97" s="3" t="e">
        <f>VLOOKUP(A97,Schlußkurse!A$5:AU$105,35,FALSE)/VLOOKUP(A97,Ergebnis_je_Aktie_verwässert!A$3:AK$103,23,FALSE)</f>
        <v>#N/A</v>
      </c>
      <c r="R97" s="5" t="e">
        <f t="shared" si="5"/>
        <v>#N/A</v>
      </c>
    </row>
    <row r="98" spans="2:18">
      <c r="B98" s="38"/>
      <c r="C98" s="70" t="e">
        <f>IF(VLOOKUP(A98,Ergebnis_je_Aktie_verwässert!A$3:AJ$103,6,FALSE)&gt;0,IF(VLOOKUP(A98,Schlußkurse!A$5:AU$105,35,FALSE)&gt;0,VLOOKUP(A98,Schlußkurse!A$5:AU$105,35,FALSE)/VLOOKUP(A98,Ergebnis_je_Aktie_verwässert!A$3:AJ$103,6,FALSE),""),"")</f>
        <v>#N/A</v>
      </c>
      <c r="D98" s="70" t="e">
        <f>IF(VLOOKUP(A98,Ergebnis_je_Aktie_verwässert!A$3:AJ$103,7,FALSE)&gt;0,IF(VLOOKUP(A98,Schlußkurse!A$5:AU$105,36,FALSE)&gt;0,VLOOKUP(A98,Schlußkurse!A$5:AU$105,36,FALSE)/VLOOKUP(A98,Ergebnis_je_Aktie_verwässert!A$3:AJ$103,7,FALSE),""),"")</f>
        <v>#N/A</v>
      </c>
      <c r="E98" s="70" t="e">
        <f>IF(VLOOKUP(A98,Ergebnis_je_Aktie_verwässert!A$3:AJ$103,8,FALSE)&gt;0,IF(VLOOKUP(A98,Schlußkurse!A$5:AU$105,37,FALSE)&gt;0,VLOOKUP(A98,Schlußkurse!A$5:AU$105,37,FALSE)/VLOOKUP(A98,Ergebnis_je_Aktie_verwässert!A$3:AJ$103,8,FALSE),""),"")</f>
        <v>#N/A</v>
      </c>
      <c r="F98" s="70" t="e">
        <f>IF(VLOOKUP(A98,Ergebnis_je_Aktie_verwässert!A$3:AJ$103,9,FALSE)&gt;0,IF(VLOOKUP(A98,Schlußkurse!A$5:AU$105,38,FALSE)&gt;0,VLOOKUP(A98,Schlußkurse!A$5:AU$105,38,FALSE)/VLOOKUP(A98,Ergebnis_je_Aktie_verwässert!A$3:AJ$103,9,FALSE),""),"")</f>
        <v>#N/A</v>
      </c>
      <c r="G98" s="70" t="e">
        <f>IF(VLOOKUP(A98,Ergebnis_je_Aktie_verwässert!A$3:AJ$103,10,FALSE)&gt;0,IF(VLOOKUP(A98,Schlußkurse!A$5:AU$105,39,FALSE)&gt;0,VLOOKUP(A98,Schlußkurse!A$5:AU$105,39,FALSE)/VLOOKUP(A98,Ergebnis_je_Aktie_verwässert!A$3:AJ$103,10,FALSE),""),"")</f>
        <v>#N/A</v>
      </c>
      <c r="H98" s="70" t="e">
        <f>IF(VLOOKUP(A98,Ergebnis_je_Aktie_verwässert!A$3:AJ$103,11,FALSE)&gt;0,IF(VLOOKUP(A98,Schlußkurse!A$5:AU$105,40,FALSE)&gt;0,VLOOKUP(A98,Schlußkurse!A$5:AU$105,40,FALSE)/VLOOKUP(A98,Ergebnis_je_Aktie_verwässert!A$3:AJ$103,11,FALSE),""),"")</f>
        <v>#N/A</v>
      </c>
      <c r="I98" s="70" t="e">
        <f>IF(VLOOKUP(A98,Ergebnis_je_Aktie_verwässert!A$3:AJ$103,12,FALSE)&gt;0,IF(VLOOKUP(A98,Schlußkurse!A$5:AU$105,41,FALSE)&gt;0,VLOOKUP(A98,Schlußkurse!A$5:AU$105,41,FALSE)/VLOOKUP(A98,Ergebnis_je_Aktie_verwässert!A$3:AJ$103,12,FALSE),""),"")</f>
        <v>#N/A</v>
      </c>
      <c r="J98" s="70" t="e">
        <f>IF(VLOOKUP(A98,Ergebnis_je_Aktie_verwässert!A$3:AJ$103,13,FALSE)&gt;0,IF(VLOOKUP(A98,Schlußkurse!A$5:AU$105,42,FALSE)&gt;0,VLOOKUP(A98,Schlußkurse!A$5:AU$105,42,FALSE)/VLOOKUP(A98,Ergebnis_je_Aktie_verwässert!A$3:AJ$103,13,FALSE),""),"")</f>
        <v>#N/A</v>
      </c>
      <c r="K98" s="70" t="e">
        <f>IF(VLOOKUP(A98,Ergebnis_je_Aktie_verwässert!A$3:AJ$103,14,FALSE)&gt;0,IF(VLOOKUP(A98,Schlußkurse!A$5:AU$105,43,FALSE)&gt;0,VLOOKUP(A98,Schlußkurse!A$5:AU$105,43,FALSE)/VLOOKUP(A98,Ergebnis_je_Aktie_verwässert!A$3:AJ$103,14,FALSE),""),"")</f>
        <v>#N/A</v>
      </c>
      <c r="L98" s="70" t="e">
        <f>IF(VLOOKUP(A98,Ergebnis_je_Aktie_verwässert!A$3:AJ$103,15,FALSE)&gt;0,IF(VLOOKUP(A98,Schlußkurse!A$5:AU$105,44,FALSE)&gt;0,VLOOKUP(A98,Schlußkurse!A$5:AU$105,44,FALSE)/VLOOKUP(A98,Ergebnis_je_Aktie_verwässert!A$3:AJ$103,15,FALSE),""),"")</f>
        <v>#N/A</v>
      </c>
      <c r="M98" s="70" t="e">
        <f>IF(VLOOKUP(A98,Ergebnis_je_Aktie_verwässert!A$3:AJ$103,16,FALSE)&gt;0,IF(VLOOKUP(A98,Schlußkurse!A$5:AU$105,45,FALSE)&gt;0,VLOOKUP(A98,Schlußkurse!A$5:AU$105,45,FALSE)/VLOOKUP(A98,Ergebnis_je_Aktie_verwässert!A$3:AJ$103,16,FALSE),""),"")</f>
        <v>#N/A</v>
      </c>
      <c r="N98" s="70" t="e">
        <f>IF(VLOOKUP(A98,Ergebnis_je_Aktie_verwässert!A$3:AJ$103,17,FALSE)&gt;0,IF(VLOOKUP(A98,Schlußkurse!A$5:AU$105,46,FALSE)&gt;0,VLOOKUP(A98,Schlußkurse!A$5:AU$105,46,FALSE)/VLOOKUP(A98,Ergebnis_je_Aktie_verwässert!A$3:AJ$103,17,FALSE),""),"")</f>
        <v>#N/A</v>
      </c>
      <c r="O98" s="70" t="e">
        <f>IF(VLOOKUP(A98,Ergebnis_je_Aktie_verwässert!A$3:AJ$103,18,FALSE)&gt;0,IF(VLOOKUP(A98,Schlußkurse!A$5:AU$105,47,FALSE)&gt;0,VLOOKUP(A98,Schlußkurse!A$5:AU$105,47,FALSE)/VLOOKUP(A98,Ergebnis_je_Aktie_verwässert!A$3:AJ$103,18,FALSE),""),"")</f>
        <v>#N/A</v>
      </c>
      <c r="P98" s="70" t="e">
        <f t="shared" si="4"/>
        <v>#N/A</v>
      </c>
      <c r="Q98" s="3" t="e">
        <f>VLOOKUP(A98,Schlußkurse!A$5:AU$105,35,FALSE)/VLOOKUP(A98,Ergebnis_je_Aktie_verwässert!A$3:AK$103,23,FALSE)</f>
        <v>#N/A</v>
      </c>
      <c r="R98" s="5" t="e">
        <f t="shared" si="5"/>
        <v>#N/A</v>
      </c>
    </row>
    <row r="99" spans="2:18">
      <c r="B99" s="38"/>
      <c r="C99" s="70" t="e">
        <f>IF(VLOOKUP(A99,Ergebnis_je_Aktie_verwässert!A$3:AJ$103,6,FALSE)&gt;0,IF(VLOOKUP(A99,Schlußkurse!A$5:AU$105,35,FALSE)&gt;0,VLOOKUP(A99,Schlußkurse!A$5:AU$105,35,FALSE)/VLOOKUP(A99,Ergebnis_je_Aktie_verwässert!A$3:AJ$103,6,FALSE),""),"")</f>
        <v>#N/A</v>
      </c>
      <c r="D99" s="70" t="e">
        <f>IF(VLOOKUP(A99,Ergebnis_je_Aktie_verwässert!A$3:AJ$103,7,FALSE)&gt;0,IF(VLOOKUP(A99,Schlußkurse!A$5:AU$105,36,FALSE)&gt;0,VLOOKUP(A99,Schlußkurse!A$5:AU$105,36,FALSE)/VLOOKUP(A99,Ergebnis_je_Aktie_verwässert!A$3:AJ$103,7,FALSE),""),"")</f>
        <v>#N/A</v>
      </c>
      <c r="E99" s="70" t="e">
        <f>IF(VLOOKUP(A99,Ergebnis_je_Aktie_verwässert!A$3:AJ$103,8,FALSE)&gt;0,IF(VLOOKUP(A99,Schlußkurse!A$5:AU$105,37,FALSE)&gt;0,VLOOKUP(A99,Schlußkurse!A$5:AU$105,37,FALSE)/VLOOKUP(A99,Ergebnis_je_Aktie_verwässert!A$3:AJ$103,8,FALSE),""),"")</f>
        <v>#N/A</v>
      </c>
      <c r="F99" s="70" t="e">
        <f>IF(VLOOKUP(A99,Ergebnis_je_Aktie_verwässert!A$3:AJ$103,9,FALSE)&gt;0,IF(VLOOKUP(A99,Schlußkurse!A$5:AU$105,38,FALSE)&gt;0,VLOOKUP(A99,Schlußkurse!A$5:AU$105,38,FALSE)/VLOOKUP(A99,Ergebnis_je_Aktie_verwässert!A$3:AJ$103,9,FALSE),""),"")</f>
        <v>#N/A</v>
      </c>
      <c r="G99" s="70" t="e">
        <f>IF(VLOOKUP(A99,Ergebnis_je_Aktie_verwässert!A$3:AJ$103,10,FALSE)&gt;0,IF(VLOOKUP(A99,Schlußkurse!A$5:AU$105,39,FALSE)&gt;0,VLOOKUP(A99,Schlußkurse!A$5:AU$105,39,FALSE)/VLOOKUP(A99,Ergebnis_je_Aktie_verwässert!A$3:AJ$103,10,FALSE),""),"")</f>
        <v>#N/A</v>
      </c>
      <c r="H99" s="70" t="e">
        <f>IF(VLOOKUP(A99,Ergebnis_je_Aktie_verwässert!A$3:AJ$103,11,FALSE)&gt;0,IF(VLOOKUP(A99,Schlußkurse!A$5:AU$105,40,FALSE)&gt;0,VLOOKUP(A99,Schlußkurse!A$5:AU$105,40,FALSE)/VLOOKUP(A99,Ergebnis_je_Aktie_verwässert!A$3:AJ$103,11,FALSE),""),"")</f>
        <v>#N/A</v>
      </c>
      <c r="I99" s="70" t="e">
        <f>IF(VLOOKUP(A99,Ergebnis_je_Aktie_verwässert!A$3:AJ$103,12,FALSE)&gt;0,IF(VLOOKUP(A99,Schlußkurse!A$5:AU$105,41,FALSE)&gt;0,VLOOKUP(A99,Schlußkurse!A$5:AU$105,41,FALSE)/VLOOKUP(A99,Ergebnis_je_Aktie_verwässert!A$3:AJ$103,12,FALSE),""),"")</f>
        <v>#N/A</v>
      </c>
      <c r="J99" s="70" t="e">
        <f>IF(VLOOKUP(A99,Ergebnis_je_Aktie_verwässert!A$3:AJ$103,13,FALSE)&gt;0,IF(VLOOKUP(A99,Schlußkurse!A$5:AU$105,42,FALSE)&gt;0,VLOOKUP(A99,Schlußkurse!A$5:AU$105,42,FALSE)/VLOOKUP(A99,Ergebnis_je_Aktie_verwässert!A$3:AJ$103,13,FALSE),""),"")</f>
        <v>#N/A</v>
      </c>
      <c r="K99" s="70" t="e">
        <f>IF(VLOOKUP(A99,Ergebnis_je_Aktie_verwässert!A$3:AJ$103,14,FALSE)&gt;0,IF(VLOOKUP(A99,Schlußkurse!A$5:AU$105,43,FALSE)&gt;0,VLOOKUP(A99,Schlußkurse!A$5:AU$105,43,FALSE)/VLOOKUP(A99,Ergebnis_je_Aktie_verwässert!A$3:AJ$103,14,FALSE),""),"")</f>
        <v>#N/A</v>
      </c>
      <c r="L99" s="70" t="e">
        <f>IF(VLOOKUP(A99,Ergebnis_je_Aktie_verwässert!A$3:AJ$103,15,FALSE)&gt;0,IF(VLOOKUP(A99,Schlußkurse!A$5:AU$105,44,FALSE)&gt;0,VLOOKUP(A99,Schlußkurse!A$5:AU$105,44,FALSE)/VLOOKUP(A99,Ergebnis_je_Aktie_verwässert!A$3:AJ$103,15,FALSE),""),"")</f>
        <v>#N/A</v>
      </c>
      <c r="M99" s="70" t="e">
        <f>IF(VLOOKUP(A99,Ergebnis_je_Aktie_verwässert!A$3:AJ$103,16,FALSE)&gt;0,IF(VLOOKUP(A99,Schlußkurse!A$5:AU$105,45,FALSE)&gt;0,VLOOKUP(A99,Schlußkurse!A$5:AU$105,45,FALSE)/VLOOKUP(A99,Ergebnis_je_Aktie_verwässert!A$3:AJ$103,16,FALSE),""),"")</f>
        <v>#N/A</v>
      </c>
      <c r="N99" s="70" t="e">
        <f>IF(VLOOKUP(A99,Ergebnis_je_Aktie_verwässert!A$3:AJ$103,17,FALSE)&gt;0,IF(VLOOKUP(A99,Schlußkurse!A$5:AU$105,46,FALSE)&gt;0,VLOOKUP(A99,Schlußkurse!A$5:AU$105,46,FALSE)/VLOOKUP(A99,Ergebnis_je_Aktie_verwässert!A$3:AJ$103,17,FALSE),""),"")</f>
        <v>#N/A</v>
      </c>
      <c r="O99" s="70" t="e">
        <f>IF(VLOOKUP(A99,Ergebnis_je_Aktie_verwässert!A$3:AJ$103,18,FALSE)&gt;0,IF(VLOOKUP(A99,Schlußkurse!A$5:AU$105,47,FALSE)&gt;0,VLOOKUP(A99,Schlußkurse!A$5:AU$105,47,FALSE)/VLOOKUP(A99,Ergebnis_je_Aktie_verwässert!A$3:AJ$103,18,FALSE),""),"")</f>
        <v>#N/A</v>
      </c>
      <c r="P99" s="70" t="e">
        <f t="shared" si="4"/>
        <v>#N/A</v>
      </c>
      <c r="Q99" s="3" t="e">
        <f>VLOOKUP(A99,Schlußkurse!A$5:AU$105,35,FALSE)/VLOOKUP(A99,Ergebnis_je_Aktie_verwässert!A$3:AK$103,23,FALSE)</f>
        <v>#N/A</v>
      </c>
      <c r="R99" s="5" t="e">
        <f t="shared" si="5"/>
        <v>#N/A</v>
      </c>
    </row>
    <row r="100" spans="2:18">
      <c r="B100" s="38"/>
      <c r="C100" s="70" t="e">
        <f>IF(VLOOKUP(A100,Ergebnis_je_Aktie_verwässert!A$3:AJ$103,6,FALSE)&gt;0,IF(VLOOKUP(A100,Schlußkurse!A$5:AU$105,35,FALSE)&gt;0,VLOOKUP(A100,Schlußkurse!A$5:AU$105,35,FALSE)/VLOOKUP(A100,Ergebnis_je_Aktie_verwässert!A$3:AJ$103,6,FALSE),""),"")</f>
        <v>#N/A</v>
      </c>
      <c r="D100" s="70" t="e">
        <f>IF(VLOOKUP(A100,Ergebnis_je_Aktie_verwässert!A$3:AJ$103,7,FALSE)&gt;0,IF(VLOOKUP(A100,Schlußkurse!A$5:AU$105,36,FALSE)&gt;0,VLOOKUP(A100,Schlußkurse!A$5:AU$105,36,FALSE)/VLOOKUP(A100,Ergebnis_je_Aktie_verwässert!A$3:AJ$103,7,FALSE),""),"")</f>
        <v>#N/A</v>
      </c>
      <c r="E100" s="70" t="e">
        <f>IF(VLOOKUP(A100,Ergebnis_je_Aktie_verwässert!A$3:AJ$103,8,FALSE)&gt;0,IF(VLOOKUP(A100,Schlußkurse!A$5:AU$105,37,FALSE)&gt;0,VLOOKUP(A100,Schlußkurse!A$5:AU$105,37,FALSE)/VLOOKUP(A100,Ergebnis_je_Aktie_verwässert!A$3:AJ$103,8,FALSE),""),"")</f>
        <v>#N/A</v>
      </c>
      <c r="F100" s="70" t="e">
        <f>IF(VLOOKUP(A100,Ergebnis_je_Aktie_verwässert!A$3:AJ$103,9,FALSE)&gt;0,IF(VLOOKUP(A100,Schlußkurse!A$5:AU$105,38,FALSE)&gt;0,VLOOKUP(A100,Schlußkurse!A$5:AU$105,38,FALSE)/VLOOKUP(A100,Ergebnis_je_Aktie_verwässert!A$3:AJ$103,9,FALSE),""),"")</f>
        <v>#N/A</v>
      </c>
      <c r="G100" s="70" t="e">
        <f>IF(VLOOKUP(A100,Ergebnis_je_Aktie_verwässert!A$3:AJ$103,10,FALSE)&gt;0,IF(VLOOKUP(A100,Schlußkurse!A$5:AU$105,39,FALSE)&gt;0,VLOOKUP(A100,Schlußkurse!A$5:AU$105,39,FALSE)/VLOOKUP(A100,Ergebnis_je_Aktie_verwässert!A$3:AJ$103,10,FALSE),""),"")</f>
        <v>#N/A</v>
      </c>
      <c r="H100" s="70" t="e">
        <f>IF(VLOOKUP(A100,Ergebnis_je_Aktie_verwässert!A$3:AJ$103,11,FALSE)&gt;0,IF(VLOOKUP(A100,Schlußkurse!A$5:AU$105,40,FALSE)&gt;0,VLOOKUP(A100,Schlußkurse!A$5:AU$105,40,FALSE)/VLOOKUP(A100,Ergebnis_je_Aktie_verwässert!A$3:AJ$103,11,FALSE),""),"")</f>
        <v>#N/A</v>
      </c>
      <c r="I100" s="70" t="e">
        <f>IF(VLOOKUP(A100,Ergebnis_je_Aktie_verwässert!A$3:AJ$103,12,FALSE)&gt;0,IF(VLOOKUP(A100,Schlußkurse!A$5:AU$105,41,FALSE)&gt;0,VLOOKUP(A100,Schlußkurse!A$5:AU$105,41,FALSE)/VLOOKUP(A100,Ergebnis_je_Aktie_verwässert!A$3:AJ$103,12,FALSE),""),"")</f>
        <v>#N/A</v>
      </c>
      <c r="J100" s="70" t="e">
        <f>IF(VLOOKUP(A100,Ergebnis_je_Aktie_verwässert!A$3:AJ$103,13,FALSE)&gt;0,IF(VLOOKUP(A100,Schlußkurse!A$5:AU$105,42,FALSE)&gt;0,VLOOKUP(A100,Schlußkurse!A$5:AU$105,42,FALSE)/VLOOKUP(A100,Ergebnis_je_Aktie_verwässert!A$3:AJ$103,13,FALSE),""),"")</f>
        <v>#N/A</v>
      </c>
      <c r="K100" s="70" t="e">
        <f>IF(VLOOKUP(A100,Ergebnis_je_Aktie_verwässert!A$3:AJ$103,14,FALSE)&gt;0,IF(VLOOKUP(A100,Schlußkurse!A$5:AU$105,43,FALSE)&gt;0,VLOOKUP(A100,Schlußkurse!A$5:AU$105,43,FALSE)/VLOOKUP(A100,Ergebnis_je_Aktie_verwässert!A$3:AJ$103,14,FALSE),""),"")</f>
        <v>#N/A</v>
      </c>
      <c r="L100" s="70" t="e">
        <f>IF(VLOOKUP(A100,Ergebnis_je_Aktie_verwässert!A$3:AJ$103,15,FALSE)&gt;0,IF(VLOOKUP(A100,Schlußkurse!A$5:AU$105,44,FALSE)&gt;0,VLOOKUP(A100,Schlußkurse!A$5:AU$105,44,FALSE)/VLOOKUP(A100,Ergebnis_je_Aktie_verwässert!A$3:AJ$103,15,FALSE),""),"")</f>
        <v>#N/A</v>
      </c>
      <c r="M100" s="70" t="e">
        <f>IF(VLOOKUP(A100,Ergebnis_je_Aktie_verwässert!A$3:AJ$103,16,FALSE)&gt;0,IF(VLOOKUP(A100,Schlußkurse!A$5:AU$105,45,FALSE)&gt;0,VLOOKUP(A100,Schlußkurse!A$5:AU$105,45,FALSE)/VLOOKUP(A100,Ergebnis_je_Aktie_verwässert!A$3:AJ$103,16,FALSE),""),"")</f>
        <v>#N/A</v>
      </c>
      <c r="N100" s="70" t="e">
        <f>IF(VLOOKUP(A100,Ergebnis_je_Aktie_verwässert!A$3:AJ$103,17,FALSE)&gt;0,IF(VLOOKUP(A100,Schlußkurse!A$5:AU$105,46,FALSE)&gt;0,VLOOKUP(A100,Schlußkurse!A$5:AU$105,46,FALSE)/VLOOKUP(A100,Ergebnis_je_Aktie_verwässert!A$3:AJ$103,17,FALSE),""),"")</f>
        <v>#N/A</v>
      </c>
      <c r="O100" s="70" t="e">
        <f>IF(VLOOKUP(A100,Ergebnis_je_Aktie_verwässert!A$3:AJ$103,18,FALSE)&gt;0,IF(VLOOKUP(A100,Schlußkurse!A$5:AU$105,47,FALSE)&gt;0,VLOOKUP(A100,Schlußkurse!A$5:AU$105,47,FALSE)/VLOOKUP(A100,Ergebnis_je_Aktie_verwässert!A$3:AJ$103,18,FALSE),""),"")</f>
        <v>#N/A</v>
      </c>
      <c r="P100" s="70" t="e">
        <f t="shared" ref="P100:P103" si="6">MEDIAN(C100:O100)</f>
        <v>#N/A</v>
      </c>
      <c r="Q100" s="3" t="e">
        <f>VLOOKUP(A100,Schlußkurse!A$5:AU$105,35,FALSE)/VLOOKUP(A100,Ergebnis_je_Aktie_verwässert!A$3:AK$103,23,FALSE)</f>
        <v>#N/A</v>
      </c>
      <c r="R100" s="5" t="e">
        <f t="shared" ref="R100:R103" si="7">(Q100/P100)-1</f>
        <v>#N/A</v>
      </c>
    </row>
    <row r="101" spans="2:18">
      <c r="B101" s="38"/>
      <c r="C101" s="70" t="e">
        <f>IF(VLOOKUP(A101,Ergebnis_je_Aktie_verwässert!A$3:AJ$103,6,FALSE)&gt;0,IF(VLOOKUP(A101,Schlußkurse!A$5:AU$105,35,FALSE)&gt;0,VLOOKUP(A101,Schlußkurse!A$5:AU$105,35,FALSE)/VLOOKUP(A101,Ergebnis_je_Aktie_verwässert!A$3:AJ$103,6,FALSE),""),"")</f>
        <v>#N/A</v>
      </c>
      <c r="D101" s="70" t="e">
        <f>IF(VLOOKUP(A101,Ergebnis_je_Aktie_verwässert!A$3:AJ$103,7,FALSE)&gt;0,IF(VLOOKUP(A101,Schlußkurse!A$5:AU$105,36,FALSE)&gt;0,VLOOKUP(A101,Schlußkurse!A$5:AU$105,36,FALSE)/VLOOKUP(A101,Ergebnis_je_Aktie_verwässert!A$3:AJ$103,7,FALSE),""),"")</f>
        <v>#N/A</v>
      </c>
      <c r="E101" s="70" t="e">
        <f>IF(VLOOKUP(A101,Ergebnis_je_Aktie_verwässert!A$3:AJ$103,8,FALSE)&gt;0,IF(VLOOKUP(A101,Schlußkurse!A$5:AU$105,37,FALSE)&gt;0,VLOOKUP(A101,Schlußkurse!A$5:AU$105,37,FALSE)/VLOOKUP(A101,Ergebnis_je_Aktie_verwässert!A$3:AJ$103,8,FALSE),""),"")</f>
        <v>#N/A</v>
      </c>
      <c r="F101" s="70" t="e">
        <f>IF(VLOOKUP(A101,Ergebnis_je_Aktie_verwässert!A$3:AJ$103,9,FALSE)&gt;0,IF(VLOOKUP(A101,Schlußkurse!A$5:AU$105,38,FALSE)&gt;0,VLOOKUP(A101,Schlußkurse!A$5:AU$105,38,FALSE)/VLOOKUP(A101,Ergebnis_je_Aktie_verwässert!A$3:AJ$103,9,FALSE),""),"")</f>
        <v>#N/A</v>
      </c>
      <c r="G101" s="70" t="e">
        <f>IF(VLOOKUP(A101,Ergebnis_je_Aktie_verwässert!A$3:AJ$103,10,FALSE)&gt;0,IF(VLOOKUP(A101,Schlußkurse!A$5:AU$105,39,FALSE)&gt;0,VLOOKUP(A101,Schlußkurse!A$5:AU$105,39,FALSE)/VLOOKUP(A101,Ergebnis_je_Aktie_verwässert!A$3:AJ$103,10,FALSE),""),"")</f>
        <v>#N/A</v>
      </c>
      <c r="H101" s="70" t="e">
        <f>IF(VLOOKUP(A101,Ergebnis_je_Aktie_verwässert!A$3:AJ$103,11,FALSE)&gt;0,IF(VLOOKUP(A101,Schlußkurse!A$5:AU$105,40,FALSE)&gt;0,VLOOKUP(A101,Schlußkurse!A$5:AU$105,40,FALSE)/VLOOKUP(A101,Ergebnis_je_Aktie_verwässert!A$3:AJ$103,11,FALSE),""),"")</f>
        <v>#N/A</v>
      </c>
      <c r="I101" s="70" t="e">
        <f>IF(VLOOKUP(A101,Ergebnis_je_Aktie_verwässert!A$3:AJ$103,12,FALSE)&gt;0,IF(VLOOKUP(A101,Schlußkurse!A$5:AU$105,41,FALSE)&gt;0,VLOOKUP(A101,Schlußkurse!A$5:AU$105,41,FALSE)/VLOOKUP(A101,Ergebnis_je_Aktie_verwässert!A$3:AJ$103,12,FALSE),""),"")</f>
        <v>#N/A</v>
      </c>
      <c r="J101" s="70" t="e">
        <f>IF(VLOOKUP(A101,Ergebnis_je_Aktie_verwässert!A$3:AJ$103,13,FALSE)&gt;0,IF(VLOOKUP(A101,Schlußkurse!A$5:AU$105,42,FALSE)&gt;0,VLOOKUP(A101,Schlußkurse!A$5:AU$105,42,FALSE)/VLOOKUP(A101,Ergebnis_je_Aktie_verwässert!A$3:AJ$103,13,FALSE),""),"")</f>
        <v>#N/A</v>
      </c>
      <c r="K101" s="70" t="e">
        <f>IF(VLOOKUP(A101,Ergebnis_je_Aktie_verwässert!A$3:AJ$103,14,FALSE)&gt;0,IF(VLOOKUP(A101,Schlußkurse!A$5:AU$105,43,FALSE)&gt;0,VLOOKUP(A101,Schlußkurse!A$5:AU$105,43,FALSE)/VLOOKUP(A101,Ergebnis_je_Aktie_verwässert!A$3:AJ$103,14,FALSE),""),"")</f>
        <v>#N/A</v>
      </c>
      <c r="L101" s="70" t="e">
        <f>IF(VLOOKUP(A101,Ergebnis_je_Aktie_verwässert!A$3:AJ$103,15,FALSE)&gt;0,IF(VLOOKUP(A101,Schlußkurse!A$5:AU$105,44,FALSE)&gt;0,VLOOKUP(A101,Schlußkurse!A$5:AU$105,44,FALSE)/VLOOKUP(A101,Ergebnis_je_Aktie_verwässert!A$3:AJ$103,15,FALSE),""),"")</f>
        <v>#N/A</v>
      </c>
      <c r="M101" s="70" t="e">
        <f>IF(VLOOKUP(A101,Ergebnis_je_Aktie_verwässert!A$3:AJ$103,16,FALSE)&gt;0,IF(VLOOKUP(A101,Schlußkurse!A$5:AU$105,45,FALSE)&gt;0,VLOOKUP(A101,Schlußkurse!A$5:AU$105,45,FALSE)/VLOOKUP(A101,Ergebnis_je_Aktie_verwässert!A$3:AJ$103,16,FALSE),""),"")</f>
        <v>#N/A</v>
      </c>
      <c r="N101" s="70" t="e">
        <f>IF(VLOOKUP(A101,Ergebnis_je_Aktie_verwässert!A$3:AJ$103,17,FALSE)&gt;0,IF(VLOOKUP(A101,Schlußkurse!A$5:AU$105,46,FALSE)&gt;0,VLOOKUP(A101,Schlußkurse!A$5:AU$105,46,FALSE)/VLOOKUP(A101,Ergebnis_je_Aktie_verwässert!A$3:AJ$103,17,FALSE),""),"")</f>
        <v>#N/A</v>
      </c>
      <c r="O101" s="70" t="e">
        <f>IF(VLOOKUP(A101,Ergebnis_je_Aktie_verwässert!A$3:AJ$103,18,FALSE)&gt;0,IF(VLOOKUP(A101,Schlußkurse!A$5:AU$105,47,FALSE)&gt;0,VLOOKUP(A101,Schlußkurse!A$5:AU$105,47,FALSE)/VLOOKUP(A101,Ergebnis_je_Aktie_verwässert!A$3:AJ$103,18,FALSE),""),"")</f>
        <v>#N/A</v>
      </c>
      <c r="P101" s="70" t="e">
        <f t="shared" si="6"/>
        <v>#N/A</v>
      </c>
      <c r="Q101" s="3" t="e">
        <f>VLOOKUP(A101,Schlußkurse!A$5:AU$105,35,FALSE)/VLOOKUP(A101,Ergebnis_je_Aktie_verwässert!A$3:AK$103,23,FALSE)</f>
        <v>#N/A</v>
      </c>
      <c r="R101" s="5" t="e">
        <f t="shared" si="7"/>
        <v>#N/A</v>
      </c>
    </row>
    <row r="102" spans="2:18">
      <c r="B102" s="38"/>
      <c r="C102" s="70" t="e">
        <f>IF(VLOOKUP(A102,Ergebnis_je_Aktie_verwässert!A$3:AJ$103,6,FALSE)&gt;0,IF(VLOOKUP(A102,Schlußkurse!A$5:AU$105,35,FALSE)&gt;0,VLOOKUP(A102,Schlußkurse!A$5:AU$105,35,FALSE)/VLOOKUP(A102,Ergebnis_je_Aktie_verwässert!A$3:AJ$103,6,FALSE),""),"")</f>
        <v>#N/A</v>
      </c>
      <c r="D102" s="70" t="e">
        <f>IF(VLOOKUP(A102,Ergebnis_je_Aktie_verwässert!A$3:AJ$103,7,FALSE)&gt;0,IF(VLOOKUP(A102,Schlußkurse!A$5:AU$105,36,FALSE)&gt;0,VLOOKUP(A102,Schlußkurse!A$5:AU$105,36,FALSE)/VLOOKUP(A102,Ergebnis_je_Aktie_verwässert!A$3:AJ$103,7,FALSE),""),"")</f>
        <v>#N/A</v>
      </c>
      <c r="E102" s="70" t="e">
        <f>IF(VLOOKUP(A102,Ergebnis_je_Aktie_verwässert!A$3:AJ$103,8,FALSE)&gt;0,IF(VLOOKUP(A102,Schlußkurse!A$5:AU$105,37,FALSE)&gt;0,VLOOKUP(A102,Schlußkurse!A$5:AU$105,37,FALSE)/VLOOKUP(A102,Ergebnis_je_Aktie_verwässert!A$3:AJ$103,8,FALSE),""),"")</f>
        <v>#N/A</v>
      </c>
      <c r="F102" s="70" t="e">
        <f>IF(VLOOKUP(A102,Ergebnis_je_Aktie_verwässert!A$3:AJ$103,9,FALSE)&gt;0,IF(VLOOKUP(A102,Schlußkurse!A$5:AU$105,38,FALSE)&gt;0,VLOOKUP(A102,Schlußkurse!A$5:AU$105,38,FALSE)/VLOOKUP(A102,Ergebnis_je_Aktie_verwässert!A$3:AJ$103,9,FALSE),""),"")</f>
        <v>#N/A</v>
      </c>
      <c r="G102" s="70" t="e">
        <f>IF(VLOOKUP(A102,Ergebnis_je_Aktie_verwässert!A$3:AJ$103,10,FALSE)&gt;0,IF(VLOOKUP(A102,Schlußkurse!A$5:AU$105,39,FALSE)&gt;0,VLOOKUP(A102,Schlußkurse!A$5:AU$105,39,FALSE)/VLOOKUP(A102,Ergebnis_je_Aktie_verwässert!A$3:AJ$103,10,FALSE),""),"")</f>
        <v>#N/A</v>
      </c>
      <c r="H102" s="70" t="e">
        <f>IF(VLOOKUP(A102,Ergebnis_je_Aktie_verwässert!A$3:AJ$103,11,FALSE)&gt;0,IF(VLOOKUP(A102,Schlußkurse!A$5:AU$105,40,FALSE)&gt;0,VLOOKUP(A102,Schlußkurse!A$5:AU$105,40,FALSE)/VLOOKUP(A102,Ergebnis_je_Aktie_verwässert!A$3:AJ$103,11,FALSE),""),"")</f>
        <v>#N/A</v>
      </c>
      <c r="I102" s="70" t="e">
        <f>IF(VLOOKUP(A102,Ergebnis_je_Aktie_verwässert!A$3:AJ$103,12,FALSE)&gt;0,IF(VLOOKUP(A102,Schlußkurse!A$5:AU$105,41,FALSE)&gt;0,VLOOKUP(A102,Schlußkurse!A$5:AU$105,41,FALSE)/VLOOKUP(A102,Ergebnis_je_Aktie_verwässert!A$3:AJ$103,12,FALSE),""),"")</f>
        <v>#N/A</v>
      </c>
      <c r="J102" s="70" t="e">
        <f>IF(VLOOKUP(A102,Ergebnis_je_Aktie_verwässert!A$3:AJ$103,13,FALSE)&gt;0,IF(VLOOKUP(A102,Schlußkurse!A$5:AU$105,42,FALSE)&gt;0,VLOOKUP(A102,Schlußkurse!A$5:AU$105,42,FALSE)/VLOOKUP(A102,Ergebnis_je_Aktie_verwässert!A$3:AJ$103,13,FALSE),""),"")</f>
        <v>#N/A</v>
      </c>
      <c r="K102" s="70" t="e">
        <f>IF(VLOOKUP(A102,Ergebnis_je_Aktie_verwässert!A$3:AJ$103,14,FALSE)&gt;0,IF(VLOOKUP(A102,Schlußkurse!A$5:AU$105,43,FALSE)&gt;0,VLOOKUP(A102,Schlußkurse!A$5:AU$105,43,FALSE)/VLOOKUP(A102,Ergebnis_je_Aktie_verwässert!A$3:AJ$103,14,FALSE),""),"")</f>
        <v>#N/A</v>
      </c>
      <c r="L102" s="70" t="e">
        <f>IF(VLOOKUP(A102,Ergebnis_je_Aktie_verwässert!A$3:AJ$103,15,FALSE)&gt;0,IF(VLOOKUP(A102,Schlußkurse!A$5:AU$105,44,FALSE)&gt;0,VLOOKUP(A102,Schlußkurse!A$5:AU$105,44,FALSE)/VLOOKUP(A102,Ergebnis_je_Aktie_verwässert!A$3:AJ$103,15,FALSE),""),"")</f>
        <v>#N/A</v>
      </c>
      <c r="M102" s="70" t="e">
        <f>IF(VLOOKUP(A102,Ergebnis_je_Aktie_verwässert!A$3:AJ$103,16,FALSE)&gt;0,IF(VLOOKUP(A102,Schlußkurse!A$5:AU$105,45,FALSE)&gt;0,VLOOKUP(A102,Schlußkurse!A$5:AU$105,45,FALSE)/VLOOKUP(A102,Ergebnis_je_Aktie_verwässert!A$3:AJ$103,16,FALSE),""),"")</f>
        <v>#N/A</v>
      </c>
      <c r="N102" s="70" t="e">
        <f>IF(VLOOKUP(A102,Ergebnis_je_Aktie_verwässert!A$3:AJ$103,17,FALSE)&gt;0,IF(VLOOKUP(A102,Schlußkurse!A$5:AU$105,46,FALSE)&gt;0,VLOOKUP(A102,Schlußkurse!A$5:AU$105,46,FALSE)/VLOOKUP(A102,Ergebnis_je_Aktie_verwässert!A$3:AJ$103,17,FALSE),""),"")</f>
        <v>#N/A</v>
      </c>
      <c r="O102" s="70" t="e">
        <f>IF(VLOOKUP(A102,Ergebnis_je_Aktie_verwässert!A$3:AJ$103,18,FALSE)&gt;0,IF(VLOOKUP(A102,Schlußkurse!A$5:AU$105,47,FALSE)&gt;0,VLOOKUP(A102,Schlußkurse!A$5:AU$105,47,FALSE)/VLOOKUP(A102,Ergebnis_je_Aktie_verwässert!A$3:AJ$103,18,FALSE),""),"")</f>
        <v>#N/A</v>
      </c>
      <c r="P102" s="70" t="e">
        <f t="shared" si="6"/>
        <v>#N/A</v>
      </c>
      <c r="Q102" s="3" t="e">
        <f>VLOOKUP(A102,Schlußkurse!A$5:AU$105,35,FALSE)/VLOOKUP(A102,Ergebnis_je_Aktie_verwässert!A$3:AK$103,23,FALSE)</f>
        <v>#N/A</v>
      </c>
      <c r="R102" s="5" t="e">
        <f t="shared" si="7"/>
        <v>#N/A</v>
      </c>
    </row>
    <row r="103" spans="2:18">
      <c r="B103" s="38"/>
      <c r="C103" s="70" t="e">
        <f>IF(VLOOKUP(A103,Ergebnis_je_Aktie_verwässert!A$3:AJ$103,6,FALSE)&gt;0,IF(VLOOKUP(A103,Schlußkurse!A$5:AU$105,35,FALSE)&gt;0,VLOOKUP(A103,Schlußkurse!A$5:AU$105,35,FALSE)/VLOOKUP(A103,Ergebnis_je_Aktie_verwässert!A$3:AJ$103,6,FALSE),""),"")</f>
        <v>#N/A</v>
      </c>
      <c r="D103" s="70" t="e">
        <f>IF(VLOOKUP(A103,Ergebnis_je_Aktie_verwässert!A$3:AJ$103,7,FALSE)&gt;0,IF(VLOOKUP(A103,Schlußkurse!A$5:AU$105,36,FALSE)&gt;0,VLOOKUP(A103,Schlußkurse!A$5:AU$105,36,FALSE)/VLOOKUP(A103,Ergebnis_je_Aktie_verwässert!A$3:AJ$103,7,FALSE),""),"")</f>
        <v>#N/A</v>
      </c>
      <c r="E103" s="70" t="e">
        <f>IF(VLOOKUP(A103,Ergebnis_je_Aktie_verwässert!A$3:AJ$103,8,FALSE)&gt;0,IF(VLOOKUP(A103,Schlußkurse!A$5:AU$105,37,FALSE)&gt;0,VLOOKUP(A103,Schlußkurse!A$5:AU$105,37,FALSE)/VLOOKUP(A103,Ergebnis_je_Aktie_verwässert!A$3:AJ$103,8,FALSE),""),"")</f>
        <v>#N/A</v>
      </c>
      <c r="F103" s="70" t="e">
        <f>IF(VLOOKUP(A103,Ergebnis_je_Aktie_verwässert!A$3:AJ$103,9,FALSE)&gt;0,IF(VLOOKUP(A103,Schlußkurse!A$5:AU$105,38,FALSE)&gt;0,VLOOKUP(A103,Schlußkurse!A$5:AU$105,38,FALSE)/VLOOKUP(A103,Ergebnis_je_Aktie_verwässert!A$3:AJ$103,9,FALSE),""),"")</f>
        <v>#N/A</v>
      </c>
      <c r="G103" s="70" t="e">
        <f>IF(VLOOKUP(A103,Ergebnis_je_Aktie_verwässert!A$3:AJ$103,10,FALSE)&gt;0,IF(VLOOKUP(A103,Schlußkurse!A$5:AU$105,39,FALSE)&gt;0,VLOOKUP(A103,Schlußkurse!A$5:AU$105,39,FALSE)/VLOOKUP(A103,Ergebnis_je_Aktie_verwässert!A$3:AJ$103,10,FALSE),""),"")</f>
        <v>#N/A</v>
      </c>
      <c r="H103" s="70" t="e">
        <f>IF(VLOOKUP(A103,Ergebnis_je_Aktie_verwässert!A$3:AJ$103,11,FALSE)&gt;0,IF(VLOOKUP(A103,Schlußkurse!A$5:AU$105,40,FALSE)&gt;0,VLOOKUP(A103,Schlußkurse!A$5:AU$105,40,FALSE)/VLOOKUP(A103,Ergebnis_je_Aktie_verwässert!A$3:AJ$103,11,FALSE),""),"")</f>
        <v>#N/A</v>
      </c>
      <c r="I103" s="70" t="e">
        <f>IF(VLOOKUP(A103,Ergebnis_je_Aktie_verwässert!A$3:AJ$103,12,FALSE)&gt;0,IF(VLOOKUP(A103,Schlußkurse!A$5:AU$105,41,FALSE)&gt;0,VLOOKUP(A103,Schlußkurse!A$5:AU$105,41,FALSE)/VLOOKUP(A103,Ergebnis_je_Aktie_verwässert!A$3:AJ$103,12,FALSE),""),"")</f>
        <v>#N/A</v>
      </c>
      <c r="J103" s="70" t="e">
        <f>IF(VLOOKUP(A103,Ergebnis_je_Aktie_verwässert!A$3:AJ$103,13,FALSE)&gt;0,IF(VLOOKUP(A103,Schlußkurse!A$5:AU$105,42,FALSE)&gt;0,VLOOKUP(A103,Schlußkurse!A$5:AU$105,42,FALSE)/VLOOKUP(A103,Ergebnis_je_Aktie_verwässert!A$3:AJ$103,13,FALSE),""),"")</f>
        <v>#N/A</v>
      </c>
      <c r="K103" s="70" t="e">
        <f>IF(VLOOKUP(A103,Ergebnis_je_Aktie_verwässert!A$3:AJ$103,14,FALSE)&gt;0,IF(VLOOKUP(A103,Schlußkurse!A$5:AU$105,43,FALSE)&gt;0,VLOOKUP(A103,Schlußkurse!A$5:AU$105,43,FALSE)/VLOOKUP(A103,Ergebnis_je_Aktie_verwässert!A$3:AJ$103,14,FALSE),""),"")</f>
        <v>#N/A</v>
      </c>
      <c r="L103" s="70" t="e">
        <f>IF(VLOOKUP(A103,Ergebnis_je_Aktie_verwässert!A$3:AJ$103,15,FALSE)&gt;0,IF(VLOOKUP(A103,Schlußkurse!A$5:AU$105,44,FALSE)&gt;0,VLOOKUP(A103,Schlußkurse!A$5:AU$105,44,FALSE)/VLOOKUP(A103,Ergebnis_je_Aktie_verwässert!A$3:AJ$103,15,FALSE),""),"")</f>
        <v>#N/A</v>
      </c>
      <c r="M103" s="70" t="e">
        <f>IF(VLOOKUP(A103,Ergebnis_je_Aktie_verwässert!A$3:AJ$103,16,FALSE)&gt;0,IF(VLOOKUP(A103,Schlußkurse!A$5:AU$105,45,FALSE)&gt;0,VLOOKUP(A103,Schlußkurse!A$5:AU$105,45,FALSE)/VLOOKUP(A103,Ergebnis_je_Aktie_verwässert!A$3:AJ$103,16,FALSE),""),"")</f>
        <v>#N/A</v>
      </c>
      <c r="N103" s="70" t="e">
        <f>IF(VLOOKUP(A103,Ergebnis_je_Aktie_verwässert!A$3:AJ$103,17,FALSE)&gt;0,IF(VLOOKUP(A103,Schlußkurse!A$5:AU$105,46,FALSE)&gt;0,VLOOKUP(A103,Schlußkurse!A$5:AU$105,46,FALSE)/VLOOKUP(A103,Ergebnis_je_Aktie_verwässert!A$3:AJ$103,17,FALSE),""),"")</f>
        <v>#N/A</v>
      </c>
      <c r="O103" s="70" t="e">
        <f>IF(VLOOKUP(A103,Ergebnis_je_Aktie_verwässert!A$3:AJ$103,18,FALSE)&gt;0,IF(VLOOKUP(A103,Schlußkurse!A$5:AU$105,47,FALSE)&gt;0,VLOOKUP(A103,Schlußkurse!A$5:AU$105,47,FALSE)/VLOOKUP(A103,Ergebnis_je_Aktie_verwässert!A$3:AJ$103,18,FALSE),""),"")</f>
        <v>#N/A</v>
      </c>
      <c r="P103" s="70" t="e">
        <f t="shared" si="6"/>
        <v>#N/A</v>
      </c>
      <c r="Q103" s="3" t="e">
        <f>VLOOKUP(A103,Schlußkurse!A$5:AU$105,35,FALSE)/VLOOKUP(A103,Ergebnis_je_Aktie_verwässert!A$3:AK$103,23,FALSE)</f>
        <v>#N/A</v>
      </c>
      <c r="R103" s="5" t="e">
        <f t="shared" si="7"/>
        <v>#N/A</v>
      </c>
    </row>
  </sheetData>
  <autoFilter ref="A3:R3">
    <sortState ref="A4:R103">
      <sortCondition ref="B3"/>
    </sortState>
  </autoFilter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03"/>
  <sheetViews>
    <sheetView zoomScale="60" zoomScaleNormal="60" workbookViewId="0">
      <pane ySplit="3" topLeftCell="A4" activePane="bottomLeft" state="frozenSplit"/>
      <selection pane="bottomLeft"/>
    </sheetView>
  </sheetViews>
  <sheetFormatPr baseColWidth="10" defaultRowHeight="15"/>
  <cols>
    <col min="1" max="1" width="28" customWidth="1"/>
    <col min="2" max="2" width="20.85546875" customWidth="1"/>
    <col min="3" max="3" width="15.140625" customWidth="1"/>
    <col min="4" max="4" width="14.7109375" bestFit="1" customWidth="1"/>
    <col min="5" max="5" width="15.140625" customWidth="1"/>
    <col min="6" max="6" width="14.42578125" customWidth="1"/>
    <col min="7" max="14" width="14.85546875" customWidth="1"/>
    <col min="15" max="15" width="15.85546875" customWidth="1"/>
    <col min="16" max="16" width="14.7109375" bestFit="1" customWidth="1"/>
    <col min="17" max="17" width="18" customWidth="1"/>
    <col min="18" max="18" width="30.140625" bestFit="1" customWidth="1"/>
  </cols>
  <sheetData>
    <row r="1" spans="1:18">
      <c r="A1" s="1"/>
      <c r="B1" s="3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37"/>
      <c r="Q1" s="1"/>
      <c r="R1" s="1"/>
    </row>
    <row r="2" spans="1:18">
      <c r="A2" s="1"/>
      <c r="B2" s="37"/>
      <c r="C2" s="37">
        <v>2018</v>
      </c>
      <c r="D2" s="37">
        <v>2017</v>
      </c>
      <c r="E2" s="37">
        <v>2016</v>
      </c>
      <c r="F2" s="37">
        <v>2015</v>
      </c>
      <c r="G2" s="37">
        <v>2014</v>
      </c>
      <c r="H2" s="37">
        <v>2013</v>
      </c>
      <c r="I2" s="37">
        <v>2012</v>
      </c>
      <c r="J2" s="37">
        <v>2011</v>
      </c>
      <c r="K2" s="37">
        <v>2010</v>
      </c>
      <c r="L2" s="37">
        <v>2009</v>
      </c>
      <c r="M2" s="37">
        <v>2008</v>
      </c>
      <c r="N2" s="37">
        <v>2007</v>
      </c>
      <c r="O2" s="37">
        <v>2006</v>
      </c>
      <c r="P2" s="37"/>
      <c r="Q2" s="1"/>
      <c r="R2" s="1"/>
    </row>
    <row r="3" spans="1:18">
      <c r="A3" s="1" t="s">
        <v>0</v>
      </c>
      <c r="B3" s="37" t="s">
        <v>1</v>
      </c>
      <c r="C3" s="37" t="s">
        <v>163</v>
      </c>
      <c r="D3" s="37" t="s">
        <v>106</v>
      </c>
      <c r="E3" s="37" t="s">
        <v>107</v>
      </c>
      <c r="F3" s="37" t="s">
        <v>96</v>
      </c>
      <c r="G3" s="37" t="s">
        <v>97</v>
      </c>
      <c r="H3" s="37" t="s">
        <v>98</v>
      </c>
      <c r="I3" s="37" t="s">
        <v>99</v>
      </c>
      <c r="J3" s="37" t="s">
        <v>100</v>
      </c>
      <c r="K3" s="37" t="s">
        <v>101</v>
      </c>
      <c r="L3" s="37" t="s">
        <v>102</v>
      </c>
      <c r="M3" s="37" t="s">
        <v>103</v>
      </c>
      <c r="N3" s="37" t="s">
        <v>104</v>
      </c>
      <c r="O3" s="37" t="s">
        <v>105</v>
      </c>
      <c r="P3" s="37" t="s">
        <v>108</v>
      </c>
      <c r="Q3" s="1" t="s">
        <v>303</v>
      </c>
      <c r="R3" s="1" t="s">
        <v>110</v>
      </c>
    </row>
    <row r="4" spans="1:18">
      <c r="A4" t="s">
        <v>78</v>
      </c>
      <c r="B4" s="38" t="s">
        <v>159</v>
      </c>
      <c r="C4" s="70">
        <f>IF(VLOOKUP(A4,Buchwert_je_Aktie!A$3:AJ$103,6,FALSE)&lt;&gt;"",IF(VLOOKUP(A4,Schlußkurse!A$5:AU$105,35,FALSE)&gt;0,VLOOKUP(A4,Schlußkurse!A$5:AU$105,35,FALSE) /VLOOKUP(A4,Buchwert_je_Aktie!A$3:AJ$103,6,FALSE),""),"")</f>
        <v>3.8550280917431188</v>
      </c>
      <c r="D4" s="70">
        <f>IF(VLOOKUP(A4,Buchwert_je_Aktie!A$3:AJ$103,7,FALSE)&lt;&gt;"",IF(VLOOKUP(A4,Schlußkurse!A$5:AU$105,36,FALSE)&gt;0,VLOOKUP(A4,Schlußkurse!A$5:AU$105,36,FALSE)/VLOOKUP(A4,Buchwert_je_Aktie!A$3:AJ$103,7,FALSE),""),"")</f>
        <v>4.2188560441767065</v>
      </c>
      <c r="E4" s="70">
        <f>IF(VLOOKUP(A4,Buchwert_je_Aktie!A$3:AJ$103,8,FALSE)&lt;&gt;"",IF(VLOOKUP(A4,Schlußkurse!A$5:AU$105,37,FALSE)&gt;0,VLOOKUP(A4,Schlußkurse!A$5:AU$105,37,FALSE)/VLOOKUP(A4,Buchwert_je_Aktie!A$3:AJ$103,8,FALSE),""),"")</f>
        <v>4.134899873551106</v>
      </c>
      <c r="F4" s="70">
        <f>IF(VLOOKUP(A4,Buchwert_je_Aktie!A$3:AJ$103,9,FALSE)&lt;&gt;"",IF(VLOOKUP(A4,Schlußkurse!A$5:AU$105,38,FALSE)&gt;0,VLOOKUP(A4,Schlußkurse!A$5:AU$105,38,FALSE)/VLOOKUP(A4,Buchwert_je_Aktie!A$3:AJ$103,9,FALSE),""),"")</f>
        <v>3.5177974434611601</v>
      </c>
      <c r="G4" s="70">
        <f>IF(VLOOKUP(A4,Buchwert_je_Aktie!A$3:AJ$103,10,FALSE)&lt;&gt;"",IF(VLOOKUP(A4,Schlußkurse!A$5:AU$105,39,FALSE)&gt;0,VLOOKUP(A4,Schlußkurse!A$5:AU$105,39,FALSE)/VLOOKUP(A4,Buchwert_je_Aktie!A$3:AJ$103,10,FALSE),""),"")</f>
        <v>4.1131119818519277</v>
      </c>
      <c r="H4" s="70">
        <f>IF(VLOOKUP(A4,Buchwert_je_Aktie!A$3:AJ$103,11,FALSE)&lt;&gt;"",IF(VLOOKUP(A4,Schlußkurse!A$5:AU$105,40,FALSE)&gt;0,VLOOKUP(A4,Schlußkurse!A$5:AU$105,40,FALSE)/VLOOKUP(A4,Buchwert_je_Aktie!A$3:AJ$103,11,FALSE),""),"")</f>
        <v>3.8708480278422277</v>
      </c>
      <c r="I4" s="70">
        <f>IF(VLOOKUP(A4,Buchwert_je_Aktie!A$3:AJ$103,12,FALSE)&lt;&gt;"",IF(VLOOKUP(A4,Schlußkurse!A$5:AU$105,41,FALSE)&gt;0,VLOOKUP(A4,Schlußkurse!A$5:AU$105,41,FALSE)/VLOOKUP(A4,Buchwert_je_Aktie!A$3:AJ$103,12,FALSE),""),"")</f>
        <v>3.0728336130927403</v>
      </c>
      <c r="J4" s="70">
        <f>IF(VLOOKUP(A4,Buchwert_je_Aktie!A$3:AJ$103,13,FALSE)&lt;&gt;"",IF(VLOOKUP(A4,Schlußkurse!A$5:AU$105,42,FALSE)&gt;0,VLOOKUP(A4,Schlußkurse!A$5:AU$105,42,FALSE)/VLOOKUP(A4,Buchwert_je_Aktie!A$3:AJ$103,13,FALSE),""),"")</f>
        <v>3.5646255479785678</v>
      </c>
      <c r="K4" s="70">
        <f>IF(VLOOKUP(A4,Buchwert_je_Aktie!A$3:AJ$103,14,FALSE)&lt;&gt;"",IF(VLOOKUP(A4,Schlußkurse!A$5:AU$105,43,FALSE)&gt;0,VLOOKUP(A4,Schlußkurse!A$5:AU$105,43,FALSE)/VLOOKUP(A4,Buchwert_je_Aktie!A$3:AJ$103,14,FALSE),""),"")</f>
        <v>3.477734754586018</v>
      </c>
      <c r="L4" s="70">
        <f>IF(VLOOKUP(A4,Buchwert_je_Aktie!A$3:AJ$103,15,FALSE)&lt;&gt;"",IF(VLOOKUP(A4,Schlußkurse!A$5:AU$105,44,FALSE)&gt;0,VLOOKUP(A4,Schlußkurse!A$5:AU$105,44,FALSE)/VLOOKUP(A4,Buchwert_je_Aktie!A$3:AJ$103,15,FALSE),""),"")</f>
        <v>2.4778561398860779</v>
      </c>
      <c r="M4" s="70">
        <f>IF(VLOOKUP(A4,Buchwert_je_Aktie!A$3:AJ$103,16,FALSE)&lt;&gt;"",IF(VLOOKUP(A4,Schlußkurse!A$5:AU$105,45,FALSE)&gt;0,VLOOKUP(A4,Schlußkurse!A$5:AU$105,45,FALSE)/VLOOKUP(A4,Buchwert_je_Aktie!A$3:AJ$103,16,FALSE),""),"")</f>
        <v>4.1920874505928856</v>
      </c>
      <c r="N4" s="70">
        <f>IF(VLOOKUP(A4,Buchwert_je_Aktie!A$3:AJ$103,17,FALSE)&lt;&gt;"",IF(VLOOKUP(A4,Schlußkurse!A$5:AU$105,46,FALSE)&gt;0,VLOOKUP(A4,Schlußkurse!A$5:AU$105,46,FALSE)/VLOOKUP(A4,Buchwert_je_Aktie!A$3:AJ$103,17,FALSE),""),"")</f>
        <v>3.1143737864077665</v>
      </c>
      <c r="O4" s="70">
        <f>IF(VLOOKUP(A4,Buchwert_je_Aktie!A$3:AJ$103,18,FALSE)&lt;&gt;"",IF(VLOOKUP(A4,Schlußkurse!A$5:AU$105,47,FALSE)&gt;0,VLOOKUP(A4,Schlußkurse!A$5:AU$105,47,FALSE)/VLOOKUP(A4,Buchwert_je_Aktie!A$3:AJ$103,18,FALSE),""),"")</f>
        <v>2.2838381057268724</v>
      </c>
      <c r="P4" s="70">
        <f t="shared" ref="P4:P35" si="0">MEDIAN(C4:O4)</f>
        <v>3.5646255479785678</v>
      </c>
      <c r="Q4" s="3">
        <f ca="1">VLOOKUP(A4,Schlußkurse!A$5:AU$105,35,FALSE)/VLOOKUP(A4,Buchwert_je_Aktie!A$3:AK$103,23,FALSE)</f>
        <v>4.3629743744159475</v>
      </c>
      <c r="R4" s="5">
        <f t="shared" ref="R4:R35" ca="1" si="1">IF(Q4&lt;0,IF(P4&lt;0,((Q4/P4)-1)*-1,(Q4/P4)-1),IF(P4&lt;0,ABS((Q4/P4)-1),(Q4/P4)-1))</f>
        <v>0.22396428900929255</v>
      </c>
    </row>
    <row r="5" spans="1:18">
      <c r="A5" t="s">
        <v>2</v>
      </c>
      <c r="B5" s="38" t="s">
        <v>3</v>
      </c>
      <c r="C5" s="70">
        <f>IF(VLOOKUP(A5,Buchwert_je_Aktie!A$3:AJ$103,6,FALSE)&lt;&gt;"",IF(VLOOKUP(A5,Schlußkurse!A$5:AU$105,35,FALSE)&gt;0,VLOOKUP(A5,Schlußkurse!A$5:AU$105,35,FALSE) /VLOOKUP(A5,Buchwert_je_Aktie!A$3:AJ$103,6,FALSE),""),"")</f>
        <v>2.5857369863013697</v>
      </c>
      <c r="D5" s="70">
        <f>IF(VLOOKUP(A5,Buchwert_je_Aktie!A$3:AJ$103,7,FALSE)&lt;&gt;"",IF(VLOOKUP(A5,Schlußkurse!A$5:AU$105,36,FALSE)&gt;0,VLOOKUP(A5,Schlußkurse!A$5:AU$105,36,FALSE)/VLOOKUP(A5,Buchwert_je_Aktie!A$3:AJ$103,7,FALSE),""),"")</f>
        <v>2.5252013377926419</v>
      </c>
      <c r="E5" s="70">
        <f>IF(VLOOKUP(A5,Buchwert_je_Aktie!A$3:AJ$103,8,FALSE)&lt;&gt;"",IF(VLOOKUP(A5,Schlußkurse!A$5:AU$105,37,FALSE)&gt;0,VLOOKUP(A5,Schlußkurse!A$5:AU$105,37,FALSE)/VLOOKUP(A5,Buchwert_je_Aktie!A$3:AJ$103,8,FALSE),""),"")</f>
        <v>3.0571326760563378</v>
      </c>
      <c r="F5" s="70">
        <f>IF(VLOOKUP(A5,Buchwert_je_Aktie!A$3:AJ$103,9,FALSE)&lt;&gt;"",IF(VLOOKUP(A5,Schlußkurse!A$5:AU$105,38,FALSE)&gt;0,VLOOKUP(A5,Schlußkurse!A$5:AU$105,38,FALSE)/VLOOKUP(A5,Buchwert_je_Aktie!A$3:AJ$103,9,FALSE),""),"")</f>
        <v>2.8626792975970421</v>
      </c>
      <c r="G5" s="70">
        <f>IF(VLOOKUP(A5,Buchwert_je_Aktie!A$3:AJ$103,10,FALSE)&lt;&gt;"",IF(VLOOKUP(A5,Schlußkurse!A$5:AU$105,39,FALSE)&gt;0,VLOOKUP(A5,Schlußkurse!A$5:AU$105,39,FALSE)/VLOOKUP(A5,Buchwert_je_Aktie!A$3:AJ$103,10,FALSE),""),"")</f>
        <v>2.7104271186440676</v>
      </c>
      <c r="H5" s="70">
        <f>IF(VLOOKUP(A5,Buchwert_je_Aktie!A$3:AJ$103,11,FALSE)&lt;&gt;"",IF(VLOOKUP(A5,Schlußkurse!A$5:AU$105,40,FALSE)&gt;0,VLOOKUP(A5,Schlußkurse!A$5:AU$105,40,FALSE)/VLOOKUP(A5,Buchwert_je_Aktie!A$3:AJ$103,11,FALSE),""),"")</f>
        <v>2.0478750000000003</v>
      </c>
      <c r="I5" s="70">
        <f>IF(VLOOKUP(A5,Buchwert_je_Aktie!A$3:AJ$103,12,FALSE)&lt;&gt;"",IF(VLOOKUP(A5,Schlußkurse!A$5:AU$105,41,FALSE)&gt;0,VLOOKUP(A5,Schlußkurse!A$5:AU$105,41,FALSE)/VLOOKUP(A5,Buchwert_je_Aktie!A$3:AJ$103,12,FALSE),""),"")</f>
        <v>2.2403396004700351</v>
      </c>
      <c r="J5" s="70">
        <f>IF(VLOOKUP(A5,Buchwert_je_Aktie!A$3:AJ$103,13,FALSE)&lt;&gt;"",IF(VLOOKUP(A5,Schlußkurse!A$5:AU$105,42,FALSE)&gt;0,VLOOKUP(A5,Schlußkurse!A$5:AU$105,42,FALSE)/VLOOKUP(A5,Buchwert_je_Aktie!A$3:AJ$103,13,FALSE),""),"")</f>
        <v>2.4525848623853213</v>
      </c>
      <c r="K5" s="70">
        <f>IF(VLOOKUP(A5,Buchwert_je_Aktie!A$3:AJ$103,14,FALSE)&lt;&gt;"",IF(VLOOKUP(A5,Schlußkurse!A$5:AU$105,43,FALSE)&gt;0,VLOOKUP(A5,Schlußkurse!A$5:AU$105,43,FALSE)/VLOOKUP(A5,Buchwert_je_Aktie!A$3:AJ$103,14,FALSE),""),"")</f>
        <v>2.2760350584307179</v>
      </c>
      <c r="L5" s="70">
        <f>IF(VLOOKUP(A5,Buchwert_je_Aktie!A$3:AJ$103,15,FALSE)&lt;&gt;"",IF(VLOOKUP(A5,Schlußkurse!A$5:AU$105,44,FALSE)&gt;0,VLOOKUP(A5,Schlußkurse!A$5:AU$105,44,FALSE)/VLOOKUP(A5,Buchwert_je_Aktie!A$3:AJ$103,15,FALSE),""),"")</f>
        <v>2.2605781249999999</v>
      </c>
      <c r="M5" s="70">
        <f>IF(VLOOKUP(A5,Buchwert_je_Aktie!A$3:AJ$103,16,FALSE)&lt;&gt;"",IF(VLOOKUP(A5,Schlußkurse!A$5:AU$105,45,FALSE)&gt;0,VLOOKUP(A5,Schlußkurse!A$5:AU$105,45,FALSE)/VLOOKUP(A5,Buchwert_je_Aktie!A$3:AJ$103,16,FALSE),""),"")</f>
        <v>2.8806955835962147</v>
      </c>
      <c r="N5" s="70">
        <f>IF(VLOOKUP(A5,Buchwert_je_Aktie!A$3:AJ$103,17,FALSE)&lt;&gt;"",IF(VLOOKUP(A5,Schlußkurse!A$5:AU$105,46,FALSE)&gt;0,VLOOKUP(A5,Schlußkurse!A$5:AU$105,46,FALSE)/VLOOKUP(A5,Buchwert_je_Aktie!A$3:AJ$103,17,FALSE),""),"")</f>
        <v>3.1959077050997786</v>
      </c>
      <c r="O5" s="70">
        <f>IF(VLOOKUP(A5,Buchwert_je_Aktie!A$3:AJ$103,18,FALSE)&lt;&gt;"",IF(VLOOKUP(A5,Schlußkurse!A$5:AU$105,47,FALSE)&gt;0,VLOOKUP(A5,Schlußkurse!A$5:AU$105,47,FALSE)/VLOOKUP(A5,Buchwert_je_Aktie!A$3:AJ$103,18,FALSE),""),"")</f>
        <v>3.4891799468791498</v>
      </c>
      <c r="P5" s="70">
        <f t="shared" si="0"/>
        <v>2.5857369863013697</v>
      </c>
      <c r="Q5" s="3">
        <f ca="1">VLOOKUP(A5,Schlußkurse!A$5:AU$105,35,FALSE)/VLOOKUP(A5,Buchwert_je_Aktie!A$3:AK$103,23,FALSE)</f>
        <v>2.6171064124783361</v>
      </c>
      <c r="R5" s="5">
        <f t="shared" ca="1" si="1"/>
        <v>1.21317157712304E-2</v>
      </c>
    </row>
    <row r="6" spans="1:18">
      <c r="A6" t="s">
        <v>4</v>
      </c>
      <c r="B6" s="38" t="s">
        <v>5</v>
      </c>
      <c r="C6" s="70">
        <f>IF(VLOOKUP(A6,Buchwert_je_Aktie!A$3:AJ$103,6,FALSE)&lt;&gt;"",IF(VLOOKUP(A6,Schlußkurse!A$5:AU$105,35,FALSE)&gt;0,VLOOKUP(A6,Schlußkurse!A$5:AU$105,35,FALSE) /VLOOKUP(A6,Buchwert_je_Aktie!A$3:AJ$103,6,FALSE),""),"")</f>
        <v>5.4696629213483146</v>
      </c>
      <c r="D6" s="70">
        <f>IF(VLOOKUP(A6,Buchwert_je_Aktie!A$3:AJ$103,7,FALSE)&lt;&gt;"",IF(VLOOKUP(A6,Schlußkurse!A$5:AU$105,36,FALSE)&gt;0,VLOOKUP(A6,Schlußkurse!A$5:AU$105,36,FALSE)/VLOOKUP(A6,Buchwert_je_Aktie!A$3:AJ$103,7,FALSE),""),"")</f>
        <v>6.686813186813187</v>
      </c>
      <c r="E6" s="70">
        <f>IF(VLOOKUP(A6,Buchwert_je_Aktie!A$3:AJ$103,8,FALSE)&lt;&gt;"",IF(VLOOKUP(A6,Schlußkurse!A$5:AU$105,37,FALSE)&gt;0,VLOOKUP(A6,Schlußkurse!A$5:AU$105,37,FALSE)/VLOOKUP(A6,Buchwert_je_Aktie!A$3:AJ$103,8,FALSE),""),"")</f>
        <v>9.1523178807947012</v>
      </c>
      <c r="F6" s="70">
        <f>IF(VLOOKUP(A6,Buchwert_je_Aktie!A$3:AJ$103,9,FALSE)&lt;&gt;"",IF(VLOOKUP(A6,Schlußkurse!A$5:AU$105,38,FALSE)&gt;0,VLOOKUP(A6,Schlußkurse!A$5:AU$105,38,FALSE)/VLOOKUP(A6,Buchwert_je_Aktie!A$3:AJ$103,9,FALSE),""),"")</f>
        <v>11.097861842105262</v>
      </c>
      <c r="G6" s="70">
        <f>IF(VLOOKUP(A6,Buchwert_je_Aktie!A$3:AJ$103,10,FALSE)&lt;&gt;"",IF(VLOOKUP(A6,Schlußkurse!A$5:AU$105,39,FALSE)&gt;0,VLOOKUP(A6,Schlußkurse!A$5:AU$105,39,FALSE)/VLOOKUP(A6,Buchwert_je_Aktie!A$3:AJ$103,10,FALSE),""),"")</f>
        <v>10.973139586085424</v>
      </c>
      <c r="H6" s="70">
        <f>IF(VLOOKUP(A6,Buchwert_je_Aktie!A$3:AJ$103,11,FALSE)&lt;&gt;"",IF(VLOOKUP(A6,Schlußkurse!A$5:AU$105,40,FALSE)&gt;0,VLOOKUP(A6,Schlußkurse!A$5:AU$105,40,FALSE)/VLOOKUP(A6,Buchwert_je_Aktie!A$3:AJ$103,11,FALSE),""),"")</f>
        <v>8.225301743406348</v>
      </c>
      <c r="I6" s="70">
        <f>IF(VLOOKUP(A6,Buchwert_je_Aktie!A$3:AJ$103,12,FALSE)&lt;&gt;"",IF(VLOOKUP(A6,Schlußkurse!A$5:AU$105,41,FALSE)&gt;0,VLOOKUP(A6,Schlußkurse!A$5:AU$105,41,FALSE)/VLOOKUP(A6,Buchwert_je_Aktie!A$3:AJ$103,12,FALSE),""),"")</f>
        <v>9.4761904761904745</v>
      </c>
      <c r="J6" s="70">
        <f>IF(VLOOKUP(A6,Buchwert_je_Aktie!A$3:AJ$103,13,FALSE)&lt;&gt;"",IF(VLOOKUP(A6,Schlußkurse!A$5:AU$105,42,FALSE)&gt;0,VLOOKUP(A6,Schlußkurse!A$5:AU$105,42,FALSE)/VLOOKUP(A6,Buchwert_je_Aktie!A$3:AJ$103,13,FALSE),""),"")</f>
        <v>9.7717546362339522</v>
      </c>
      <c r="K6" s="70">
        <f>IF(VLOOKUP(A6,Buchwert_je_Aktie!A$3:AJ$103,14,FALSE)&lt;&gt;"",IF(VLOOKUP(A6,Schlußkurse!A$5:AU$105,43,FALSE)&gt;0,VLOOKUP(A6,Schlußkurse!A$5:AU$105,43,FALSE)/VLOOKUP(A6,Buchwert_je_Aktie!A$3:AJ$103,14,FALSE),""),"")</f>
        <v>16.010928961748633</v>
      </c>
      <c r="L6" s="70">
        <f>IF(VLOOKUP(A6,Buchwert_je_Aktie!A$3:AJ$103,15,FALSE)&lt;&gt;"",IF(VLOOKUP(A6,Schlußkurse!A$5:AU$105,44,FALSE)&gt;0,VLOOKUP(A6,Schlußkurse!A$5:AU$105,44,FALSE)/VLOOKUP(A6,Buchwert_je_Aktie!A$3:AJ$103,15,FALSE),""),"")</f>
        <v>19.02810304449649</v>
      </c>
      <c r="M6" s="70" t="str">
        <f>IF(VLOOKUP(A6,Buchwert_je_Aktie!A$3:AJ$103,16,FALSE)&lt;&gt;"",IF(VLOOKUP(A6,Schlußkurse!A$5:AU$105,45,FALSE)&gt;0,VLOOKUP(A6,Schlußkurse!A$5:AU$105,45,FALSE)/VLOOKUP(A6,Buchwert_je_Aktie!A$3:AJ$103,16,FALSE),""),"")</f>
        <v/>
      </c>
      <c r="N6" s="70" t="str">
        <f>IF(VLOOKUP(A6,Buchwert_je_Aktie!A$3:AJ$103,17,FALSE)&lt;&gt;"",IF(VLOOKUP(A6,Schlußkurse!A$5:AU$105,46,FALSE)&gt;0,VLOOKUP(A6,Schlußkurse!A$5:AU$105,46,FALSE)/VLOOKUP(A6,Buchwert_je_Aktie!A$3:AJ$103,17,FALSE),""),"")</f>
        <v/>
      </c>
      <c r="O6" s="70" t="str">
        <f>IF(VLOOKUP(A6,Buchwert_je_Aktie!A$3:AJ$103,18,FALSE)&lt;&gt;"",IF(VLOOKUP(A6,Schlußkurse!A$5:AU$105,47,FALSE)&gt;0,VLOOKUP(A6,Schlußkurse!A$5:AU$105,47,FALSE)/VLOOKUP(A6,Buchwert_je_Aktie!A$3:AJ$103,18,FALSE),""),"")</f>
        <v/>
      </c>
      <c r="P6" s="70">
        <f t="shared" si="0"/>
        <v>9.6239725562122125</v>
      </c>
      <c r="Q6" s="3">
        <f ca="1">VLOOKUP(A6,Schlußkurse!A$5:AU$105,35,FALSE)/VLOOKUP(A6,Buchwert_je_Aktie!A$3:AK$103,23,FALSE)</f>
        <v>7.5920149719276351</v>
      </c>
      <c r="R6" s="5">
        <f t="shared" ca="1" si="1"/>
        <v>-0.21113501440452065</v>
      </c>
    </row>
    <row r="7" spans="1:18">
      <c r="A7" t="s">
        <v>6</v>
      </c>
      <c r="B7" s="38" t="s">
        <v>7</v>
      </c>
      <c r="C7" s="70">
        <f>IF(VLOOKUP(A7,Buchwert_je_Aktie!A$3:AJ$103,6,FALSE)&lt;&gt;"",IF(VLOOKUP(A7,Schlußkurse!A$5:AU$105,35,FALSE)&gt;0,VLOOKUP(A7,Schlußkurse!A$5:AU$105,35,FALSE) /VLOOKUP(A7,Buchwert_je_Aktie!A$3:AJ$103,6,FALSE),""),"")</f>
        <v>2.9612244897959181</v>
      </c>
      <c r="D7" s="70">
        <f>IF(VLOOKUP(A7,Buchwert_je_Aktie!A$3:AJ$103,7,FALSE)&lt;&gt;"",IF(VLOOKUP(A7,Schlußkurse!A$5:AU$105,36,FALSE)&gt;0,VLOOKUP(A7,Schlußkurse!A$5:AU$105,36,FALSE)/VLOOKUP(A7,Buchwert_je_Aktie!A$3:AJ$103,7,FALSE),""),"")</f>
        <v>3.0483193277310923</v>
      </c>
      <c r="E7" s="70">
        <f>IF(VLOOKUP(A7,Buchwert_je_Aktie!A$3:AJ$103,8,FALSE)&lt;&gt;"",IF(VLOOKUP(A7,Schlußkurse!A$5:AU$105,37,FALSE)&gt;0,VLOOKUP(A7,Schlußkurse!A$5:AU$105,37,FALSE)/VLOOKUP(A7,Buchwert_je_Aktie!A$3:AJ$103,8,FALSE),""),"")</f>
        <v>3.328125</v>
      </c>
      <c r="F7" s="70">
        <f>IF(VLOOKUP(A7,Buchwert_je_Aktie!A$3:AJ$103,9,FALSE)&lt;&gt;"",IF(VLOOKUP(A7,Schlußkurse!A$5:AU$105,38,FALSE)&gt;0,VLOOKUP(A7,Schlußkurse!A$5:AU$105,38,FALSE)/VLOOKUP(A7,Buchwert_je_Aktie!A$3:AJ$103,9,FALSE),""),"")</f>
        <v>3.7314578005115089</v>
      </c>
      <c r="G7" s="70">
        <f>IF(VLOOKUP(A7,Buchwert_je_Aktie!A$3:AJ$103,10,FALSE)&lt;&gt;"",IF(VLOOKUP(A7,Schlußkurse!A$5:AU$105,39,FALSE)&gt;0,VLOOKUP(A7,Schlußkurse!A$5:AU$105,39,FALSE)/VLOOKUP(A7,Buchwert_je_Aktie!A$3:AJ$103,10,FALSE),""),"")</f>
        <v>3.0022988505747126</v>
      </c>
      <c r="H7" s="70">
        <f>IF(VLOOKUP(A7,Buchwert_je_Aktie!A$3:AJ$103,11,FALSE)&lt;&gt;"",IF(VLOOKUP(A7,Schlußkurse!A$5:AU$105,40,FALSE)&gt;0,VLOOKUP(A7,Schlußkurse!A$5:AU$105,40,FALSE)/VLOOKUP(A7,Buchwert_je_Aktie!A$3:AJ$103,11,FALSE),""),"")</f>
        <v>3.0721649484536084</v>
      </c>
      <c r="I7" s="70">
        <f>IF(VLOOKUP(A7,Buchwert_je_Aktie!A$3:AJ$103,12,FALSE)&lt;&gt;"",IF(VLOOKUP(A7,Schlußkurse!A$5:AU$105,41,FALSE)&gt;0,VLOOKUP(A7,Schlußkurse!A$5:AU$105,41,FALSE)/VLOOKUP(A7,Buchwert_je_Aktie!A$3:AJ$103,12,FALSE),""),"")</f>
        <v>2.8571428571428572</v>
      </c>
      <c r="J7" s="70">
        <f>IF(VLOOKUP(A7,Buchwert_je_Aktie!A$3:AJ$103,13,FALSE)&lt;&gt;"",IF(VLOOKUP(A7,Schlußkurse!A$5:AU$105,42,FALSE)&gt;0,VLOOKUP(A7,Schlußkurse!A$5:AU$105,42,FALSE)/VLOOKUP(A7,Buchwert_je_Aktie!A$3:AJ$103,13,FALSE),""),"")</f>
        <v>3.1812899477048227</v>
      </c>
      <c r="K7" s="70">
        <f>IF(VLOOKUP(A7,Buchwert_je_Aktie!A$3:AJ$103,14,FALSE)&lt;&gt;"",IF(VLOOKUP(A7,Schlußkurse!A$5:AU$105,43,FALSE)&gt;0,VLOOKUP(A7,Schlußkurse!A$5:AU$105,43,FALSE)/VLOOKUP(A7,Buchwert_je_Aktie!A$3:AJ$103,14,FALSE),""),"")</f>
        <v>2.8123249299719886</v>
      </c>
      <c r="L7" s="70" t="str">
        <f>IF(VLOOKUP(A7,Buchwert_je_Aktie!A$3:AJ$103,15,FALSE)&lt;&gt;"",IF(VLOOKUP(A7,Schlußkurse!A$5:AU$105,44,FALSE)&gt;0,VLOOKUP(A7,Schlußkurse!A$5:AU$105,44,FALSE)/VLOOKUP(A7,Buchwert_je_Aktie!A$3:AJ$103,15,FALSE),""),"")</f>
        <v/>
      </c>
      <c r="M7" s="70" t="str">
        <f>IF(VLOOKUP(A7,Buchwert_je_Aktie!A$3:AJ$103,16,FALSE)&lt;&gt;"",IF(VLOOKUP(A7,Schlußkurse!A$5:AU$105,45,FALSE)&gt;0,VLOOKUP(A7,Schlußkurse!A$5:AU$105,45,FALSE)/VLOOKUP(A7,Buchwert_je_Aktie!A$3:AJ$103,16,FALSE),""),"")</f>
        <v/>
      </c>
      <c r="N7" s="70" t="str">
        <f>IF(VLOOKUP(A7,Buchwert_je_Aktie!A$3:AJ$103,17,FALSE)&lt;&gt;"",IF(VLOOKUP(A7,Schlußkurse!A$5:AU$105,46,FALSE)&gt;0,VLOOKUP(A7,Schlußkurse!A$5:AU$105,46,FALSE)/VLOOKUP(A7,Buchwert_je_Aktie!A$3:AJ$103,17,FALSE),""),"")</f>
        <v/>
      </c>
      <c r="O7" s="70" t="str">
        <f>IF(VLOOKUP(A7,Buchwert_je_Aktie!A$3:AJ$103,18,FALSE)&lt;&gt;"",IF(VLOOKUP(A7,Schlußkurse!A$5:AU$105,47,FALSE)&gt;0,VLOOKUP(A7,Schlußkurse!A$5:AU$105,47,FALSE)/VLOOKUP(A7,Buchwert_je_Aktie!A$3:AJ$103,18,FALSE),""),"")</f>
        <v/>
      </c>
      <c r="P7" s="70">
        <f t="shared" si="0"/>
        <v>3.0483193277310923</v>
      </c>
      <c r="Q7" s="3">
        <f ca="1">VLOOKUP(A7,Schlußkurse!A$5:AU$105,35,FALSE)/VLOOKUP(A7,Buchwert_je_Aktie!A$3:AK$103,23,FALSE)</f>
        <v>3.179228746713409</v>
      </c>
      <c r="R7" s="5">
        <f t="shared" ca="1" si="1"/>
        <v>4.2944785276073594E-2</v>
      </c>
    </row>
    <row r="8" spans="1:18">
      <c r="A8" t="s">
        <v>8</v>
      </c>
      <c r="B8" s="38" t="s">
        <v>9</v>
      </c>
      <c r="C8" s="70">
        <f>IF(VLOOKUP(A8,Buchwert_je_Aktie!A$3:AJ$103,6,FALSE)&lt;&gt;"",IF(VLOOKUP(A8,Schlußkurse!A$5:AU$105,35,FALSE)&gt;0,VLOOKUP(A8,Schlußkurse!A$5:AU$105,35,FALSE) /VLOOKUP(A8,Buchwert_je_Aktie!A$3:AJ$103,6,FALSE),""),"")</f>
        <v>3.0387351778656124</v>
      </c>
      <c r="D8" s="70">
        <f>IF(VLOOKUP(A8,Buchwert_je_Aktie!A$3:AJ$103,7,FALSE)&lt;&gt;"",IF(VLOOKUP(A8,Schlußkurse!A$5:AU$105,36,FALSE)&gt;0,VLOOKUP(A8,Schlußkurse!A$5:AU$105,36,FALSE)/VLOOKUP(A8,Buchwert_je_Aktie!A$3:AJ$103,7,FALSE),""),"")</f>
        <v>3.4945454545454542</v>
      </c>
      <c r="E8" s="70">
        <f>IF(VLOOKUP(A8,Buchwert_je_Aktie!A$3:AJ$103,8,FALSE)&lt;&gt;"",IF(VLOOKUP(A8,Schlußkurse!A$5:AU$105,37,FALSE)&gt;0,VLOOKUP(A8,Schlußkurse!A$5:AU$105,37,FALSE)/VLOOKUP(A8,Buchwert_je_Aktie!A$3:AJ$103,8,FALSE),""),"")</f>
        <v>4.2938775510204072</v>
      </c>
      <c r="F8" s="70">
        <f>IF(VLOOKUP(A8,Buchwert_je_Aktie!A$3:AJ$103,9,FALSE)&lt;&gt;"",IF(VLOOKUP(A8,Schlußkurse!A$5:AU$105,38,FALSE)&gt;0,VLOOKUP(A8,Schlußkurse!A$5:AU$105,38,FALSE)/VLOOKUP(A8,Buchwert_je_Aktie!A$3:AJ$103,9,FALSE),""),"")</f>
        <v>4.0443911217756447</v>
      </c>
      <c r="G8" s="70">
        <f>IF(VLOOKUP(A8,Buchwert_je_Aktie!A$3:AJ$103,10,FALSE)&lt;&gt;"",IF(VLOOKUP(A8,Schlußkurse!A$5:AU$105,39,FALSE)&gt;0,VLOOKUP(A8,Schlußkurse!A$5:AU$105,39,FALSE)/VLOOKUP(A8,Buchwert_je_Aktie!A$3:AJ$103,10,FALSE),""),"")</f>
        <v>5.0997229916897506</v>
      </c>
      <c r="H8" s="70">
        <f>IF(VLOOKUP(A8,Buchwert_je_Aktie!A$3:AJ$103,11,FALSE)&lt;&gt;"",IF(VLOOKUP(A8,Schlußkurse!A$5:AU$105,40,FALSE)&gt;0,VLOOKUP(A8,Schlußkurse!A$5:AU$105,40,FALSE)/VLOOKUP(A8,Buchwert_je_Aktie!A$3:AJ$103,11,FALSE),""),"")</f>
        <v>4.5803108808290158</v>
      </c>
      <c r="I8" s="70">
        <f>IF(VLOOKUP(A8,Buchwert_je_Aktie!A$3:AJ$103,12,FALSE)&lt;&gt;"",IF(VLOOKUP(A8,Schlußkurse!A$5:AU$105,41,FALSE)&gt;0,VLOOKUP(A8,Schlußkurse!A$5:AU$105,41,FALSE)/VLOOKUP(A8,Buchwert_je_Aktie!A$3:AJ$103,12,FALSE),""),"")</f>
        <v>3.360429447852761</v>
      </c>
      <c r="J8" s="70">
        <f>IF(VLOOKUP(A8,Buchwert_je_Aktie!A$3:AJ$103,13,FALSE)&lt;&gt;"",IF(VLOOKUP(A8,Schlußkurse!A$5:AU$105,42,FALSE)&gt;0,VLOOKUP(A8,Schlußkurse!A$5:AU$105,42,FALSE)/VLOOKUP(A8,Buchwert_je_Aktie!A$3:AJ$103,13,FALSE),""),"")</f>
        <v>3.4690893901420212</v>
      </c>
      <c r="K8" s="70">
        <f>IF(VLOOKUP(A8,Buchwert_je_Aktie!A$3:AJ$103,14,FALSE)&lt;&gt;"",IF(VLOOKUP(A8,Schlußkurse!A$5:AU$105,43,FALSE)&gt;0,VLOOKUP(A8,Schlußkurse!A$5:AU$105,43,FALSE)/VLOOKUP(A8,Buchwert_je_Aktie!A$3:AJ$103,14,FALSE),""),"")</f>
        <v>3.9628990509059534</v>
      </c>
      <c r="L8" s="70">
        <f>IF(VLOOKUP(A8,Buchwert_je_Aktie!A$3:AJ$103,15,FALSE)&lt;&gt;"",IF(VLOOKUP(A8,Schlußkurse!A$5:AU$105,44,FALSE)&gt;0,VLOOKUP(A8,Schlußkurse!A$5:AU$105,44,FALSE)/VLOOKUP(A8,Buchwert_je_Aktie!A$3:AJ$103,15,FALSE),""),"")</f>
        <v>4.0152963671128106</v>
      </c>
      <c r="M8" s="70">
        <f>IF(VLOOKUP(A8,Buchwert_je_Aktie!A$3:AJ$103,16,FALSE)&lt;&gt;"",IF(VLOOKUP(A8,Schlußkurse!A$5:AU$105,45,FALSE)&gt;0,VLOOKUP(A8,Schlußkurse!A$5:AU$105,45,FALSE)/VLOOKUP(A8,Buchwert_je_Aktie!A$3:AJ$103,16,FALSE),""),"")</f>
        <v>5.4303278688524594</v>
      </c>
      <c r="N8" s="70">
        <f>IF(VLOOKUP(A8,Buchwert_je_Aktie!A$3:AJ$103,17,FALSE)&lt;&gt;"",IF(VLOOKUP(A8,Schlußkurse!A$5:AU$105,46,FALSE)&gt;0,VLOOKUP(A8,Schlußkurse!A$5:AU$105,46,FALSE)/VLOOKUP(A8,Buchwert_je_Aktie!A$3:AJ$103,17,FALSE),""),"")</f>
        <v>5.9829476248477453</v>
      </c>
      <c r="O8" s="70">
        <f>IF(VLOOKUP(A8,Buchwert_je_Aktie!A$3:AJ$103,18,FALSE)&lt;&gt;"",IF(VLOOKUP(A8,Schlußkurse!A$5:AU$105,47,FALSE)&gt;0,VLOOKUP(A8,Schlußkurse!A$5:AU$105,47,FALSE)/VLOOKUP(A8,Buchwert_je_Aktie!A$3:AJ$103,18,FALSE),""),"")</f>
        <v>4.8826338028169012</v>
      </c>
      <c r="P8" s="70">
        <f t="shared" si="0"/>
        <v>4.0443911217756447</v>
      </c>
      <c r="Q8" s="3">
        <f ca="1">VLOOKUP(A8,Schlußkurse!A$5:AU$105,35,FALSE)/VLOOKUP(A8,Buchwert_je_Aktie!A$3:AK$103,23,FALSE)</f>
        <v>3.7834645669291338</v>
      </c>
      <c r="R8" s="5">
        <f t="shared" ca="1" si="1"/>
        <v>-6.4515658102808349E-2</v>
      </c>
    </row>
    <row r="9" spans="1:18">
      <c r="A9" t="s">
        <v>10</v>
      </c>
      <c r="B9" s="38" t="s">
        <v>11</v>
      </c>
      <c r="C9" s="70">
        <f>IF(VLOOKUP(A9,Buchwert_je_Aktie!A$3:AJ$103,6,FALSE)&lt;&gt;"",IF(VLOOKUP(A9,Schlußkurse!A$5:AU$105,35,FALSE)&gt;0,VLOOKUP(A9,Schlußkurse!A$5:AU$105,35,FALSE) /VLOOKUP(A9,Buchwert_je_Aktie!A$3:AJ$103,6,FALSE),""),"")</f>
        <v>1.9709016393442627</v>
      </c>
      <c r="D9" s="70">
        <f>IF(VLOOKUP(A9,Buchwert_je_Aktie!A$3:AJ$103,7,FALSE)&lt;&gt;"",IF(VLOOKUP(A9,Schlußkurse!A$5:AU$105,36,FALSE)&gt;0,VLOOKUP(A9,Schlußkurse!A$5:AU$105,36,FALSE)/VLOOKUP(A9,Buchwert_je_Aktie!A$3:AJ$103,7,FALSE),""),"")</f>
        <v>2.2263888888888888</v>
      </c>
      <c r="E9" s="70">
        <f>IF(VLOOKUP(A9,Buchwert_je_Aktie!A$3:AJ$103,8,FALSE)&lt;&gt;"",IF(VLOOKUP(A9,Schlußkurse!A$5:AU$105,37,FALSE)&gt;0,VLOOKUP(A9,Schlußkurse!A$5:AU$105,37,FALSE)/VLOOKUP(A9,Buchwert_je_Aktie!A$3:AJ$103,8,FALSE),""),"")</f>
        <v>2.6730175077239955</v>
      </c>
      <c r="F9" s="70">
        <f>IF(VLOOKUP(A9,Buchwert_je_Aktie!A$3:AJ$103,9,FALSE)&lt;&gt;"",IF(VLOOKUP(A9,Schlußkurse!A$5:AU$105,38,FALSE)&gt;0,VLOOKUP(A9,Schlußkurse!A$5:AU$105,38,FALSE)/VLOOKUP(A9,Buchwert_je_Aktie!A$3:AJ$103,9,FALSE),""),"")</f>
        <v>2.9719780219780221</v>
      </c>
      <c r="G9" s="70">
        <f>IF(VLOOKUP(A9,Buchwert_je_Aktie!A$3:AJ$103,10,FALSE)&lt;&gt;"",IF(VLOOKUP(A9,Schlußkurse!A$5:AU$105,39,FALSE)&gt;0,VLOOKUP(A9,Schlußkurse!A$5:AU$105,39,FALSE)/VLOOKUP(A9,Buchwert_je_Aktie!A$3:AJ$103,10,FALSE),""),"")</f>
        <v>3.4237726098191215</v>
      </c>
      <c r="H9" s="70">
        <f>IF(VLOOKUP(A9,Buchwert_je_Aktie!A$3:AJ$103,11,FALSE)&lt;&gt;"",IF(VLOOKUP(A9,Schlußkurse!A$5:AU$105,40,FALSE)&gt;0,VLOOKUP(A9,Schlußkurse!A$5:AU$105,40,FALSE)/VLOOKUP(A9,Buchwert_je_Aktie!A$3:AJ$103,11,FALSE),""),"")</f>
        <v>2.0368098159509205</v>
      </c>
      <c r="I9" s="70">
        <f>IF(VLOOKUP(A9,Buchwert_je_Aktie!A$3:AJ$103,12,FALSE)&lt;&gt;"",IF(VLOOKUP(A9,Schlußkurse!A$5:AU$105,41,FALSE)&gt;0,VLOOKUP(A9,Schlußkurse!A$5:AU$105,41,FALSE)/VLOOKUP(A9,Buchwert_je_Aktie!A$3:AJ$103,12,FALSE),""),"")</f>
        <v>1.2012133468149646</v>
      </c>
      <c r="J9" s="70">
        <f>IF(VLOOKUP(A9,Buchwert_je_Aktie!A$3:AJ$103,13,FALSE)&lt;&gt;"",IF(VLOOKUP(A9,Schlußkurse!A$5:AU$105,42,FALSE)&gt;0,VLOOKUP(A9,Schlußkurse!A$5:AU$105,42,FALSE)/VLOOKUP(A9,Buchwert_je_Aktie!A$3:AJ$103,13,FALSE),""),"")</f>
        <v>1.394072447859495</v>
      </c>
      <c r="K9" s="70">
        <f>IF(VLOOKUP(A9,Buchwert_je_Aktie!A$3:AJ$103,14,FALSE)&lt;&gt;"",IF(VLOOKUP(A9,Schlußkurse!A$5:AU$105,43,FALSE)&gt;0,VLOOKUP(A9,Schlußkurse!A$5:AU$105,43,FALSE)/VLOOKUP(A9,Buchwert_je_Aktie!A$3:AJ$103,14,FALSE),""),"")</f>
        <v>1.5517836593785961</v>
      </c>
      <c r="L9" s="70">
        <f>IF(VLOOKUP(A9,Buchwert_je_Aktie!A$3:AJ$103,15,FALSE)&lt;&gt;"",IF(VLOOKUP(A9,Schlußkurse!A$5:AU$105,44,FALSE)&gt;0,VLOOKUP(A9,Schlußkurse!A$5:AU$105,44,FALSE)/VLOOKUP(A9,Buchwert_je_Aktie!A$3:AJ$103,15,FALSE),""),"")</f>
        <v>1.7618343195266273</v>
      </c>
      <c r="M9" s="70">
        <f>IF(VLOOKUP(A9,Buchwert_je_Aktie!A$3:AJ$103,16,FALSE)&lt;&gt;"",IF(VLOOKUP(A9,Schlußkurse!A$5:AU$105,45,FALSE)&gt;0,VLOOKUP(A9,Schlußkurse!A$5:AU$105,45,FALSE)/VLOOKUP(A9,Buchwert_je_Aktie!A$3:AJ$103,16,FALSE),""),"")</f>
        <v>3.6336939721792896</v>
      </c>
      <c r="N9" s="70">
        <f>IF(VLOOKUP(A9,Buchwert_je_Aktie!A$3:AJ$103,17,FALSE)&lt;&gt;"",IF(VLOOKUP(A9,Schlußkurse!A$5:AU$105,46,FALSE)&gt;0,VLOOKUP(A9,Schlußkurse!A$5:AU$105,46,FALSE)/VLOOKUP(A9,Buchwert_je_Aktie!A$3:AJ$103,17,FALSE),""),"")</f>
        <v>2.4934497816593888</v>
      </c>
      <c r="O9" s="70">
        <f>IF(VLOOKUP(A9,Buchwert_je_Aktie!A$3:AJ$103,18,FALSE)&lt;&gt;"",IF(VLOOKUP(A9,Schlußkurse!A$5:AU$105,47,FALSE)&gt;0,VLOOKUP(A9,Schlußkurse!A$5:AU$105,47,FALSE)/VLOOKUP(A9,Buchwert_je_Aktie!A$3:AJ$103,18,FALSE),""),"")</f>
        <v>2.195069667738478</v>
      </c>
      <c r="P9" s="70">
        <f t="shared" si="0"/>
        <v>2.195069667738478</v>
      </c>
      <c r="Q9" s="3">
        <f ca="1">VLOOKUP(A9,Schlußkurse!A$5:AU$105,35,FALSE)/VLOOKUP(A9,Buchwert_je_Aktie!A$3:AK$103,23,FALSE)</f>
        <v>2.3956361462588425</v>
      </c>
      <c r="R9" s="5">
        <f t="shared" ca="1" si="1"/>
        <v>9.137134983374029E-2</v>
      </c>
    </row>
    <row r="10" spans="1:18">
      <c r="A10" t="s">
        <v>12</v>
      </c>
      <c r="B10" s="38" t="s">
        <v>13</v>
      </c>
      <c r="C10" s="70">
        <f>IF(VLOOKUP(A10,Buchwert_je_Aktie!A$3:AJ$103,6,FALSE)&lt;&gt;"",IF(VLOOKUP(A10,Schlußkurse!A$5:AU$105,35,FALSE)&gt;0,VLOOKUP(A10,Schlußkurse!A$5:AU$105,35,FALSE) /VLOOKUP(A10,Buchwert_je_Aktie!A$3:AJ$103,6,FALSE),""),"")</f>
        <v>1.9193138500635325</v>
      </c>
      <c r="D10" s="70">
        <f>IF(VLOOKUP(A10,Buchwert_je_Aktie!A$3:AJ$103,7,FALSE)&lt;&gt;"",IF(VLOOKUP(A10,Schlußkurse!A$5:AU$105,36,FALSE)&gt;0,VLOOKUP(A10,Schlußkurse!A$5:AU$105,36,FALSE)/VLOOKUP(A10,Buchwert_je_Aktie!A$3:AJ$103,7,FALSE),""),"")</f>
        <v>2.1796536796536796</v>
      </c>
      <c r="E10" s="70">
        <f>IF(VLOOKUP(A10,Buchwert_je_Aktie!A$3:AJ$103,8,FALSE)&lt;&gt;"",IF(VLOOKUP(A10,Schlußkurse!A$5:AU$105,37,FALSE)&gt;0,VLOOKUP(A10,Schlußkurse!A$5:AU$105,37,FALSE)/VLOOKUP(A10,Buchwert_je_Aktie!A$3:AJ$103,8,FALSE),""),"")</f>
        <v>2.5558958652373662</v>
      </c>
      <c r="F10" s="70">
        <f>IF(VLOOKUP(A10,Buchwert_je_Aktie!A$3:AJ$103,9,FALSE)&lt;&gt;"",IF(VLOOKUP(A10,Schlußkurse!A$5:AU$105,38,FALSE)&gt;0,VLOOKUP(A10,Schlußkurse!A$5:AU$105,38,FALSE)/VLOOKUP(A10,Buchwert_je_Aktie!A$3:AJ$103,9,FALSE),""),"")</f>
        <v>1.60024154589372</v>
      </c>
      <c r="G10" s="70">
        <f>IF(VLOOKUP(A10,Buchwert_je_Aktie!A$3:AJ$103,10,FALSE)&lt;&gt;"",IF(VLOOKUP(A10,Schlußkurse!A$5:AU$105,39,FALSE)&gt;0,VLOOKUP(A10,Schlußkurse!A$5:AU$105,39,FALSE)/VLOOKUP(A10,Buchwert_je_Aktie!A$3:AJ$103,10,FALSE),""),"")</f>
        <v>1.6551264980026632</v>
      </c>
      <c r="H10" s="70">
        <f>IF(VLOOKUP(A10,Buchwert_je_Aktie!A$3:AJ$103,11,FALSE)&lt;&gt;"",IF(VLOOKUP(A10,Schlußkurse!A$5:AU$105,40,FALSE)&gt;0,VLOOKUP(A10,Schlußkurse!A$5:AU$105,40,FALSE)/VLOOKUP(A10,Buchwert_je_Aktie!A$3:AJ$103,11,FALSE),""),"")</f>
        <v>1.1937500000000001</v>
      </c>
      <c r="I10" s="70">
        <f>IF(VLOOKUP(A10,Buchwert_je_Aktie!A$3:AJ$103,12,FALSE)&lt;&gt;"",IF(VLOOKUP(A10,Schlußkurse!A$5:AU$105,41,FALSE)&gt;0,VLOOKUP(A10,Schlußkurse!A$5:AU$105,41,FALSE)/VLOOKUP(A10,Buchwert_je_Aktie!A$3:AJ$103,12,FALSE),""),"")</f>
        <v>1.2538896746817538</v>
      </c>
      <c r="J10" s="70">
        <f>IF(VLOOKUP(A10,Buchwert_je_Aktie!A$3:AJ$103,13,FALSE)&lt;&gt;"",IF(VLOOKUP(A10,Schlußkurse!A$5:AU$105,42,FALSE)&gt;0,VLOOKUP(A10,Schlußkurse!A$5:AU$105,42,FALSE)/VLOOKUP(A10,Buchwert_je_Aktie!A$3:AJ$103,13,FALSE),""),"")</f>
        <v>1.0449134199134198</v>
      </c>
      <c r="K10" s="70">
        <f>IF(VLOOKUP(A10,Buchwert_je_Aktie!A$3:AJ$103,14,FALSE)&lt;&gt;"",IF(VLOOKUP(A10,Schlußkurse!A$5:AU$105,43,FALSE)&gt;0,VLOOKUP(A10,Schlußkurse!A$5:AU$105,43,FALSE)/VLOOKUP(A10,Buchwert_je_Aktie!A$3:AJ$103,14,FALSE),""),"")</f>
        <v>1.0331325301204817</v>
      </c>
      <c r="L10" s="70">
        <f>IF(VLOOKUP(A10,Buchwert_je_Aktie!A$3:AJ$103,15,FALSE)&lt;&gt;"",IF(VLOOKUP(A10,Schlußkurse!A$5:AU$105,44,FALSE)&gt;0,VLOOKUP(A10,Schlußkurse!A$5:AU$105,44,FALSE)/VLOOKUP(A10,Buchwert_je_Aktie!A$3:AJ$103,15,FALSE),""),"")</f>
        <v>1.1174636174636177</v>
      </c>
      <c r="M10" s="70">
        <f>IF(VLOOKUP(A10,Buchwert_je_Aktie!A$3:AJ$103,16,FALSE)&lt;&gt;"",IF(VLOOKUP(A10,Schlußkurse!A$5:AU$105,45,FALSE)&gt;0,VLOOKUP(A10,Schlußkurse!A$5:AU$105,45,FALSE)/VLOOKUP(A10,Buchwert_je_Aktie!A$3:AJ$103,16,FALSE),""),"")</f>
        <v>1.5187057633973708</v>
      </c>
      <c r="N10" s="70">
        <f>IF(VLOOKUP(A10,Buchwert_je_Aktie!A$3:AJ$103,17,FALSE)&lt;&gt;"",IF(VLOOKUP(A10,Schlußkurse!A$5:AU$105,46,FALSE)&gt;0,VLOOKUP(A10,Schlußkurse!A$5:AU$105,46,FALSE)/VLOOKUP(A10,Buchwert_je_Aktie!A$3:AJ$103,17,FALSE),""),"")</f>
        <v>1.3346190935390549</v>
      </c>
      <c r="O10" s="70">
        <f>IF(VLOOKUP(A10,Buchwert_je_Aktie!A$3:AJ$103,18,FALSE)&lt;&gt;"",IF(VLOOKUP(A10,Schlußkurse!A$5:AU$105,47,FALSE)&gt;0,VLOOKUP(A10,Schlußkurse!A$5:AU$105,47,FALSE)/VLOOKUP(A10,Buchwert_je_Aktie!A$3:AJ$103,18,FALSE),""),"")</f>
        <v>1.2361720807726075</v>
      </c>
      <c r="P10" s="70">
        <f t="shared" si="0"/>
        <v>1.3346190935390549</v>
      </c>
      <c r="Q10" s="3">
        <f ca="1">VLOOKUP(A10,Schlußkurse!A$5:AU$105,35,FALSE)/VLOOKUP(A10,Buchwert_je_Aktie!A$3:AK$103,23,FALSE)</f>
        <v>2.2714285714285714</v>
      </c>
      <c r="R10" s="5">
        <f t="shared" ca="1" si="1"/>
        <v>0.70193022295623453</v>
      </c>
    </row>
    <row r="11" spans="1:18">
      <c r="A11" t="s">
        <v>312</v>
      </c>
      <c r="B11" s="38" t="s">
        <v>313</v>
      </c>
      <c r="C11" s="70">
        <f>IF(VLOOKUP(A11,Buchwert_je_Aktie!A$3:AJ$103,6,FALSE)&lt;&gt;"",IF(VLOOKUP(A11,Schlußkurse!A$5:AU$105,35,FALSE)&gt;0,VLOOKUP(A11,Schlußkurse!A$5:AU$105,35,FALSE) /VLOOKUP(A11,Buchwert_je_Aktie!A$3:AJ$103,6,FALSE),""),"")</f>
        <v>2.2548042704626332</v>
      </c>
      <c r="D11" s="70">
        <f>IF(VLOOKUP(A11,Buchwert_je_Aktie!A$3:AJ$103,7,FALSE)&lt;&gt;"",IF(VLOOKUP(A11,Schlußkurse!A$5:AU$105,36,FALSE)&gt;0,VLOOKUP(A11,Schlußkurse!A$5:AU$105,36,FALSE)/VLOOKUP(A11,Buchwert_je_Aktie!A$3:AJ$103,7,FALSE),""),"")</f>
        <v>2.5343999999999998</v>
      </c>
      <c r="E11" s="70">
        <f>IF(VLOOKUP(A11,Buchwert_je_Aktie!A$3:AJ$103,8,FALSE)&lt;&gt;"",IF(VLOOKUP(A11,Schlußkurse!A$5:AU$105,37,FALSE)&gt;0,VLOOKUP(A11,Schlußkurse!A$5:AU$105,37,FALSE)/VLOOKUP(A11,Buchwert_je_Aktie!A$3:AJ$103,8,FALSE),""),"")</f>
        <v>2.9190265486725662</v>
      </c>
      <c r="F11" s="70">
        <f>IF(VLOOKUP(A11,Buchwert_je_Aktie!A$3:AJ$103,9,FALSE)&lt;&gt;"",IF(VLOOKUP(A11,Schlußkurse!A$5:AU$105,38,FALSE)&gt;0,VLOOKUP(A11,Schlußkurse!A$5:AU$105,38,FALSE)/VLOOKUP(A11,Buchwert_je_Aktie!A$3:AJ$103,9,FALSE),""),"")</f>
        <v>2.1536926147704589</v>
      </c>
      <c r="G11" s="70">
        <f>IF(VLOOKUP(A11,Buchwert_je_Aktie!A$3:AJ$103,10,FALSE)&lt;&gt;"",IF(VLOOKUP(A11,Schlußkurse!A$5:AU$105,39,FALSE)&gt;0,VLOOKUP(A11,Schlußkurse!A$5:AU$105,39,FALSE)/VLOOKUP(A11,Buchwert_je_Aktie!A$3:AJ$103,10,FALSE),""),"")</f>
        <v>2.1577726218097451</v>
      </c>
      <c r="H11" s="70">
        <f>IF(VLOOKUP(A11,Buchwert_je_Aktie!A$3:AJ$103,11,FALSE)&lt;&gt;"",IF(VLOOKUP(A11,Schlußkurse!A$5:AU$105,40,FALSE)&gt;0,VLOOKUP(A11,Schlußkurse!A$5:AU$105,40,FALSE)/VLOOKUP(A11,Buchwert_je_Aktie!A$3:AJ$103,11,FALSE),""),"")</f>
        <v>1.9100855263157897</v>
      </c>
      <c r="I11" s="70">
        <f>IF(VLOOKUP(A11,Buchwert_je_Aktie!A$3:AJ$103,12,FALSE)&lt;&gt;"",IF(VLOOKUP(A11,Schlußkurse!A$5:AU$105,41,FALSE)&gt;0,VLOOKUP(A11,Schlußkurse!A$5:AU$105,41,FALSE)/VLOOKUP(A11,Buchwert_je_Aktie!A$3:AJ$103,12,FALSE),""),"")</f>
        <v>1.6685364145658264</v>
      </c>
      <c r="J11" s="70">
        <f>IF(VLOOKUP(A11,Buchwert_je_Aktie!A$3:AJ$103,13,FALSE)&lt;&gt;"",IF(VLOOKUP(A11,Schlußkurse!A$5:AU$105,42,FALSE)&gt;0,VLOOKUP(A11,Schlußkurse!A$5:AU$105,42,FALSE)/VLOOKUP(A11,Buchwert_je_Aktie!A$3:AJ$103,13,FALSE),""),"")</f>
        <v>1.715890073831009</v>
      </c>
      <c r="K11" s="70">
        <f>IF(VLOOKUP(A11,Buchwert_je_Aktie!A$3:AJ$103,14,FALSE)&lt;&gt;"",IF(VLOOKUP(A11,Schlußkurse!A$5:AU$105,43,FALSE)&gt;0,VLOOKUP(A11,Schlußkurse!A$5:AU$105,43,FALSE)/VLOOKUP(A11,Buchwert_je_Aktie!A$3:AJ$103,14,FALSE),""),"")</f>
        <v>1.422721021611002</v>
      </c>
      <c r="L11" s="70">
        <f>IF(VLOOKUP(A11,Buchwert_je_Aktie!A$3:AJ$103,15,FALSE)&lt;&gt;"",IF(VLOOKUP(A11,Schlußkurse!A$5:AU$105,44,FALSE)&gt;0,VLOOKUP(A11,Schlußkurse!A$5:AU$105,44,FALSE)/VLOOKUP(A11,Buchwert_je_Aktie!A$3:AJ$103,15,FALSE),""),"")</f>
        <v>1.3676896942242356</v>
      </c>
      <c r="M11" s="70">
        <f>IF(VLOOKUP(A11,Buchwert_je_Aktie!A$3:AJ$103,16,FALSE)&lt;&gt;"",IF(VLOOKUP(A11,Schlußkurse!A$5:AU$105,45,FALSE)&gt;0,VLOOKUP(A11,Schlußkurse!A$5:AU$105,45,FALSE)/VLOOKUP(A11,Buchwert_je_Aktie!A$3:AJ$103,16,FALSE),""),"")</f>
        <v>2.3073794808405439</v>
      </c>
      <c r="N11" s="70">
        <f>IF(VLOOKUP(A11,Buchwert_je_Aktie!A$3:AJ$103,17,FALSE)&lt;&gt;"",IF(VLOOKUP(A11,Schlußkurse!A$5:AU$105,46,FALSE)&gt;0,VLOOKUP(A11,Schlußkurse!A$5:AU$105,46,FALSE)/VLOOKUP(A11,Buchwert_je_Aktie!A$3:AJ$103,17,FALSE),""),"")</f>
        <v>2.2996862210095497</v>
      </c>
      <c r="O11" s="70">
        <f>IF(VLOOKUP(A11,Buchwert_je_Aktie!A$3:AJ$103,18,FALSE)&lt;&gt;"",IF(VLOOKUP(A11,Schlußkurse!A$5:AU$105,47,FALSE)&gt;0,VLOOKUP(A11,Schlußkurse!A$5:AU$105,47,FALSE)/VLOOKUP(A11,Buchwert_je_Aktie!A$3:AJ$103,18,FALSE),""),"")</f>
        <v>1.7219005847953215</v>
      </c>
      <c r="P11" s="70">
        <f t="shared" si="0"/>
        <v>2.1536926147704589</v>
      </c>
      <c r="Q11" s="3">
        <f ca="1">VLOOKUP(A11,Schlußkurse!A$5:AU$105,35,FALSE)/VLOOKUP(A11,Buchwert_je_Aktie!A$3:AK$103,23,FALSE)</f>
        <v>2.7169811320754715</v>
      </c>
      <c r="R11" s="5">
        <f t="shared" ca="1" si="1"/>
        <v>0.26154545613513558</v>
      </c>
    </row>
    <row r="12" spans="1:18">
      <c r="A12" t="s">
        <v>14</v>
      </c>
      <c r="B12" s="38" t="s">
        <v>15</v>
      </c>
      <c r="C12" s="70">
        <f>IF(VLOOKUP(A12,Buchwert_je_Aktie!A$3:AJ$103,6,FALSE)&lt;&gt;"",IF(VLOOKUP(A12,Schlußkurse!A$5:AU$105,35,FALSE)&gt;0,VLOOKUP(A12,Schlußkurse!A$5:AU$105,35,FALSE) /VLOOKUP(A12,Buchwert_je_Aktie!A$3:AJ$103,6,FALSE),""),"")</f>
        <v>2.6268482490272378</v>
      </c>
      <c r="D12" s="70">
        <f>IF(VLOOKUP(A12,Buchwert_je_Aktie!A$3:AJ$103,7,FALSE)&lt;&gt;"",IF(VLOOKUP(A12,Schlußkurse!A$5:AU$105,36,FALSE)&gt;0,VLOOKUP(A12,Schlußkurse!A$5:AU$105,36,FALSE)/VLOOKUP(A12,Buchwert_je_Aktie!A$3:AJ$103,7,FALSE),""),"")</f>
        <v>3.0138392857142859</v>
      </c>
      <c r="E12" s="70">
        <f>IF(VLOOKUP(A12,Buchwert_je_Aktie!A$3:AJ$103,8,FALSE)&lt;&gt;"",IF(VLOOKUP(A12,Schlußkurse!A$5:AU$105,37,FALSE)&gt;0,VLOOKUP(A12,Schlußkurse!A$5:AU$105,37,FALSE)/VLOOKUP(A12,Buchwert_je_Aktie!A$3:AJ$103,8,FALSE),""),"")</f>
        <v>3.6147783251231522</v>
      </c>
      <c r="F12" s="70">
        <f>IF(VLOOKUP(A12,Buchwert_je_Aktie!A$3:AJ$103,9,FALSE)&lt;&gt;"",IF(VLOOKUP(A12,Schlußkurse!A$5:AU$105,38,FALSE)&gt;0,VLOOKUP(A12,Schlußkurse!A$5:AU$105,38,FALSE)/VLOOKUP(A12,Buchwert_je_Aktie!A$3:AJ$103,9,FALSE),""),"")</f>
        <v>3.0760295670538538</v>
      </c>
      <c r="G12" s="70">
        <f>IF(VLOOKUP(A12,Buchwert_je_Aktie!A$3:AJ$103,10,FALSE)&lt;&gt;"",IF(VLOOKUP(A12,Schlußkurse!A$5:AU$105,39,FALSE)&gt;0,VLOOKUP(A12,Schlußkurse!A$5:AU$105,39,FALSE)/VLOOKUP(A12,Buchwert_je_Aktie!A$3:AJ$103,10,FALSE),""),"")</f>
        <v>3.9238035264483626</v>
      </c>
      <c r="H12" s="70">
        <f>IF(VLOOKUP(A12,Buchwert_je_Aktie!A$3:AJ$103,11,FALSE)&lt;&gt;"",IF(VLOOKUP(A12,Schlußkurse!A$5:AU$105,40,FALSE)&gt;0,VLOOKUP(A12,Schlußkurse!A$5:AU$105,40,FALSE)/VLOOKUP(A12,Buchwert_je_Aktie!A$3:AJ$103,11,FALSE),""),"")</f>
        <v>4.6470137825421132</v>
      </c>
      <c r="I12" s="70">
        <f>IF(VLOOKUP(A12,Buchwert_je_Aktie!A$3:AJ$103,12,FALSE)&lt;&gt;"",IF(VLOOKUP(A12,Schlußkurse!A$5:AU$105,41,FALSE)&gt;0,VLOOKUP(A12,Schlußkurse!A$5:AU$105,41,FALSE)/VLOOKUP(A12,Buchwert_je_Aktie!A$3:AJ$103,12,FALSE),""),"")</f>
        <v>3.5429314830875978</v>
      </c>
      <c r="J12" s="70">
        <f>IF(VLOOKUP(A12,Buchwert_je_Aktie!A$3:AJ$103,13,FALSE)&lt;&gt;"",IF(VLOOKUP(A12,Schlußkurse!A$5:AU$105,42,FALSE)&gt;0,VLOOKUP(A12,Schlußkurse!A$5:AU$105,42,FALSE)/VLOOKUP(A12,Buchwert_je_Aktie!A$3:AJ$103,13,FALSE),""),"")</f>
        <v>3.684719535783366</v>
      </c>
      <c r="K12" s="70">
        <f>IF(VLOOKUP(A12,Buchwert_je_Aktie!A$3:AJ$103,14,FALSE)&lt;&gt;"",IF(VLOOKUP(A12,Schlußkurse!A$5:AU$105,43,FALSE)&gt;0,VLOOKUP(A12,Schlußkurse!A$5:AU$105,43,FALSE)/VLOOKUP(A12,Buchwert_je_Aktie!A$3:AJ$103,14,FALSE),""),"")</f>
        <v>4.1301627033792236</v>
      </c>
      <c r="L12" s="70">
        <f>IF(VLOOKUP(A12,Buchwert_je_Aktie!A$3:AJ$103,15,FALSE)&lt;&gt;"",IF(VLOOKUP(A12,Schlußkurse!A$5:AU$105,44,FALSE)&gt;0,VLOOKUP(A12,Schlußkurse!A$5:AU$105,44,FALSE)/VLOOKUP(A12,Buchwert_je_Aktie!A$3:AJ$103,15,FALSE),""),"")</f>
        <v>3.6526772793053541</v>
      </c>
      <c r="M12" s="70">
        <f>IF(VLOOKUP(A12,Buchwert_je_Aktie!A$3:AJ$103,16,FALSE)&lt;&gt;"",IF(VLOOKUP(A12,Schlußkurse!A$5:AU$105,45,FALSE)&gt;0,VLOOKUP(A12,Schlußkurse!A$5:AU$105,45,FALSE)/VLOOKUP(A12,Buchwert_je_Aktie!A$3:AJ$103,16,FALSE),""),"")</f>
        <v>6.0631399317406141</v>
      </c>
      <c r="N12" s="70">
        <f>IF(VLOOKUP(A12,Buchwert_je_Aktie!A$3:AJ$103,17,FALSE)&lt;&gt;"",IF(VLOOKUP(A12,Schlußkurse!A$5:AU$105,46,FALSE)&gt;0,VLOOKUP(A12,Schlußkurse!A$5:AU$105,46,FALSE)/VLOOKUP(A12,Buchwert_je_Aktie!A$3:AJ$103,17,FALSE),""),"")</f>
        <v>7.7126436781609193</v>
      </c>
      <c r="O12" s="70">
        <f>IF(VLOOKUP(A12,Buchwert_je_Aktie!A$3:AJ$103,18,FALSE)&lt;&gt;"",IF(VLOOKUP(A12,Schlußkurse!A$5:AU$105,47,FALSE)&gt;0,VLOOKUP(A12,Schlußkurse!A$5:AU$105,47,FALSE)/VLOOKUP(A12,Buchwert_je_Aktie!A$3:AJ$103,18,FALSE),""),"")</f>
        <v>7.9111570247933889</v>
      </c>
      <c r="P12" s="70">
        <f t="shared" si="0"/>
        <v>3.684719535783366</v>
      </c>
      <c r="Q12" s="3">
        <f ca="1">VLOOKUP(A12,Schlußkurse!A$5:AU$105,35,FALSE)/VLOOKUP(A12,Buchwert_je_Aktie!A$3:AK$103,23,FALSE)</f>
        <v>3.225513616817965</v>
      </c>
      <c r="R12" s="5">
        <f t="shared" ca="1" si="1"/>
        <v>-0.12462438850662061</v>
      </c>
    </row>
    <row r="13" spans="1:18">
      <c r="A13" t="s">
        <v>16</v>
      </c>
      <c r="B13" s="38" t="s">
        <v>17</v>
      </c>
      <c r="C13" s="70">
        <f>IF(VLOOKUP(A13,Buchwert_je_Aktie!A$3:AJ$103,6,FALSE)&lt;&gt;"",IF(VLOOKUP(A13,Schlußkurse!A$5:AU$105,35,FALSE)&gt;0,VLOOKUP(A13,Schlußkurse!A$5:AU$105,35,FALSE) /VLOOKUP(A13,Buchwert_je_Aktie!A$3:AJ$103,6,FALSE),""),"")</f>
        <v>1.7363813229571985</v>
      </c>
      <c r="D13" s="70">
        <f>IF(VLOOKUP(A13,Buchwert_je_Aktie!A$3:AJ$103,7,FALSE)&lt;&gt;"",IF(VLOOKUP(A13,Schlußkurse!A$5:AU$105,36,FALSE)&gt;0,VLOOKUP(A13,Schlußkurse!A$5:AU$105,36,FALSE)/VLOOKUP(A13,Buchwert_je_Aktie!A$3:AJ$103,7,FALSE),""),"")</f>
        <v>1.8829113924050633</v>
      </c>
      <c r="E13" s="70">
        <f>IF(VLOOKUP(A13,Buchwert_je_Aktie!A$3:AJ$103,8,FALSE)&lt;&gt;"",IF(VLOOKUP(A13,Schlußkurse!A$5:AU$105,37,FALSE)&gt;0,VLOOKUP(A13,Schlußkurse!A$5:AU$105,37,FALSE)/VLOOKUP(A13,Buchwert_je_Aktie!A$3:AJ$103,8,FALSE),""),"")</f>
        <v>1.7964044943820223</v>
      </c>
      <c r="F13" s="70">
        <f>IF(VLOOKUP(A13,Buchwert_je_Aktie!A$3:AJ$103,9,FALSE)&lt;&gt;"",IF(VLOOKUP(A13,Schlußkurse!A$5:AU$105,38,FALSE)&gt;0,VLOOKUP(A13,Schlußkurse!A$5:AU$105,38,FALSE)/VLOOKUP(A13,Buchwert_je_Aktie!A$3:AJ$103,9,FALSE),""),"")</f>
        <v>2.4117045744952721</v>
      </c>
      <c r="G13" s="70">
        <f>IF(VLOOKUP(A13,Buchwert_je_Aktie!A$3:AJ$103,10,FALSE)&lt;&gt;"",IF(VLOOKUP(A13,Schlußkurse!A$5:AU$105,39,FALSE)&gt;0,VLOOKUP(A13,Schlußkurse!A$5:AU$105,39,FALSE)/VLOOKUP(A13,Buchwert_je_Aktie!A$3:AJ$103,10,FALSE),""),"")</f>
        <v>2.5344336937962435</v>
      </c>
      <c r="H13" s="70">
        <f>IF(VLOOKUP(A13,Buchwert_je_Aktie!A$3:AJ$103,11,FALSE)&lt;&gt;"",IF(VLOOKUP(A13,Schlußkurse!A$5:AU$105,40,FALSE)&gt;0,VLOOKUP(A13,Schlußkurse!A$5:AU$105,40,FALSE)/VLOOKUP(A13,Buchwert_je_Aktie!A$3:AJ$103,11,FALSE),""),"")</f>
        <v>2.4321529301159512</v>
      </c>
      <c r="I13" s="70">
        <f>IF(VLOOKUP(A13,Buchwert_je_Aktie!A$3:AJ$103,12,FALSE)&lt;&gt;"",IF(VLOOKUP(A13,Schlußkurse!A$5:AU$105,41,FALSE)&gt;0,VLOOKUP(A13,Schlußkurse!A$5:AU$105,41,FALSE)/VLOOKUP(A13,Buchwert_je_Aktie!A$3:AJ$103,12,FALSE),""),"")</f>
        <v>1.9529816513761469</v>
      </c>
      <c r="J13" s="70">
        <f>IF(VLOOKUP(A13,Buchwert_je_Aktie!A$3:AJ$103,13,FALSE)&lt;&gt;"",IF(VLOOKUP(A13,Schlußkurse!A$5:AU$105,42,FALSE)&gt;0,VLOOKUP(A13,Schlußkurse!A$5:AU$105,42,FALSE)/VLOOKUP(A13,Buchwert_je_Aktie!A$3:AJ$103,13,FALSE),""),"")</f>
        <v>2.2449985503044361</v>
      </c>
      <c r="K13" s="70">
        <f>IF(VLOOKUP(A13,Buchwert_je_Aktie!A$3:AJ$103,14,FALSE)&lt;&gt;"",IF(VLOOKUP(A13,Schlußkurse!A$5:AU$105,43,FALSE)&gt;0,VLOOKUP(A13,Schlußkurse!A$5:AU$105,43,FALSE)/VLOOKUP(A13,Buchwert_je_Aktie!A$3:AJ$103,14,FALSE),""),"")</f>
        <v>2.0406320541760721</v>
      </c>
      <c r="L13" s="70">
        <f>IF(VLOOKUP(A13,Buchwert_je_Aktie!A$3:AJ$103,15,FALSE)&lt;&gt;"",IF(VLOOKUP(A13,Schlußkurse!A$5:AU$105,44,FALSE)&gt;0,VLOOKUP(A13,Schlußkurse!A$5:AU$105,44,FALSE)/VLOOKUP(A13,Buchwert_je_Aktie!A$3:AJ$103,15,FALSE),""),"")</f>
        <v>2.2555746140651802</v>
      </c>
      <c r="M13" s="70">
        <f>IF(VLOOKUP(A13,Buchwert_je_Aktie!A$3:AJ$103,16,FALSE)&lt;&gt;"",IF(VLOOKUP(A13,Schlußkurse!A$5:AU$105,45,FALSE)&gt;0,VLOOKUP(A13,Schlußkurse!A$5:AU$105,45,FALSE)/VLOOKUP(A13,Buchwert_je_Aktie!A$3:AJ$103,16,FALSE),""),"")</f>
        <v>3.2919085011949472</v>
      </c>
      <c r="N13" s="70">
        <f>IF(VLOOKUP(A13,Buchwert_je_Aktie!A$3:AJ$103,17,FALSE)&lt;&gt;"",IF(VLOOKUP(A13,Schlußkurse!A$5:AU$105,46,FALSE)&gt;0,VLOOKUP(A13,Schlußkurse!A$5:AU$105,46,FALSE)/VLOOKUP(A13,Buchwert_je_Aktie!A$3:AJ$103,17,FALSE),""),"")</f>
        <v>2.1689785624211853</v>
      </c>
      <c r="O13" s="70">
        <f>IF(VLOOKUP(A13,Buchwert_je_Aktie!A$3:AJ$103,18,FALSE)&lt;&gt;"",IF(VLOOKUP(A13,Schlußkurse!A$5:AU$105,47,FALSE)&gt;0,VLOOKUP(A13,Schlußkurse!A$5:AU$105,47,FALSE)/VLOOKUP(A13,Buchwert_je_Aktie!A$3:AJ$103,18,FALSE),""),"")</f>
        <v>1.9489206445728182</v>
      </c>
      <c r="P13" s="70">
        <f t="shared" si="0"/>
        <v>2.1689785624211853</v>
      </c>
      <c r="Q13" s="3">
        <f ca="1">VLOOKUP(A13,Schlußkurse!A$5:AU$105,35,FALSE)/VLOOKUP(A13,Buchwert_je_Aktie!A$3:AK$103,23,FALSE)</f>
        <v>1.9358803646420157</v>
      </c>
      <c r="R13" s="5">
        <f t="shared" ca="1" si="1"/>
        <v>-0.10746911095283807</v>
      </c>
    </row>
    <row r="14" spans="1:18">
      <c r="A14" t="s">
        <v>18</v>
      </c>
      <c r="B14" s="38" t="s">
        <v>19</v>
      </c>
      <c r="C14" s="70">
        <f>IF(VLOOKUP(A14,Buchwert_je_Aktie!A$3:AJ$103,6,FALSE)&lt;&gt;"",IF(VLOOKUP(A14,Schlußkurse!A$5:AU$105,35,FALSE)&gt;0,VLOOKUP(A14,Schlußkurse!A$5:AU$105,35,FALSE) /VLOOKUP(A14,Buchwert_je_Aktie!A$3:AJ$103,6,FALSE),""),"")</f>
        <v>0.91381578947368425</v>
      </c>
      <c r="D14" s="70">
        <f>IF(VLOOKUP(A14,Buchwert_je_Aktie!A$3:AJ$103,7,FALSE)&lt;&gt;"",IF(VLOOKUP(A14,Schlußkurse!A$5:AU$105,36,FALSE)&gt;0,VLOOKUP(A14,Schlußkurse!A$5:AU$105,36,FALSE)/VLOOKUP(A14,Buchwert_je_Aktie!A$3:AJ$103,7,FALSE),""),"")</f>
        <v>0.94489795918367347</v>
      </c>
      <c r="E14" s="70">
        <f>IF(VLOOKUP(A14,Buchwert_je_Aktie!A$3:AJ$103,8,FALSE)&lt;&gt;"",IF(VLOOKUP(A14,Schlußkurse!A$5:AU$105,37,FALSE)&gt;0,VLOOKUP(A14,Schlußkurse!A$5:AU$105,37,FALSE)/VLOOKUP(A14,Buchwert_je_Aktie!A$3:AJ$103,8,FALSE),""),"")</f>
        <v>1.1599290780141844</v>
      </c>
      <c r="F14" s="70">
        <f>IF(VLOOKUP(A14,Buchwert_je_Aktie!A$3:AJ$103,9,FALSE)&lt;&gt;"",IF(VLOOKUP(A14,Schlußkurse!A$5:AU$105,38,FALSE)&gt;0,VLOOKUP(A14,Schlußkurse!A$5:AU$105,38,FALSE)/VLOOKUP(A14,Buchwert_je_Aktie!A$3:AJ$103,9,FALSE),""),"")</f>
        <v>0.99406528189910981</v>
      </c>
      <c r="G14" s="70">
        <f>IF(VLOOKUP(A14,Buchwert_je_Aktie!A$3:AJ$103,10,FALSE)&lt;&gt;"",IF(VLOOKUP(A14,Schlußkurse!A$5:AU$105,39,FALSE)&gt;0,VLOOKUP(A14,Schlußkurse!A$5:AU$105,39,FALSE)/VLOOKUP(A14,Buchwert_je_Aktie!A$3:AJ$103,10,FALSE),""),"")</f>
        <v>0.98059128864816059</v>
      </c>
      <c r="H14" s="70">
        <f>IF(VLOOKUP(A14,Buchwert_je_Aktie!A$3:AJ$103,11,FALSE)&lt;&gt;"",IF(VLOOKUP(A14,Schlußkurse!A$5:AU$105,40,FALSE)&gt;0,VLOOKUP(A14,Schlußkurse!A$5:AU$105,40,FALSE)/VLOOKUP(A14,Buchwert_je_Aktie!A$3:AJ$103,11,FALSE),""),"")</f>
        <v>0.95524564761644337</v>
      </c>
      <c r="I14" s="70">
        <f>IF(VLOOKUP(A14,Buchwert_je_Aktie!A$3:AJ$103,12,FALSE)&lt;&gt;"",IF(VLOOKUP(A14,Schlußkurse!A$5:AU$105,41,FALSE)&gt;0,VLOOKUP(A14,Schlußkurse!A$5:AU$105,41,FALSE)/VLOOKUP(A14,Buchwert_je_Aktie!A$3:AJ$103,12,FALSE),""),"")</f>
        <v>0.62928905917411659</v>
      </c>
      <c r="J14" s="70">
        <f>IF(VLOOKUP(A14,Buchwert_je_Aktie!A$3:AJ$103,13,FALSE)&lt;&gt;"",IF(VLOOKUP(A14,Schlußkurse!A$5:AU$105,42,FALSE)&gt;0,VLOOKUP(A14,Schlußkurse!A$5:AU$105,42,FALSE)/VLOOKUP(A14,Buchwert_je_Aktie!A$3:AJ$103,13,FALSE),""),"")</f>
        <v>0.90146984287886467</v>
      </c>
      <c r="K14" s="70">
        <f>IF(VLOOKUP(A14,Buchwert_je_Aktie!A$3:AJ$103,14,FALSE)&lt;&gt;"",IF(VLOOKUP(A14,Schlußkurse!A$5:AU$105,43,FALSE)&gt;0,VLOOKUP(A14,Schlußkurse!A$5:AU$105,43,FALSE)/VLOOKUP(A14,Buchwert_je_Aktie!A$3:AJ$103,14,FALSE),""),"")</f>
        <v>0.8902850137909899</v>
      </c>
      <c r="L14" s="70">
        <f>IF(VLOOKUP(A14,Buchwert_je_Aktie!A$3:AJ$103,15,FALSE)&lt;&gt;"",IF(VLOOKUP(A14,Schlußkurse!A$5:AU$105,44,FALSE)&gt;0,VLOOKUP(A14,Schlußkurse!A$5:AU$105,44,FALSE)/VLOOKUP(A14,Buchwert_je_Aktie!A$3:AJ$103,15,FALSE),""),"")</f>
        <v>0.84755339586393952</v>
      </c>
      <c r="M14" s="70">
        <f>IF(VLOOKUP(A14,Buchwert_je_Aktie!A$3:AJ$103,16,FALSE)&lt;&gt;"",IF(VLOOKUP(A14,Schlußkurse!A$5:AU$105,45,FALSE)&gt;0,VLOOKUP(A14,Schlußkurse!A$5:AU$105,45,FALSE)/VLOOKUP(A14,Buchwert_je_Aktie!A$3:AJ$103,16,FALSE),""),"")</f>
        <v>1.9899125756556826</v>
      </c>
      <c r="N14" s="70">
        <f>IF(VLOOKUP(A14,Buchwert_je_Aktie!A$3:AJ$103,17,FALSE)&lt;&gt;"",IF(VLOOKUP(A14,Schlußkurse!A$5:AU$105,46,FALSE)&gt;0,VLOOKUP(A14,Schlußkurse!A$5:AU$105,46,FALSE)/VLOOKUP(A14,Buchwert_je_Aktie!A$3:AJ$103,17,FALSE),""),"")</f>
        <v>1.4590364853398698</v>
      </c>
      <c r="O14" s="70">
        <f>IF(VLOOKUP(A14,Buchwert_je_Aktie!A$3:AJ$103,18,FALSE)&lt;&gt;"",IF(VLOOKUP(A14,Schlußkurse!A$5:AU$105,47,FALSE)&gt;0,VLOOKUP(A14,Schlußkurse!A$5:AU$105,47,FALSE)/VLOOKUP(A14,Buchwert_je_Aktie!A$3:AJ$103,18,FALSE),""),"")</f>
        <v>1.0953767123287672</v>
      </c>
      <c r="P14" s="70">
        <f t="shared" si="0"/>
        <v>0.95524564761644337</v>
      </c>
      <c r="Q14" s="3">
        <f ca="1">VLOOKUP(A14,Schlußkurse!A$5:AU$105,35,FALSE)/VLOOKUP(A14,Buchwert_je_Aktie!A$3:AK$103,23,FALSE)</f>
        <v>0.97268907563025209</v>
      </c>
      <c r="R14" s="5">
        <f t="shared" ca="1" si="1"/>
        <v>1.8260672589646587E-2</v>
      </c>
    </row>
    <row r="15" spans="1:18">
      <c r="A15" t="s">
        <v>20</v>
      </c>
      <c r="B15" s="38" t="s">
        <v>21</v>
      </c>
      <c r="C15" s="70">
        <f>IF(VLOOKUP(A15,Buchwert_je_Aktie!A$3:AJ$103,6,FALSE)&lt;&gt;"",IF(VLOOKUP(A15,Schlußkurse!A$5:AU$105,35,FALSE)&gt;0,VLOOKUP(A15,Schlußkurse!A$5:AU$105,35,FALSE) /VLOOKUP(A15,Buchwert_je_Aktie!A$3:AJ$103,6,FALSE),""),"")</f>
        <v>0.85686274509803928</v>
      </c>
      <c r="D15" s="70">
        <f>IF(VLOOKUP(A15,Buchwert_je_Aktie!A$3:AJ$103,7,FALSE)&lt;&gt;"",IF(VLOOKUP(A15,Schlußkurse!A$5:AU$105,36,FALSE)&gt;0,VLOOKUP(A15,Schlußkurse!A$5:AU$105,36,FALSE)/VLOOKUP(A15,Buchwert_je_Aktie!A$3:AJ$103,7,FALSE),""),"")</f>
        <v>0.87839195979899498</v>
      </c>
      <c r="E15" s="70">
        <f>IF(VLOOKUP(A15,Buchwert_je_Aktie!A$3:AJ$103,8,FALSE)&lt;&gt;"",IF(VLOOKUP(A15,Schlußkurse!A$5:AU$105,37,FALSE)&gt;0,VLOOKUP(A15,Schlußkurse!A$5:AU$105,37,FALSE)/VLOOKUP(A15,Buchwert_je_Aktie!A$3:AJ$103,8,FALSE),""),"")</f>
        <v>0.9512886597938145</v>
      </c>
      <c r="F15" s="70">
        <f>IF(VLOOKUP(A15,Buchwert_je_Aktie!A$3:AJ$103,9,FALSE)&lt;&gt;"",IF(VLOOKUP(A15,Schlußkurse!A$5:AU$105,38,FALSE)&gt;0,VLOOKUP(A15,Schlußkurse!A$5:AU$105,38,FALSE)/VLOOKUP(A15,Buchwert_je_Aktie!A$3:AJ$103,9,FALSE),""),"")</f>
        <v>0.89208826695371357</v>
      </c>
      <c r="G15" s="70">
        <f>IF(VLOOKUP(A15,Buchwert_je_Aktie!A$3:AJ$103,10,FALSE)&lt;&gt;"",IF(VLOOKUP(A15,Schlußkurse!A$5:AU$105,39,FALSE)&gt;0,VLOOKUP(A15,Schlußkurse!A$5:AU$105,39,FALSE)/VLOOKUP(A15,Buchwert_je_Aktie!A$3:AJ$103,10,FALSE),""),"")</f>
        <v>0.9222043072670737</v>
      </c>
      <c r="H15" s="70">
        <f>IF(VLOOKUP(A15,Buchwert_je_Aktie!A$3:AJ$103,11,FALSE)&lt;&gt;"",IF(VLOOKUP(A15,Schlußkurse!A$5:AU$105,40,FALSE)&gt;0,VLOOKUP(A15,Schlußkurse!A$5:AU$105,40,FALSE)/VLOOKUP(A15,Buchwert_je_Aktie!A$3:AJ$103,11,FALSE),""),"")</f>
        <v>0.93870789618995032</v>
      </c>
      <c r="I15" s="70">
        <f>IF(VLOOKUP(A15,Buchwert_je_Aktie!A$3:AJ$103,12,FALSE)&lt;&gt;"",IF(VLOOKUP(A15,Schlußkurse!A$5:AU$105,41,FALSE)&gt;0,VLOOKUP(A15,Schlußkurse!A$5:AU$105,41,FALSE)/VLOOKUP(A15,Buchwert_je_Aktie!A$3:AJ$103,12,FALSE),""),"")</f>
        <v>0.62536289258379518</v>
      </c>
      <c r="J15" s="70">
        <f>IF(VLOOKUP(A15,Buchwert_je_Aktie!A$3:AJ$103,13,FALSE)&lt;&gt;"",IF(VLOOKUP(A15,Schlußkurse!A$5:AU$105,42,FALSE)&gt;0,VLOOKUP(A15,Schlußkurse!A$5:AU$105,42,FALSE)/VLOOKUP(A15,Buchwert_je_Aktie!A$3:AJ$103,13,FALSE),""),"")</f>
        <v>0.88205566785880885</v>
      </c>
      <c r="K15" s="70">
        <f>IF(VLOOKUP(A15,Buchwert_je_Aktie!A$3:AJ$103,14,FALSE)&lt;&gt;"",IF(VLOOKUP(A15,Schlußkurse!A$5:AU$105,43,FALSE)&gt;0,VLOOKUP(A15,Schlußkurse!A$5:AU$105,43,FALSE)/VLOOKUP(A15,Buchwert_je_Aktie!A$3:AJ$103,14,FALSE),""),"")</f>
        <v>0.89913950024822109</v>
      </c>
      <c r="L15" s="70">
        <f>IF(VLOOKUP(A15,Buchwert_je_Aktie!A$3:AJ$103,15,FALSE)&lt;&gt;"",IF(VLOOKUP(A15,Schlußkurse!A$5:AU$105,44,FALSE)&gt;0,VLOOKUP(A15,Schlußkurse!A$5:AU$105,44,FALSE)/VLOOKUP(A15,Buchwert_je_Aktie!A$3:AJ$103,15,FALSE),""),"")</f>
        <v>0.99373321396598024</v>
      </c>
      <c r="M15" s="70">
        <f>IF(VLOOKUP(A15,Buchwert_je_Aktie!A$3:AJ$103,16,FALSE)&lt;&gt;"",IF(VLOOKUP(A15,Schlußkurse!A$5:AU$105,45,FALSE)&gt;0,VLOOKUP(A15,Schlußkurse!A$5:AU$105,45,FALSE)/VLOOKUP(A15,Buchwert_je_Aktie!A$3:AJ$103,16,FALSE),""),"")</f>
        <v>1.3087221894073637</v>
      </c>
      <c r="N15" s="70">
        <f>IF(VLOOKUP(A15,Buchwert_je_Aktie!A$3:AJ$103,17,FALSE)&lt;&gt;"",IF(VLOOKUP(A15,Schlußkurse!A$5:AU$105,46,FALSE)&gt;0,VLOOKUP(A15,Schlußkurse!A$5:AU$105,46,FALSE)/VLOOKUP(A15,Buchwert_je_Aktie!A$3:AJ$103,17,FALSE),""),"")</f>
        <v>1.1387409412381035</v>
      </c>
      <c r="O15" s="70">
        <f>IF(VLOOKUP(A15,Buchwert_je_Aktie!A$3:AJ$103,18,FALSE)&lt;&gt;"",IF(VLOOKUP(A15,Schlußkurse!A$5:AU$105,47,FALSE)&gt;0,VLOOKUP(A15,Schlußkurse!A$5:AU$105,47,FALSE)/VLOOKUP(A15,Buchwert_je_Aktie!A$3:AJ$103,18,FALSE),""),"")</f>
        <v>1.012122820989293</v>
      </c>
      <c r="P15" s="70">
        <f t="shared" si="0"/>
        <v>0.9222043072670737</v>
      </c>
      <c r="Q15" s="3">
        <f ca="1">VLOOKUP(A15,Schlußkurse!A$5:AU$105,35,FALSE)/VLOOKUP(A15,Buchwert_je_Aktie!A$3:AK$103,23,FALSE)</f>
        <v>0.89411764705882357</v>
      </c>
      <c r="R15" s="5">
        <f t="shared" ca="1" si="1"/>
        <v>-3.0456006317606699E-2</v>
      </c>
    </row>
    <row r="16" spans="1:18">
      <c r="A16" t="s">
        <v>22</v>
      </c>
      <c r="B16" s="38" t="s">
        <v>23</v>
      </c>
      <c r="C16" s="70">
        <f>IF(VLOOKUP(A16,Buchwert_je_Aktie!A$3:AJ$103,6,FALSE)&lt;&gt;"",IF(VLOOKUP(A16,Schlußkurse!A$5:AU$105,35,FALSE)&gt;0,VLOOKUP(A16,Schlußkurse!A$5:AU$105,35,FALSE) /VLOOKUP(A16,Buchwert_je_Aktie!A$3:AJ$103,6,FALSE),""),"")</f>
        <v>1.7332417582417583</v>
      </c>
      <c r="D16" s="70">
        <f>IF(VLOOKUP(A16,Buchwert_je_Aktie!A$3:AJ$103,7,FALSE)&lt;&gt;"",IF(VLOOKUP(A16,Schlußkurse!A$5:AU$105,36,FALSE)&gt;0,VLOOKUP(A16,Schlußkurse!A$5:AU$105,36,FALSE)/VLOOKUP(A16,Buchwert_je_Aktie!A$3:AJ$103,7,FALSE),""),"")</f>
        <v>1.861061946902655</v>
      </c>
      <c r="E16" s="70">
        <f>IF(VLOOKUP(A16,Buchwert_je_Aktie!A$3:AJ$103,8,FALSE)&lt;&gt;"",IF(VLOOKUP(A16,Schlußkurse!A$5:AU$105,37,FALSE)&gt;0,VLOOKUP(A16,Schlußkurse!A$5:AU$105,37,FALSE)/VLOOKUP(A16,Buchwert_je_Aktie!A$3:AJ$103,8,FALSE),""),"")</f>
        <v>2.1560975609756099</v>
      </c>
      <c r="F16" s="70">
        <f>IF(VLOOKUP(A16,Buchwert_je_Aktie!A$3:AJ$103,9,FALSE)&lt;&gt;"",IF(VLOOKUP(A16,Schlußkurse!A$5:AU$105,38,FALSE)&gt;0,VLOOKUP(A16,Schlußkurse!A$5:AU$105,38,FALSE)/VLOOKUP(A16,Buchwert_je_Aktie!A$3:AJ$103,9,FALSE),""),"")</f>
        <v>2.0349446709376817</v>
      </c>
      <c r="G16" s="70">
        <f>IF(VLOOKUP(A16,Buchwert_je_Aktie!A$3:AJ$103,10,FALSE)&lt;&gt;"",IF(VLOOKUP(A16,Schlußkurse!A$5:AU$105,39,FALSE)&gt;0,VLOOKUP(A16,Schlußkurse!A$5:AU$105,39,FALSE)/VLOOKUP(A16,Buchwert_je_Aktie!A$3:AJ$103,10,FALSE),""),"")</f>
        <v>2.5241042345276874</v>
      </c>
      <c r="H16" s="70">
        <f>IF(VLOOKUP(A16,Buchwert_je_Aktie!A$3:AJ$103,11,FALSE)&lt;&gt;"",IF(VLOOKUP(A16,Schlußkurse!A$5:AU$105,40,FALSE)&gt;0,VLOOKUP(A16,Schlußkurse!A$5:AU$105,40,FALSE)/VLOOKUP(A16,Buchwert_je_Aktie!A$3:AJ$103,11,FALSE),""),"")</f>
        <v>2.3520661157024794</v>
      </c>
      <c r="I16" s="70">
        <f>IF(VLOOKUP(A16,Buchwert_je_Aktie!A$3:AJ$103,12,FALSE)&lt;&gt;"",IF(VLOOKUP(A16,Schlußkurse!A$5:AU$105,41,FALSE)&gt;0,VLOOKUP(A16,Schlußkurse!A$5:AU$105,41,FALSE)/VLOOKUP(A16,Buchwert_je_Aktie!A$3:AJ$103,12,FALSE),""),"")</f>
        <v>1.9184763260946958</v>
      </c>
      <c r="J16" s="70">
        <f>IF(VLOOKUP(A16,Buchwert_je_Aktie!A$3:AJ$103,13,FALSE)&lt;&gt;"",IF(VLOOKUP(A16,Schlußkurse!A$5:AU$105,42,FALSE)&gt;0,VLOOKUP(A16,Schlußkurse!A$5:AU$105,42,FALSE)/VLOOKUP(A16,Buchwert_je_Aktie!A$3:AJ$103,13,FALSE),""),"")</f>
        <v>2.1599131693198266</v>
      </c>
      <c r="K16" s="70">
        <f>IF(VLOOKUP(A16,Buchwert_je_Aktie!A$3:AJ$103,14,FALSE)&lt;&gt;"",IF(VLOOKUP(A16,Schlußkurse!A$5:AU$105,43,FALSE)&gt;0,VLOOKUP(A16,Schlußkurse!A$5:AU$105,43,FALSE)/VLOOKUP(A16,Buchwert_je_Aktie!A$3:AJ$103,14,FALSE),""),"")</f>
        <v>1.7616538305634373</v>
      </c>
      <c r="L16" s="70">
        <f>IF(VLOOKUP(A16,Buchwert_je_Aktie!A$3:AJ$103,15,FALSE)&lt;&gt;"",IF(VLOOKUP(A16,Schlußkurse!A$5:AU$105,44,FALSE)&gt;0,VLOOKUP(A16,Schlußkurse!A$5:AU$105,44,FALSE)/VLOOKUP(A16,Buchwert_je_Aktie!A$3:AJ$103,15,FALSE),""),"")</f>
        <v>1.3687068114511352</v>
      </c>
      <c r="M16" s="70">
        <f>IF(VLOOKUP(A16,Buchwert_je_Aktie!A$3:AJ$103,16,FALSE)&lt;&gt;"",IF(VLOOKUP(A16,Schlußkurse!A$5:AU$105,45,FALSE)&gt;0,VLOOKUP(A16,Schlußkurse!A$5:AU$105,45,FALSE)/VLOOKUP(A16,Buchwert_je_Aktie!A$3:AJ$103,16,FALSE),""),"")</f>
        <v>2.4879784102060842</v>
      </c>
      <c r="N16" s="70">
        <f>IF(VLOOKUP(A16,Buchwert_je_Aktie!A$3:AJ$103,17,FALSE)&lt;&gt;"",IF(VLOOKUP(A16,Schlußkurse!A$5:AU$105,46,FALSE)&gt;0,VLOOKUP(A16,Schlußkurse!A$5:AU$105,46,FALSE)/VLOOKUP(A16,Buchwert_je_Aktie!A$3:AJ$103,17,FALSE),""),"")</f>
        <v>1.7574964302712992</v>
      </c>
      <c r="O16" s="70">
        <f>IF(VLOOKUP(A16,Buchwert_je_Aktie!A$3:AJ$103,18,FALSE)&lt;&gt;"",IF(VLOOKUP(A16,Schlußkurse!A$5:AU$105,47,FALSE)&gt;0,VLOOKUP(A16,Schlußkurse!A$5:AU$105,47,FALSE)/VLOOKUP(A16,Buchwert_je_Aktie!A$3:AJ$103,18,FALSE),""),"")</f>
        <v>1.740451855836471</v>
      </c>
      <c r="P16" s="70">
        <f t="shared" si="0"/>
        <v>1.9184763260946958</v>
      </c>
      <c r="Q16" s="3">
        <f ca="1">VLOOKUP(A16,Schlußkurse!A$5:AU$105,35,FALSE)/VLOOKUP(A16,Buchwert_je_Aktie!A$3:AK$103,23,FALSE)</f>
        <v>1.9043163296106251</v>
      </c>
      <c r="R16" s="5">
        <f t="shared" ca="1" si="1"/>
        <v>-7.3808554692437189E-3</v>
      </c>
    </row>
    <row r="17" spans="1:18">
      <c r="A17" t="s">
        <v>24</v>
      </c>
      <c r="B17" s="38" t="s">
        <v>25</v>
      </c>
      <c r="C17" s="70">
        <f>IF(VLOOKUP(A17,Buchwert_je_Aktie!A$3:AJ$103,6,FALSE)&lt;&gt;"",IF(VLOOKUP(A17,Schlußkurse!A$5:AU$105,35,FALSE)&gt;0,VLOOKUP(A17,Schlußkurse!A$5:AU$105,35,FALSE) /VLOOKUP(A17,Buchwert_je_Aktie!A$3:AJ$103,6,FALSE),""),"")</f>
        <v>2.8342618384401117</v>
      </c>
      <c r="D17" s="70">
        <f>IF(VLOOKUP(A17,Buchwert_je_Aktie!A$3:AJ$103,7,FALSE)&lt;&gt;"",IF(VLOOKUP(A17,Schlußkurse!A$5:AU$105,36,FALSE)&gt;0,VLOOKUP(A17,Schlußkurse!A$5:AU$105,36,FALSE)/VLOOKUP(A17,Buchwert_je_Aktie!A$3:AJ$103,7,FALSE),""),"")</f>
        <v>2.9154727793696278</v>
      </c>
      <c r="E17" s="70">
        <f>IF(VLOOKUP(A17,Buchwert_je_Aktie!A$3:AJ$103,8,FALSE)&lt;&gt;"",IF(VLOOKUP(A17,Schlußkurse!A$5:AU$105,37,FALSE)&gt;0,VLOOKUP(A17,Schlußkurse!A$5:AU$105,37,FALSE)/VLOOKUP(A17,Buchwert_je_Aktie!A$3:AJ$103,8,FALSE),""),"")</f>
        <v>3.6529968454258674</v>
      </c>
      <c r="F17" s="70">
        <f>IF(VLOOKUP(A17,Buchwert_je_Aktie!A$3:AJ$103,9,FALSE)&lt;&gt;"",IF(VLOOKUP(A17,Schlußkurse!A$5:AU$105,38,FALSE)&gt;0,VLOOKUP(A17,Schlußkurse!A$5:AU$105,38,FALSE)/VLOOKUP(A17,Buchwert_je_Aktie!A$3:AJ$103,9,FALSE),""),"")</f>
        <v>3.672408189795255</v>
      </c>
      <c r="G17" s="70">
        <f>IF(VLOOKUP(A17,Buchwert_je_Aktie!A$3:AJ$103,10,FALSE)&lt;&gt;"",IF(VLOOKUP(A17,Schlußkurse!A$5:AU$105,39,FALSE)&gt;0,VLOOKUP(A17,Schlußkurse!A$5:AU$105,39,FALSE)/VLOOKUP(A17,Buchwert_je_Aktie!A$3:AJ$103,10,FALSE),""),"")</f>
        <v>4.1697341513292434</v>
      </c>
      <c r="H17" s="70">
        <f>IF(VLOOKUP(A17,Buchwert_je_Aktie!A$3:AJ$103,11,FALSE)&lt;&gt;"",IF(VLOOKUP(A17,Schlußkurse!A$5:AU$105,40,FALSE)&gt;0,VLOOKUP(A17,Schlußkurse!A$5:AU$105,40,FALSE)/VLOOKUP(A17,Buchwert_je_Aktie!A$3:AJ$103,11,FALSE),""),"")</f>
        <v>2.8573131955484898</v>
      </c>
      <c r="I17" s="70">
        <f>IF(VLOOKUP(A17,Buchwert_je_Aktie!A$3:AJ$103,12,FALSE)&lt;&gt;"",IF(VLOOKUP(A17,Schlußkurse!A$5:AU$105,41,FALSE)&gt;0,VLOOKUP(A17,Schlußkurse!A$5:AU$105,41,FALSE)/VLOOKUP(A17,Buchwert_je_Aktie!A$3:AJ$103,12,FALSE),""),"")</f>
        <v>2.200445434298441</v>
      </c>
      <c r="J17" s="70">
        <f>IF(VLOOKUP(A17,Buchwert_je_Aktie!A$3:AJ$103,13,FALSE)&lt;&gt;"",IF(VLOOKUP(A17,Schlußkurse!A$5:AU$105,42,FALSE)&gt;0,VLOOKUP(A17,Schlußkurse!A$5:AU$105,42,FALSE)/VLOOKUP(A17,Buchwert_je_Aktie!A$3:AJ$103,13,FALSE),""),"")</f>
        <v>2.3733905579399139</v>
      </c>
      <c r="K17" s="70">
        <f>IF(VLOOKUP(A17,Buchwert_je_Aktie!A$3:AJ$103,14,FALSE)&lt;&gt;"",IF(VLOOKUP(A17,Schlußkurse!A$5:AU$105,43,FALSE)&gt;0,VLOOKUP(A17,Schlußkurse!A$5:AU$105,43,FALSE)/VLOOKUP(A17,Buchwert_je_Aktie!A$3:AJ$103,14,FALSE),""),"")</f>
        <v>2.4490153172866518</v>
      </c>
      <c r="L17" s="70">
        <f>IF(VLOOKUP(A17,Buchwert_je_Aktie!A$3:AJ$103,15,FALSE)&lt;&gt;"",IF(VLOOKUP(A17,Schlußkurse!A$5:AU$105,44,FALSE)&gt;0,VLOOKUP(A17,Schlußkurse!A$5:AU$105,44,FALSE)/VLOOKUP(A17,Buchwert_je_Aktie!A$3:AJ$103,15,FALSE),""),"")</f>
        <v>1.8128272251308899</v>
      </c>
      <c r="M17" s="70">
        <f>IF(VLOOKUP(A17,Buchwert_je_Aktie!A$3:AJ$103,16,FALSE)&lt;&gt;"",IF(VLOOKUP(A17,Schlußkurse!A$5:AU$105,45,FALSE)&gt;0,VLOOKUP(A17,Schlußkurse!A$5:AU$105,45,FALSE)/VLOOKUP(A17,Buchwert_je_Aktie!A$3:AJ$103,16,FALSE),""),"")</f>
        <v>2.9246959775491117</v>
      </c>
      <c r="N17" s="70">
        <f>IF(VLOOKUP(A17,Buchwert_je_Aktie!A$3:AJ$103,17,FALSE)&lt;&gt;"",IF(VLOOKUP(A17,Schlußkurse!A$5:AU$105,46,FALSE)&gt;0,VLOOKUP(A17,Schlußkurse!A$5:AU$105,46,FALSE)/VLOOKUP(A17,Buchwert_je_Aktie!A$3:AJ$103,17,FALSE),""),"")</f>
        <v>1.8473421172194455</v>
      </c>
      <c r="O17" s="70" t="str">
        <f>IF(VLOOKUP(A17,Buchwert_je_Aktie!A$3:AJ$103,18,FALSE)&lt;&gt;"",IF(VLOOKUP(A17,Schlußkurse!A$5:AU$105,47,FALSE)&gt;0,VLOOKUP(A17,Schlußkurse!A$5:AU$105,47,FALSE)/VLOOKUP(A17,Buchwert_je_Aktie!A$3:AJ$103,18,FALSE),""),"")</f>
        <v/>
      </c>
      <c r="P17" s="70">
        <f t="shared" si="0"/>
        <v>2.8457875169943008</v>
      </c>
      <c r="Q17" s="3">
        <f ca="1">VLOOKUP(A17,Schlußkurse!A$5:AU$105,35,FALSE)/VLOOKUP(A17,Buchwert_je_Aktie!A$3:AK$103,23,FALSE)</f>
        <v>3.1154317207593389</v>
      </c>
      <c r="R17" s="5">
        <f t="shared" ca="1" si="1"/>
        <v>9.475205093661887E-2</v>
      </c>
    </row>
    <row r="18" spans="1:18">
      <c r="A18" t="s">
        <v>268</v>
      </c>
      <c r="B18" s="38" t="s">
        <v>274</v>
      </c>
      <c r="C18" s="70">
        <f>IF(VLOOKUP(A18,Buchwert_je_Aktie!A$3:AJ$103,6,FALSE)&lt;&gt;"",IF(VLOOKUP(A18,Schlußkurse!A$5:AU$105,35,FALSE)&gt;0,VLOOKUP(A18,Schlußkurse!A$5:AU$105,35,FALSE) /VLOOKUP(A18,Buchwert_je_Aktie!A$3:AJ$103,6,FALSE),""),"")</f>
        <v>11.864516129032259</v>
      </c>
      <c r="D18" s="70">
        <f>IF(VLOOKUP(A18,Buchwert_je_Aktie!A$3:AJ$103,7,FALSE)&lt;&gt;"",IF(VLOOKUP(A18,Schlußkurse!A$5:AU$105,36,FALSE)&gt;0,VLOOKUP(A18,Schlußkurse!A$5:AU$105,36,FALSE)/VLOOKUP(A18,Buchwert_je_Aktie!A$3:AJ$103,7,FALSE),""),"")</f>
        <v>14.255813953488373</v>
      </c>
      <c r="E18" s="70">
        <f>IF(VLOOKUP(A18,Buchwert_je_Aktie!A$3:AJ$103,8,FALSE)&lt;&gt;"",IF(VLOOKUP(A18,Schlußkurse!A$5:AU$105,37,FALSE)&gt;0,VLOOKUP(A18,Schlußkurse!A$5:AU$105,37,FALSE)/VLOOKUP(A18,Buchwert_je_Aktie!A$3:AJ$103,8,FALSE),""),"")</f>
        <v>18.599999999999998</v>
      </c>
      <c r="F18" s="70">
        <f>IF(VLOOKUP(A18,Buchwert_je_Aktie!A$3:AJ$103,9,FALSE)&lt;&gt;"",IF(VLOOKUP(A18,Schlußkurse!A$5:AU$105,38,FALSE)&gt;0,VLOOKUP(A18,Schlußkurse!A$5:AU$105,38,FALSE)/VLOOKUP(A18,Buchwert_je_Aktie!A$3:AJ$103,9,FALSE),""),"")</f>
        <v>14.402324294410626</v>
      </c>
      <c r="G18" s="70">
        <f>IF(VLOOKUP(A18,Buchwert_je_Aktie!A$3:AJ$103,10,FALSE)&lt;&gt;"",IF(VLOOKUP(A18,Schlußkurse!A$5:AU$105,39,FALSE)&gt;0,VLOOKUP(A18,Schlußkurse!A$5:AU$105,39,FALSE)/VLOOKUP(A18,Buchwert_je_Aktie!A$3:AJ$103,10,FALSE),""),"")</f>
        <v>13.067061143984221</v>
      </c>
      <c r="H18" s="70">
        <f>IF(VLOOKUP(A18,Buchwert_je_Aktie!A$3:AJ$103,11,FALSE)&lt;&gt;"",IF(VLOOKUP(A18,Schlußkurse!A$5:AU$105,40,FALSE)&gt;0,VLOOKUP(A18,Schlußkurse!A$5:AU$105,40,FALSE)/VLOOKUP(A18,Buchwert_je_Aktie!A$3:AJ$103,11,FALSE),""),"")</f>
        <v>12.160852713178294</v>
      </c>
      <c r="I18" s="70">
        <f>IF(VLOOKUP(A18,Buchwert_je_Aktie!A$3:AJ$103,12,FALSE)&lt;&gt;"",IF(VLOOKUP(A18,Schlußkurse!A$5:AU$105,41,FALSE)&gt;0,VLOOKUP(A18,Schlußkurse!A$5:AU$105,41,FALSE)/VLOOKUP(A18,Buchwert_je_Aktie!A$3:AJ$103,12,FALSE),""),"")</f>
        <v>9.1385251550654711</v>
      </c>
      <c r="J18" s="70">
        <f>IF(VLOOKUP(A18,Buchwert_je_Aktie!A$3:AJ$103,13,FALSE)&lt;&gt;"",IF(VLOOKUP(A18,Schlußkurse!A$5:AU$105,42,FALSE)&gt;0,VLOOKUP(A18,Schlußkurse!A$5:AU$105,42,FALSE)/VLOOKUP(A18,Buchwert_je_Aktie!A$3:AJ$103,13,FALSE),""),"")</f>
        <v>9.4097995545657014</v>
      </c>
      <c r="K18" s="70">
        <f>IF(VLOOKUP(A18,Buchwert_je_Aktie!A$3:AJ$103,14,FALSE)&lt;&gt;"",IF(VLOOKUP(A18,Schlußkurse!A$5:AU$105,43,FALSE)&gt;0,VLOOKUP(A18,Schlußkurse!A$5:AU$105,43,FALSE)/VLOOKUP(A18,Buchwert_je_Aktie!A$3:AJ$103,14,FALSE),""),"")</f>
        <v>5.1404798761609909</v>
      </c>
      <c r="L18" s="70">
        <f>IF(VLOOKUP(A18,Buchwert_je_Aktie!A$3:AJ$103,15,FALSE)&lt;&gt;"",IF(VLOOKUP(A18,Schlußkurse!A$5:AU$105,44,FALSE)&gt;0,VLOOKUP(A18,Schlußkurse!A$5:AU$105,44,FALSE)/VLOOKUP(A18,Buchwert_je_Aktie!A$3:AJ$103,15,FALSE),""),"")</f>
        <v>4.5447736625514406</v>
      </c>
      <c r="M18" s="70">
        <f>IF(VLOOKUP(A18,Buchwert_je_Aktie!A$3:AJ$103,16,FALSE)&lt;&gt;"",IF(VLOOKUP(A18,Schlußkurse!A$5:AU$105,45,FALSE)&gt;0,VLOOKUP(A18,Schlußkurse!A$5:AU$105,45,FALSE)/VLOOKUP(A18,Buchwert_je_Aktie!A$3:AJ$103,16,FALSE),""),"")</f>
        <v>6.0875576036866361</v>
      </c>
      <c r="N18" s="70">
        <f>IF(VLOOKUP(A18,Buchwert_je_Aktie!A$3:AJ$103,17,FALSE)&lt;&gt;"",IF(VLOOKUP(A18,Schlußkurse!A$5:AU$105,46,FALSE)&gt;0,VLOOKUP(A18,Schlußkurse!A$5:AU$105,46,FALSE)/VLOOKUP(A18,Buchwert_je_Aktie!A$3:AJ$103,17,FALSE),""),"")</f>
        <v>4.7419678714859428</v>
      </c>
      <c r="O18" s="70">
        <f>IF(VLOOKUP(A18,Buchwert_je_Aktie!A$3:AJ$103,18,FALSE)&lt;&gt;"",IF(VLOOKUP(A18,Schlußkurse!A$5:AU$105,47,FALSE)&gt;0,VLOOKUP(A18,Schlußkurse!A$5:AU$105,47,FALSE)/VLOOKUP(A18,Buchwert_je_Aktie!A$3:AJ$103,18,FALSE),""),"")</f>
        <v>3.7463157894736847</v>
      </c>
      <c r="P18" s="70">
        <f t="shared" si="0"/>
        <v>9.4097995545657014</v>
      </c>
      <c r="Q18" s="3">
        <f ca="1">VLOOKUP(A18,Schlußkurse!A$5:AU$105,35,FALSE)/VLOOKUP(A18,Buchwert_je_Aktie!A$3:AK$103,23,FALSE)</f>
        <v>16.138657305835896</v>
      </c>
      <c r="R18" s="5">
        <f t="shared" ca="1" si="1"/>
        <v>0.71509044504622898</v>
      </c>
    </row>
    <row r="19" spans="1:18">
      <c r="A19" t="s">
        <v>26</v>
      </c>
      <c r="B19" s="38" t="s">
        <v>27</v>
      </c>
      <c r="C19" s="70">
        <f>IF(VLOOKUP(A19,Buchwert_je_Aktie!A$3:AJ$103,6,FALSE)&lt;&gt;"",IF(VLOOKUP(A19,Schlußkurse!A$5:AU$105,35,FALSE)&gt;0,VLOOKUP(A19,Schlußkurse!A$5:AU$105,35,FALSE) /VLOOKUP(A19,Buchwert_je_Aktie!A$3:AJ$103,6,FALSE),""),"")</f>
        <v>1.8587649402390438</v>
      </c>
      <c r="D19" s="70">
        <f>IF(VLOOKUP(A19,Buchwert_je_Aktie!A$3:AJ$103,7,FALSE)&lt;&gt;"",IF(VLOOKUP(A19,Schlußkurse!A$5:AU$105,36,FALSE)&gt;0,VLOOKUP(A19,Schlußkurse!A$5:AU$105,36,FALSE)/VLOOKUP(A19,Buchwert_je_Aktie!A$3:AJ$103,7,FALSE),""),"")</f>
        <v>2.0066666666666664</v>
      </c>
      <c r="E19" s="70">
        <f>IF(VLOOKUP(A19,Buchwert_je_Aktie!A$3:AJ$103,8,FALSE)&lt;&gt;"",IF(VLOOKUP(A19,Schlußkurse!A$5:AU$105,37,FALSE)&gt;0,VLOOKUP(A19,Schlußkurse!A$5:AU$105,37,FALSE)/VLOOKUP(A19,Buchwert_je_Aktie!A$3:AJ$103,8,FALSE),""),"")</f>
        <v>2.2969094922737305</v>
      </c>
      <c r="F19" s="70">
        <f>IF(VLOOKUP(A19,Buchwert_je_Aktie!A$3:AJ$103,9,FALSE)&lt;&gt;"",IF(VLOOKUP(A19,Schlußkurse!A$5:AU$105,38,FALSE)&gt;0,VLOOKUP(A19,Schlußkurse!A$5:AU$105,38,FALSE)/VLOOKUP(A19,Buchwert_je_Aktie!A$3:AJ$103,9,FALSE),""),"")</f>
        <v>3.3111111111111109</v>
      </c>
      <c r="G19" s="70">
        <f>IF(VLOOKUP(A19,Buchwert_je_Aktie!A$3:AJ$103,10,FALSE)&lt;&gt;"",IF(VLOOKUP(A19,Schlußkurse!A$5:AU$105,39,FALSE)&gt;0,VLOOKUP(A19,Schlußkurse!A$5:AU$105,39,FALSE)/VLOOKUP(A19,Buchwert_je_Aktie!A$3:AJ$103,10,FALSE),""),"")</f>
        <v>2.6125827814569536</v>
      </c>
      <c r="H19" s="70">
        <f>IF(VLOOKUP(A19,Buchwert_je_Aktie!A$3:AJ$103,11,FALSE)&lt;&gt;"",IF(VLOOKUP(A19,Schlußkurse!A$5:AU$105,40,FALSE)&gt;0,VLOOKUP(A19,Schlußkurse!A$5:AU$105,40,FALSE)/VLOOKUP(A19,Buchwert_je_Aktie!A$3:AJ$103,11,FALSE),""),"")</f>
        <v>2.1913978494623652</v>
      </c>
      <c r="I19" s="70">
        <f>IF(VLOOKUP(A19,Buchwert_je_Aktie!A$3:AJ$103,12,FALSE)&lt;&gt;"",IF(VLOOKUP(A19,Schlußkurse!A$5:AU$105,41,FALSE)&gt;0,VLOOKUP(A19,Schlußkurse!A$5:AU$105,41,FALSE)/VLOOKUP(A19,Buchwert_je_Aktie!A$3:AJ$103,12,FALSE),""),"")</f>
        <v>2.9744444444444444</v>
      </c>
      <c r="J19" s="70">
        <f>IF(VLOOKUP(A19,Buchwert_je_Aktie!A$3:AJ$103,13,FALSE)&lt;&gt;"",IF(VLOOKUP(A19,Schlußkurse!A$5:AU$105,42,FALSE)&gt;0,VLOOKUP(A19,Schlußkurse!A$5:AU$105,42,FALSE)/VLOOKUP(A19,Buchwert_je_Aktie!A$3:AJ$103,13,FALSE),""),"")</f>
        <v>3.5343750000000003</v>
      </c>
      <c r="K19" s="70">
        <f>IF(VLOOKUP(A19,Buchwert_je_Aktie!A$3:AJ$103,14,FALSE)&lt;&gt;"",IF(VLOOKUP(A19,Schlußkurse!A$5:AU$105,43,FALSE)&gt;0,VLOOKUP(A19,Schlußkurse!A$5:AU$105,43,FALSE)/VLOOKUP(A19,Buchwert_je_Aktie!A$3:AJ$103,14,FALSE),""),"")</f>
        <v>3.6081330868761552</v>
      </c>
      <c r="L19" s="70">
        <f>IF(VLOOKUP(A19,Buchwert_je_Aktie!A$3:AJ$103,15,FALSE)&lt;&gt;"",IF(VLOOKUP(A19,Schlußkurse!A$5:AU$105,44,FALSE)&gt;0,VLOOKUP(A19,Schlußkurse!A$5:AU$105,44,FALSE)/VLOOKUP(A19,Buchwert_je_Aktie!A$3:AJ$103,15,FALSE),""),"")</f>
        <v>3.3228511530398324</v>
      </c>
      <c r="M19" s="70">
        <f>IF(VLOOKUP(A19,Buchwert_je_Aktie!A$3:AJ$103,16,FALSE)&lt;&gt;"",IF(VLOOKUP(A19,Schlußkurse!A$5:AU$105,45,FALSE)&gt;0,VLOOKUP(A19,Schlußkurse!A$5:AU$105,45,FALSE)/VLOOKUP(A19,Buchwert_je_Aktie!A$3:AJ$103,16,FALSE),""),"")</f>
        <v>6.0710382513661196</v>
      </c>
      <c r="N19" s="70">
        <f>IF(VLOOKUP(A19,Buchwert_je_Aktie!A$3:AJ$103,17,FALSE)&lt;&gt;"",IF(VLOOKUP(A19,Schlußkurse!A$5:AU$105,46,FALSE)&gt;0,VLOOKUP(A19,Schlußkurse!A$5:AU$105,46,FALSE)/VLOOKUP(A19,Buchwert_je_Aktie!A$3:AJ$103,17,FALSE),""),"")</f>
        <v>3.8199052132701428</v>
      </c>
      <c r="O19" s="70">
        <f>IF(VLOOKUP(A19,Buchwert_je_Aktie!A$3:AJ$103,18,FALSE)&lt;&gt;"",IF(VLOOKUP(A19,Schlußkurse!A$5:AU$105,47,FALSE)&gt;0,VLOOKUP(A19,Schlußkurse!A$5:AU$105,47,FALSE)/VLOOKUP(A19,Buchwert_je_Aktie!A$3:AJ$103,18,FALSE),""),"")</f>
        <v>3.6418338108882522</v>
      </c>
      <c r="P19" s="70">
        <f t="shared" si="0"/>
        <v>3.3111111111111109</v>
      </c>
      <c r="Q19" s="3">
        <f ca="1">VLOOKUP(A19,Schlußkurse!A$5:AU$105,35,FALSE)/VLOOKUP(A19,Buchwert_je_Aktie!A$3:AK$103,23,FALSE)</f>
        <v>2.0435830048182213</v>
      </c>
      <c r="R19" s="5">
        <f t="shared" ca="1" si="1"/>
        <v>-0.38281050190053711</v>
      </c>
    </row>
    <row r="20" spans="1:18">
      <c r="A20" t="s">
        <v>81</v>
      </c>
      <c r="B20" s="38" t="s">
        <v>189</v>
      </c>
      <c r="C20" s="70">
        <f>IF(VLOOKUP(A20,Buchwert_je_Aktie!A$3:AJ$103,6,FALSE)&lt;&gt;"",IF(VLOOKUP(A20,Schlußkurse!A$5:AU$105,35,FALSE)&gt;0,VLOOKUP(A20,Schlußkurse!A$5:AU$105,35,FALSE) /VLOOKUP(A20,Buchwert_je_Aktie!A$3:AJ$103,6,FALSE),""),"")</f>
        <v>3.0816733067729078</v>
      </c>
      <c r="D20" s="70">
        <f>IF(VLOOKUP(A20,Buchwert_je_Aktie!A$3:AJ$103,7,FALSE)&lt;&gt;"",IF(VLOOKUP(A20,Schlußkurse!A$5:AU$105,36,FALSE)&gt;0,VLOOKUP(A20,Schlußkurse!A$5:AU$105,36,FALSE)/VLOOKUP(A20,Buchwert_je_Aktie!A$3:AJ$103,7,FALSE),""),"")</f>
        <v>3.2775423728813555</v>
      </c>
      <c r="E20" s="70">
        <f>IF(VLOOKUP(A20,Buchwert_je_Aktie!A$3:AJ$103,8,FALSE)&lt;&gt;"",IF(VLOOKUP(A20,Schlußkurse!A$5:AU$105,37,FALSE)&gt;0,VLOOKUP(A20,Schlußkurse!A$5:AU$105,37,FALSE)/VLOOKUP(A20,Buchwert_je_Aktie!A$3:AJ$103,8,FALSE),""),"")</f>
        <v>3.553775743707094</v>
      </c>
      <c r="F20" s="70">
        <f>IF(VLOOKUP(A20,Buchwert_je_Aktie!A$3:AJ$103,9,FALSE)&lt;&gt;"",IF(VLOOKUP(A20,Schlußkurse!A$5:AU$105,38,FALSE)&gt;0,VLOOKUP(A20,Schlußkurse!A$5:AU$105,38,FALSE)/VLOOKUP(A20,Buchwert_je_Aktie!A$3:AJ$103,9,FALSE),""),"")</f>
        <v>3.321411540295661</v>
      </c>
      <c r="G20" s="70">
        <f>IF(VLOOKUP(A20,Buchwert_je_Aktie!A$3:AJ$103,10,FALSE)&lt;&gt;"",IF(VLOOKUP(A20,Schlußkurse!A$5:AU$105,39,FALSE)&gt;0,VLOOKUP(A20,Schlußkurse!A$5:AU$105,39,FALSE)/VLOOKUP(A20,Buchwert_je_Aktie!A$3:AJ$103,10,FALSE),""),"")</f>
        <v>3.5501807061440092</v>
      </c>
      <c r="H20" s="70">
        <f>IF(VLOOKUP(A20,Buchwert_je_Aktie!A$3:AJ$103,11,FALSE)&lt;&gt;"",IF(VLOOKUP(A20,Schlußkurse!A$5:AU$105,40,FALSE)&gt;0,VLOOKUP(A20,Schlußkurse!A$5:AU$105,40,FALSE)/VLOOKUP(A20,Buchwert_je_Aktie!A$3:AJ$103,11,FALSE),""),"")</f>
        <v>2.8078158458244111</v>
      </c>
      <c r="I20" s="70">
        <f>IF(VLOOKUP(A20,Buchwert_je_Aktie!A$3:AJ$103,12,FALSE)&lt;&gt;"",IF(VLOOKUP(A20,Schlußkurse!A$5:AU$105,41,FALSE)&gt;0,VLOOKUP(A20,Schlußkurse!A$5:AU$105,41,FALSE)/VLOOKUP(A20,Buchwert_je_Aktie!A$3:AJ$103,12,FALSE),""),"")</f>
        <v>2.3472949389179756</v>
      </c>
      <c r="J20" s="70">
        <f>IF(VLOOKUP(A20,Buchwert_je_Aktie!A$3:AJ$103,13,FALSE)&lt;&gt;"",IF(VLOOKUP(A20,Schlußkurse!A$5:AU$105,42,FALSE)&gt;0,VLOOKUP(A20,Schlußkurse!A$5:AU$105,42,FALSE)/VLOOKUP(A20,Buchwert_je_Aktie!A$3:AJ$103,13,FALSE),""),"")</f>
        <v>2.8403418803418803</v>
      </c>
      <c r="K20" s="70">
        <f>IF(VLOOKUP(A20,Buchwert_je_Aktie!A$3:AJ$103,14,FALSE)&lt;&gt;"",IF(VLOOKUP(A20,Schlußkurse!A$5:AU$105,43,FALSE)&gt;0,VLOOKUP(A20,Schlußkurse!A$5:AU$105,43,FALSE)/VLOOKUP(A20,Buchwert_je_Aktie!A$3:AJ$103,14,FALSE),""),"")</f>
        <v>3.1540638900121309</v>
      </c>
      <c r="L20" s="70">
        <f>IF(VLOOKUP(A20,Buchwert_je_Aktie!A$3:AJ$103,15,FALSE)&lt;&gt;"",IF(VLOOKUP(A20,Schlußkurse!A$5:AU$105,44,FALSE)&gt;0,VLOOKUP(A20,Schlußkurse!A$5:AU$105,44,FALSE)/VLOOKUP(A20,Buchwert_je_Aktie!A$3:AJ$103,15,FALSE),""),"")</f>
        <v>2.7444933920704844</v>
      </c>
      <c r="M20" s="70">
        <f>IF(VLOOKUP(A20,Buchwert_je_Aktie!A$3:AJ$103,16,FALSE)&lt;&gt;"",IF(VLOOKUP(A20,Schlußkurse!A$5:AU$105,45,FALSE)&gt;0,VLOOKUP(A20,Schlußkurse!A$5:AU$105,45,FALSE)/VLOOKUP(A20,Buchwert_je_Aktie!A$3:AJ$103,16,FALSE),""),"")</f>
        <v>4.991339786041773</v>
      </c>
      <c r="N20" s="70">
        <f>IF(VLOOKUP(A20,Buchwert_je_Aktie!A$3:AJ$103,17,FALSE)&lt;&gt;"",IF(VLOOKUP(A20,Schlußkurse!A$5:AU$105,46,FALSE)&gt;0,VLOOKUP(A20,Schlußkurse!A$5:AU$105,46,FALSE)/VLOOKUP(A20,Buchwert_je_Aktie!A$3:AJ$103,17,FALSE),""),"")</f>
        <v>3.4437386569872963</v>
      </c>
      <c r="O20" s="70">
        <f>IF(VLOOKUP(A20,Buchwert_je_Aktie!A$3:AJ$103,18,FALSE)&lt;&gt;"",IF(VLOOKUP(A20,Schlußkurse!A$5:AU$105,47,FALSE)&gt;0,VLOOKUP(A20,Schlußkurse!A$5:AU$105,47,FALSE)/VLOOKUP(A20,Buchwert_je_Aktie!A$3:AJ$103,18,FALSE),""),"")</f>
        <v>2.7471566054243217</v>
      </c>
      <c r="P20" s="70">
        <f t="shared" si="0"/>
        <v>3.1540638900121309</v>
      </c>
      <c r="Q20" s="3">
        <f ca="1">VLOOKUP(A20,Schlußkurse!A$5:AU$105,35,FALSE)/VLOOKUP(A20,Buchwert_je_Aktie!A$3:AK$103,23,FALSE)</f>
        <v>3.4569832402234635</v>
      </c>
      <c r="R20" s="5">
        <f t="shared" ca="1" si="1"/>
        <v>9.6040968342644195E-2</v>
      </c>
    </row>
    <row r="21" spans="1:18">
      <c r="A21" t="s">
        <v>82</v>
      </c>
      <c r="B21" s="38" t="s">
        <v>190</v>
      </c>
      <c r="C21" s="70">
        <f>IF(VLOOKUP(A21,Buchwert_je_Aktie!A$3:AJ$103,6,FALSE)&lt;&gt;"",IF(VLOOKUP(A21,Schlußkurse!A$5:AU$105,35,FALSE)&gt;0,VLOOKUP(A21,Schlußkurse!A$5:AU$105,35,FALSE) /VLOOKUP(A21,Buchwert_je_Aktie!A$3:AJ$103,6,FALSE),""),"")</f>
        <v>1.5343621399176952</v>
      </c>
      <c r="D21" s="70">
        <f>IF(VLOOKUP(A21,Buchwert_je_Aktie!A$3:AJ$103,7,FALSE)&lt;&gt;"",IF(VLOOKUP(A21,Schlußkurse!A$5:AU$105,36,FALSE)&gt;0,VLOOKUP(A21,Schlußkurse!A$5:AU$105,36,FALSE)/VLOOKUP(A21,Buchwert_je_Aktie!A$3:AJ$103,7,FALSE),""),"")</f>
        <v>1.6071120689655172</v>
      </c>
      <c r="E21" s="70">
        <f>IF(VLOOKUP(A21,Buchwert_je_Aktie!A$3:AJ$103,8,FALSE)&lt;&gt;"",IF(VLOOKUP(A21,Schlußkurse!A$5:AU$105,37,FALSE)&gt;0,VLOOKUP(A21,Schlußkurse!A$5:AU$105,37,FALSE)/VLOOKUP(A21,Buchwert_je_Aktie!A$3:AJ$103,8,FALSE),""),"")</f>
        <v>1.7466666666666666</v>
      </c>
      <c r="F21" s="70">
        <f>IF(VLOOKUP(A21,Buchwert_je_Aktie!A$3:AJ$103,9,FALSE)&lt;&gt;"",IF(VLOOKUP(A21,Schlußkurse!A$5:AU$105,38,FALSE)&gt;0,VLOOKUP(A21,Schlußkurse!A$5:AU$105,38,FALSE)/VLOOKUP(A21,Buchwert_je_Aktie!A$3:AJ$103,9,FALSE),""),"")</f>
        <v>1.7017543859649122</v>
      </c>
      <c r="G21" s="70">
        <f>IF(VLOOKUP(A21,Buchwert_je_Aktie!A$3:AJ$103,10,FALSE)&lt;&gt;"",IF(VLOOKUP(A21,Schlußkurse!A$5:AU$105,39,FALSE)&gt;0,VLOOKUP(A21,Schlußkurse!A$5:AU$105,39,FALSE)/VLOOKUP(A21,Buchwert_je_Aktie!A$3:AJ$103,10,FALSE),""),"")</f>
        <v>1.8128819934179596</v>
      </c>
      <c r="H21" s="70">
        <f>IF(VLOOKUP(A21,Buchwert_je_Aktie!A$3:AJ$103,11,FALSE)&lt;&gt;"",IF(VLOOKUP(A21,Schlußkurse!A$5:AU$105,40,FALSE)&gt;0,VLOOKUP(A21,Schlußkurse!A$5:AU$105,40,FALSE)/VLOOKUP(A21,Buchwert_je_Aktie!A$3:AJ$103,11,FALSE),""),"")</f>
        <v>1.6621653084982537</v>
      </c>
      <c r="I21" s="70">
        <f>IF(VLOOKUP(A21,Buchwert_je_Aktie!A$3:AJ$103,12,FALSE)&lt;&gt;"",IF(VLOOKUP(A21,Schlußkurse!A$5:AU$105,41,FALSE)&gt;0,VLOOKUP(A21,Schlußkurse!A$5:AU$105,41,FALSE)/VLOOKUP(A21,Buchwert_je_Aktie!A$3:AJ$103,12,FALSE),""),"")</f>
        <v>1.3127457783946335</v>
      </c>
      <c r="J21" s="70">
        <f>IF(VLOOKUP(A21,Buchwert_je_Aktie!A$3:AJ$103,13,FALSE)&lt;&gt;"",IF(VLOOKUP(A21,Schlußkurse!A$5:AU$105,42,FALSE)&gt;0,VLOOKUP(A21,Schlußkurse!A$5:AU$105,42,FALSE)/VLOOKUP(A21,Buchwert_je_Aktie!A$3:AJ$103,13,FALSE),""),"")</f>
        <v>1.1411876937753398</v>
      </c>
      <c r="K21" s="70">
        <f>IF(VLOOKUP(A21,Buchwert_je_Aktie!A$3:AJ$103,14,FALSE)&lt;&gt;"",IF(VLOOKUP(A21,Schlußkurse!A$5:AU$105,43,FALSE)&gt;0,VLOOKUP(A21,Schlußkurse!A$5:AU$105,43,FALSE)/VLOOKUP(A21,Buchwert_je_Aktie!A$3:AJ$103,14,FALSE),""),"")</f>
        <v>1.3595061728395061</v>
      </c>
      <c r="L21" s="70">
        <f>IF(VLOOKUP(A21,Buchwert_je_Aktie!A$3:AJ$103,15,FALSE)&lt;&gt;"",IF(VLOOKUP(A21,Schlußkurse!A$5:AU$105,44,FALSE)&gt;0,VLOOKUP(A21,Schlußkurse!A$5:AU$105,44,FALSE)/VLOOKUP(A21,Buchwert_je_Aktie!A$3:AJ$103,15,FALSE),""),"")</f>
        <v>1.2387448840381992</v>
      </c>
      <c r="M21" s="70">
        <f>IF(VLOOKUP(A21,Buchwert_je_Aktie!A$3:AJ$103,16,FALSE)&lt;&gt;"",IF(VLOOKUP(A21,Schlußkurse!A$5:AU$105,45,FALSE)&gt;0,VLOOKUP(A21,Schlußkurse!A$5:AU$105,45,FALSE)/VLOOKUP(A21,Buchwert_je_Aktie!A$3:AJ$103,16,FALSE),""),"")</f>
        <v>1.8463793608912342</v>
      </c>
      <c r="N21" s="70">
        <f>IF(VLOOKUP(A21,Buchwert_je_Aktie!A$3:AJ$103,17,FALSE)&lt;&gt;"",IF(VLOOKUP(A21,Schlußkurse!A$5:AU$105,46,FALSE)&gt;0,VLOOKUP(A21,Schlußkurse!A$5:AU$105,46,FALSE)/VLOOKUP(A21,Buchwert_je_Aktie!A$3:AJ$103,17,FALSE),""),"")</f>
        <v>2.145047531432076</v>
      </c>
      <c r="O21" s="70">
        <f>IF(VLOOKUP(A21,Buchwert_je_Aktie!A$3:AJ$103,18,FALSE)&lt;&gt;"",IF(VLOOKUP(A21,Schlußkurse!A$5:AU$105,47,FALSE)&gt;0,VLOOKUP(A21,Schlußkurse!A$5:AU$105,47,FALSE)/VLOOKUP(A21,Buchwert_je_Aktie!A$3:AJ$103,18,FALSE),""),"")</f>
        <v>2.2063208109719739</v>
      </c>
      <c r="P21" s="70">
        <f t="shared" si="0"/>
        <v>1.6621653084982537</v>
      </c>
      <c r="Q21" s="3">
        <f ca="1">VLOOKUP(A21,Schlußkurse!A$5:AU$105,35,FALSE)/VLOOKUP(A21,Buchwert_je_Aktie!A$3:AK$103,23,FALSE)</f>
        <v>1.6417877586966092</v>
      </c>
      <c r="R21" s="5">
        <f t="shared" ca="1" si="1"/>
        <v>-1.225964090181586E-2</v>
      </c>
    </row>
    <row r="22" spans="1:18">
      <c r="A22" t="s">
        <v>28</v>
      </c>
      <c r="B22" s="38" t="s">
        <v>29</v>
      </c>
      <c r="C22" s="70">
        <f>IF(VLOOKUP(A22,Buchwert_je_Aktie!A$3:AJ$103,6,FALSE)&lt;&gt;"",IF(VLOOKUP(A22,Schlußkurse!A$5:AU$105,35,FALSE)&gt;0,VLOOKUP(A22,Schlußkurse!A$5:AU$105,35,FALSE) /VLOOKUP(A22,Buchwert_je_Aktie!A$3:AJ$103,6,FALSE),""),"")</f>
        <v>2.2522058823529409</v>
      </c>
      <c r="D22" s="70">
        <f>IF(VLOOKUP(A22,Buchwert_je_Aktie!A$3:AJ$103,7,FALSE)&lt;&gt;"",IF(VLOOKUP(A22,Schlußkurse!A$5:AU$105,36,FALSE)&gt;0,VLOOKUP(A22,Schlußkurse!A$5:AU$105,36,FALSE)/VLOOKUP(A22,Buchwert_je_Aktie!A$3:AJ$103,7,FALSE),""),"")</f>
        <v>2.5848101265822785</v>
      </c>
      <c r="E22" s="70">
        <f>IF(VLOOKUP(A22,Buchwert_je_Aktie!A$3:AJ$103,8,FALSE)&lt;&gt;"",IF(VLOOKUP(A22,Schlußkurse!A$5:AU$105,37,FALSE)&gt;0,VLOOKUP(A22,Schlußkurse!A$5:AU$105,37,FALSE)/VLOOKUP(A22,Buchwert_je_Aktie!A$3:AJ$103,8,FALSE),""),"")</f>
        <v>2.8054054054054056</v>
      </c>
      <c r="F22" s="70">
        <f>IF(VLOOKUP(A22,Buchwert_je_Aktie!A$3:AJ$103,9,FALSE)&lt;&gt;"",IF(VLOOKUP(A22,Schlußkurse!A$5:AU$105,38,FALSE)&gt;0,VLOOKUP(A22,Schlußkurse!A$5:AU$105,38,FALSE)/VLOOKUP(A22,Buchwert_je_Aktie!A$3:AJ$103,9,FALSE),""),"")</f>
        <v>2.6573938506588584</v>
      </c>
      <c r="G22" s="70">
        <f>IF(VLOOKUP(A22,Buchwert_je_Aktie!A$3:AJ$103,10,FALSE)&lt;&gt;"",IF(VLOOKUP(A22,Schlußkurse!A$5:AU$105,39,FALSE)&gt;0,VLOOKUP(A22,Schlußkurse!A$5:AU$105,39,FALSE)/VLOOKUP(A22,Buchwert_je_Aktie!A$3:AJ$103,10,FALSE),""),"")</f>
        <v>2.6844535659312472</v>
      </c>
      <c r="H22" s="70">
        <f>IF(VLOOKUP(A22,Buchwert_je_Aktie!A$3:AJ$103,11,FALSE)&lt;&gt;"",IF(VLOOKUP(A22,Schlußkurse!A$5:AU$105,40,FALSE)&gt;0,VLOOKUP(A22,Schlußkurse!A$5:AU$105,40,FALSE)/VLOOKUP(A22,Buchwert_je_Aktie!A$3:AJ$103,11,FALSE),""),"")</f>
        <v>2.7360197368421058</v>
      </c>
      <c r="I22" s="70">
        <f>IF(VLOOKUP(A22,Buchwert_je_Aktie!A$3:AJ$103,12,FALSE)&lt;&gt;"",IF(VLOOKUP(A22,Schlußkurse!A$5:AU$105,41,FALSE)&gt;0,VLOOKUP(A22,Schlußkurse!A$5:AU$105,41,FALSE)/VLOOKUP(A22,Buchwert_je_Aktie!A$3:AJ$103,12,FALSE),""),"")</f>
        <v>2.3635036496350366</v>
      </c>
      <c r="J22" s="70">
        <f>IF(VLOOKUP(A22,Buchwert_je_Aktie!A$3:AJ$103,13,FALSE)&lt;&gt;"",IF(VLOOKUP(A22,Schlußkurse!A$5:AU$105,42,FALSE)&gt;0,VLOOKUP(A22,Schlußkurse!A$5:AU$105,42,FALSE)/VLOOKUP(A22,Buchwert_je_Aktie!A$3:AJ$103,13,FALSE),""),"")</f>
        <v>2.3334987593052112</v>
      </c>
      <c r="K22" s="70">
        <f>IF(VLOOKUP(A22,Buchwert_je_Aktie!A$3:AJ$103,14,FALSE)&lt;&gt;"",IF(VLOOKUP(A22,Schlußkurse!A$5:AU$105,43,FALSE)&gt;0,VLOOKUP(A22,Schlußkurse!A$5:AU$105,43,FALSE)/VLOOKUP(A22,Buchwert_je_Aktie!A$3:AJ$103,14,FALSE),""),"")</f>
        <v>2.2100103199174406</v>
      </c>
      <c r="L22" s="70">
        <f>IF(VLOOKUP(A22,Buchwert_je_Aktie!A$3:AJ$103,15,FALSE)&lt;&gt;"",IF(VLOOKUP(A22,Schlußkurse!A$5:AU$105,44,FALSE)&gt;0,VLOOKUP(A22,Schlußkurse!A$5:AU$105,44,FALSE)/VLOOKUP(A22,Buchwert_je_Aktie!A$3:AJ$103,15,FALSE),""),"")</f>
        <v>1.998149005090236</v>
      </c>
      <c r="M22" s="70">
        <f>IF(VLOOKUP(A22,Buchwert_je_Aktie!A$3:AJ$103,16,FALSE)&lt;&gt;"",IF(VLOOKUP(A22,Schlußkurse!A$5:AU$105,45,FALSE)&gt;0,VLOOKUP(A22,Schlußkurse!A$5:AU$105,45,FALSE)/VLOOKUP(A22,Buchwert_je_Aktie!A$3:AJ$103,16,FALSE),""),"")</f>
        <v>3.6504161712247325</v>
      </c>
      <c r="N22" s="70">
        <f>IF(VLOOKUP(A22,Buchwert_je_Aktie!A$3:AJ$103,17,FALSE)&lt;&gt;"",IF(VLOOKUP(A22,Schlußkurse!A$5:AU$105,46,FALSE)&gt;0,VLOOKUP(A22,Schlußkurse!A$5:AU$105,46,FALSE)/VLOOKUP(A22,Buchwert_je_Aktie!A$3:AJ$103,17,FALSE),""),"")</f>
        <v>3.2632177373507676</v>
      </c>
      <c r="O22" s="70" t="str">
        <f>IF(VLOOKUP(A22,Buchwert_je_Aktie!A$3:AJ$103,18,FALSE)&lt;&gt;"",IF(VLOOKUP(A22,Schlußkurse!A$5:AU$105,47,FALSE)&gt;0,VLOOKUP(A22,Schlußkurse!A$5:AU$105,47,FALSE)/VLOOKUP(A22,Buchwert_je_Aktie!A$3:AJ$103,18,FALSE),""),"")</f>
        <v/>
      </c>
      <c r="P22" s="70">
        <f t="shared" si="0"/>
        <v>2.6211019886205684</v>
      </c>
      <c r="Q22" s="3">
        <f ca="1">VLOOKUP(A22,Schlußkurse!A$5:AU$105,35,FALSE)/VLOOKUP(A22,Buchwert_je_Aktie!A$3:AK$103,23,FALSE)</f>
        <v>2.7046357615894041</v>
      </c>
      <c r="R22" s="5">
        <f t="shared" ca="1" si="1"/>
        <v>3.1869714849515507E-2</v>
      </c>
    </row>
    <row r="23" spans="1:18">
      <c r="A23" t="s">
        <v>30</v>
      </c>
      <c r="B23" s="38" t="s">
        <v>31</v>
      </c>
      <c r="C23" s="70">
        <f>IF(VLOOKUP(A23,Buchwert_je_Aktie!A$3:AJ$103,6,FALSE)&lt;&gt;"",IF(VLOOKUP(A23,Schlußkurse!A$5:AU$105,35,FALSE)&gt;0,VLOOKUP(A23,Schlußkurse!A$5:AU$105,35,FALSE) /VLOOKUP(A23,Buchwert_je_Aktie!A$3:AJ$103,6,FALSE),""),"")</f>
        <v>10.798969072164949</v>
      </c>
      <c r="D23" s="70">
        <f>IF(VLOOKUP(A23,Buchwert_je_Aktie!A$3:AJ$103,7,FALSE)&lt;&gt;"",IF(VLOOKUP(A23,Schlußkurse!A$5:AU$105,36,FALSE)&gt;0,VLOOKUP(A23,Schlußkurse!A$5:AU$105,36,FALSE)/VLOOKUP(A23,Buchwert_je_Aktie!A$3:AJ$103,7,FALSE),""),"")</f>
        <v>10.448877805486285</v>
      </c>
      <c r="E23" s="70">
        <f>IF(VLOOKUP(A23,Buchwert_je_Aktie!A$3:AJ$103,8,FALSE)&lt;&gt;"",IF(VLOOKUP(A23,Schlußkurse!A$5:AU$105,37,FALSE)&gt;0,VLOOKUP(A23,Schlußkurse!A$5:AU$105,37,FALSE)/VLOOKUP(A23,Buchwert_je_Aktie!A$3:AJ$103,8,FALSE),""),"")</f>
        <v>12.486754966887418</v>
      </c>
      <c r="F23" s="70">
        <f>IF(VLOOKUP(A23,Buchwert_je_Aktie!A$3:AJ$103,9,FALSE)&lt;&gt;"",IF(VLOOKUP(A23,Schlußkurse!A$5:AU$105,38,FALSE)&gt;0,VLOOKUP(A23,Schlußkurse!A$5:AU$105,38,FALSE)/VLOOKUP(A23,Buchwert_je_Aktie!A$3:AJ$103,9,FALSE),""),"")</f>
        <v>14.522821576763485</v>
      </c>
      <c r="G23" s="70">
        <f>IF(VLOOKUP(A23,Buchwert_je_Aktie!A$3:AJ$103,10,FALSE)&lt;&gt;"",IF(VLOOKUP(A23,Schlußkurse!A$5:AU$105,39,FALSE)&gt;0,VLOOKUP(A23,Schlußkurse!A$5:AU$105,39,FALSE)/VLOOKUP(A23,Buchwert_je_Aktie!A$3:AJ$103,10,FALSE),""),"")</f>
        <v>11.904411764705882</v>
      </c>
      <c r="H23" s="70">
        <f>IF(VLOOKUP(A23,Buchwert_je_Aktie!A$3:AJ$103,11,FALSE)&lt;&gt;"",IF(VLOOKUP(A23,Schlußkurse!A$5:AU$105,40,FALSE)&gt;0,VLOOKUP(A23,Schlußkurse!A$5:AU$105,40,FALSE)/VLOOKUP(A23,Buchwert_je_Aktie!A$3:AJ$103,11,FALSE),""),"")</f>
        <v>9.5443425076452595</v>
      </c>
      <c r="I23" s="70">
        <f>IF(VLOOKUP(A23,Buchwert_je_Aktie!A$3:AJ$103,12,FALSE)&lt;&gt;"",IF(VLOOKUP(A23,Schlußkurse!A$5:AU$105,41,FALSE)&gt;0,VLOOKUP(A23,Schlußkurse!A$5:AU$105,41,FALSE)/VLOOKUP(A23,Buchwert_je_Aktie!A$3:AJ$103,12,FALSE),""),"")</f>
        <v>8.2804878048780495</v>
      </c>
      <c r="J23" s="70">
        <f>IF(VLOOKUP(A23,Buchwert_je_Aktie!A$3:AJ$103,13,FALSE)&lt;&gt;"",IF(VLOOKUP(A23,Schlußkurse!A$5:AU$105,42,FALSE)&gt;0,VLOOKUP(A23,Schlußkurse!A$5:AU$105,42,FALSE)/VLOOKUP(A23,Buchwert_je_Aktie!A$3:AJ$103,13,FALSE),""),"")</f>
        <v>6.112903225806452</v>
      </c>
      <c r="K23" s="70">
        <f>IF(VLOOKUP(A23,Buchwert_je_Aktie!A$3:AJ$103,14,FALSE)&lt;&gt;"",IF(VLOOKUP(A23,Schlußkurse!A$5:AU$105,43,FALSE)&gt;0,VLOOKUP(A23,Schlußkurse!A$5:AU$105,43,FALSE)/VLOOKUP(A23,Buchwert_je_Aktie!A$3:AJ$103,14,FALSE),""),"")</f>
        <v>4.4416299559471364</v>
      </c>
      <c r="L23" s="70">
        <f>IF(VLOOKUP(A23,Buchwert_je_Aktie!A$3:AJ$103,15,FALSE)&lt;&gt;"",IF(VLOOKUP(A23,Schlußkurse!A$5:AU$105,44,FALSE)&gt;0,VLOOKUP(A23,Schlußkurse!A$5:AU$105,44,FALSE)/VLOOKUP(A23,Buchwert_je_Aktie!A$3:AJ$103,15,FALSE),""),"")</f>
        <v>4.7872340425531918</v>
      </c>
      <c r="M23" s="70">
        <f>IF(VLOOKUP(A23,Buchwert_je_Aktie!A$3:AJ$103,16,FALSE)&lt;&gt;"",IF(VLOOKUP(A23,Schlußkurse!A$5:AU$105,45,FALSE)&gt;0,VLOOKUP(A23,Schlußkurse!A$5:AU$105,45,FALSE)/VLOOKUP(A23,Buchwert_je_Aktie!A$3:AJ$103,16,FALSE),""),"")</f>
        <v>5.7288629737609327</v>
      </c>
      <c r="N23" s="70">
        <f>IF(VLOOKUP(A23,Buchwert_je_Aktie!A$3:AJ$103,17,FALSE)&lt;&gt;"",IF(VLOOKUP(A23,Schlußkurse!A$5:AU$105,46,FALSE)&gt;0,VLOOKUP(A23,Schlußkurse!A$5:AU$105,46,FALSE)/VLOOKUP(A23,Buchwert_je_Aktie!A$3:AJ$103,17,FALSE),""),"")</f>
        <v>4.2153392330383479</v>
      </c>
      <c r="O23" s="70" t="str">
        <f>IF(VLOOKUP(A23,Buchwert_je_Aktie!A$3:AJ$103,18,FALSE)&lt;&gt;"",IF(VLOOKUP(A23,Schlußkurse!A$5:AU$105,47,FALSE)&gt;0,VLOOKUP(A23,Schlußkurse!A$5:AU$105,47,FALSE)/VLOOKUP(A23,Buchwert_je_Aktie!A$3:AJ$103,18,FALSE),""),"")</f>
        <v/>
      </c>
      <c r="P23" s="70">
        <f t="shared" si="0"/>
        <v>8.9124151562616554</v>
      </c>
      <c r="Q23" s="3">
        <f ca="1">VLOOKUP(A23,Schlußkurse!A$5:AU$105,35,FALSE)/VLOOKUP(A23,Buchwert_je_Aktie!A$3:AK$103,23,FALSE)</f>
        <v>12.631896291829966</v>
      </c>
      <c r="R23" s="5">
        <f t="shared" ca="1" si="1"/>
        <v>0.41733705963585965</v>
      </c>
    </row>
    <row r="24" spans="1:18">
      <c r="A24" t="s">
        <v>32</v>
      </c>
      <c r="B24" s="38" t="s">
        <v>33</v>
      </c>
      <c r="C24" s="70">
        <f>IF(VLOOKUP(A24,Buchwert_je_Aktie!A$3:AJ$103,6,FALSE)&lt;&gt;"",IF(VLOOKUP(A24,Schlußkurse!A$5:AU$105,35,FALSE)&gt;0,VLOOKUP(A24,Schlußkurse!A$5:AU$105,35,FALSE) /VLOOKUP(A24,Buchwert_je_Aktie!A$3:AJ$103,6,FALSE),""),"")</f>
        <v>5.7981927710843371</v>
      </c>
      <c r="D24" s="70">
        <f>IF(VLOOKUP(A24,Buchwert_je_Aktie!A$3:AJ$103,7,FALSE)&lt;&gt;"",IF(VLOOKUP(A24,Schlußkurse!A$5:AU$105,36,FALSE)&gt;0,VLOOKUP(A24,Schlußkurse!A$5:AU$105,36,FALSE)/VLOOKUP(A24,Buchwert_je_Aktie!A$3:AJ$103,7,FALSE),""),"")</f>
        <v>6.0062402496099843</v>
      </c>
      <c r="E24" s="70">
        <f>IF(VLOOKUP(A24,Buchwert_je_Aktie!A$3:AJ$103,8,FALSE)&lt;&gt;"",IF(VLOOKUP(A24,Schlußkurse!A$5:AU$105,37,FALSE)&gt;0,VLOOKUP(A24,Schlußkurse!A$5:AU$105,37,FALSE)/VLOOKUP(A24,Buchwert_je_Aktie!A$3:AJ$103,8,FALSE),""),"")</f>
        <v>5.7073578595317729</v>
      </c>
      <c r="F24" s="70">
        <f>IF(VLOOKUP(A24,Buchwert_je_Aktie!A$3:AJ$103,9,FALSE)&lt;&gt;"",IF(VLOOKUP(A24,Schlußkurse!A$5:AU$105,38,FALSE)&gt;0,VLOOKUP(A24,Schlußkurse!A$5:AU$105,38,FALSE)/VLOOKUP(A24,Buchwert_je_Aktie!A$3:AJ$103,9,FALSE),""),"")</f>
        <v>5.1828793774319069</v>
      </c>
      <c r="G24" s="70">
        <f>IF(VLOOKUP(A24,Buchwert_je_Aktie!A$3:AJ$103,10,FALSE)&lt;&gt;"",IF(VLOOKUP(A24,Schlußkurse!A$5:AU$105,39,FALSE)&gt;0,VLOOKUP(A24,Schlußkurse!A$5:AU$105,39,FALSE)/VLOOKUP(A24,Buchwert_je_Aktie!A$3:AJ$103,10,FALSE),""),"")</f>
        <v>4.6768916155419227</v>
      </c>
      <c r="H24" s="70">
        <f>IF(VLOOKUP(A24,Buchwert_je_Aktie!A$3:AJ$103,11,FALSE)&lt;&gt;"",IF(VLOOKUP(A24,Schlußkurse!A$5:AU$105,40,FALSE)&gt;0,VLOOKUP(A24,Schlußkurse!A$5:AU$105,40,FALSE)/VLOOKUP(A24,Buchwert_je_Aktie!A$3:AJ$103,11,FALSE),""),"")</f>
        <v>4.3740458015267176</v>
      </c>
      <c r="I24" s="70">
        <f>IF(VLOOKUP(A24,Buchwert_je_Aktie!A$3:AJ$103,12,FALSE)&lt;&gt;"",IF(VLOOKUP(A24,Schlußkurse!A$5:AU$105,41,FALSE)&gt;0,VLOOKUP(A24,Schlußkurse!A$5:AU$105,41,FALSE)/VLOOKUP(A24,Buchwert_je_Aktie!A$3:AJ$103,12,FALSE),""),"")</f>
        <v>3.8477876106194686</v>
      </c>
      <c r="J24" s="70">
        <f>IF(VLOOKUP(A24,Buchwert_je_Aktie!A$3:AJ$103,13,FALSE)&lt;&gt;"",IF(VLOOKUP(A24,Schlußkurse!A$5:AU$105,42,FALSE)&gt;0,VLOOKUP(A24,Schlußkurse!A$5:AU$105,42,FALSE)/VLOOKUP(A24,Buchwert_je_Aktie!A$3:AJ$103,13,FALSE),""),"")</f>
        <v>2.6457461645746165</v>
      </c>
      <c r="K24" s="70">
        <f>IF(VLOOKUP(A24,Buchwert_je_Aktie!A$3:AJ$103,14,FALSE)&lt;&gt;"",IF(VLOOKUP(A24,Schlußkurse!A$5:AU$105,43,FALSE)&gt;0,VLOOKUP(A24,Schlußkurse!A$5:AU$105,43,FALSE)/VLOOKUP(A24,Buchwert_je_Aktie!A$3:AJ$103,14,FALSE),""),"")</f>
        <v>2.7477203647416411</v>
      </c>
      <c r="L24" s="70">
        <f>IF(VLOOKUP(A24,Buchwert_je_Aktie!A$3:AJ$103,15,FALSE)&lt;&gt;"",IF(VLOOKUP(A24,Schlußkurse!A$5:AU$105,44,FALSE)&gt;0,VLOOKUP(A24,Schlußkurse!A$5:AU$105,44,FALSE)/VLOOKUP(A24,Buchwert_je_Aktie!A$3:AJ$103,15,FALSE),""),"")</f>
        <v>2.9362745098039214</v>
      </c>
      <c r="M24" s="70">
        <f>IF(VLOOKUP(A24,Buchwert_je_Aktie!A$3:AJ$103,16,FALSE)&lt;&gt;"",IF(VLOOKUP(A24,Schlußkurse!A$5:AU$105,45,FALSE)&gt;0,VLOOKUP(A24,Schlußkurse!A$5:AU$105,45,FALSE)/VLOOKUP(A24,Buchwert_je_Aktie!A$3:AJ$103,16,FALSE),""),"")</f>
        <v>3.7918781725888326</v>
      </c>
      <c r="N24" s="70" t="str">
        <f>IF(VLOOKUP(A24,Buchwert_je_Aktie!A$3:AJ$103,17,FALSE)&lt;&gt;"",IF(VLOOKUP(A24,Schlußkurse!A$5:AU$105,46,FALSE)&gt;0,VLOOKUP(A24,Schlußkurse!A$5:AU$105,46,FALSE)/VLOOKUP(A24,Buchwert_je_Aktie!A$3:AJ$103,17,FALSE),""),"")</f>
        <v/>
      </c>
      <c r="O24" s="70" t="str">
        <f>IF(VLOOKUP(A24,Buchwert_je_Aktie!A$3:AJ$103,18,FALSE)&lt;&gt;"",IF(VLOOKUP(A24,Schlußkurse!A$5:AU$105,47,FALSE)&gt;0,VLOOKUP(A24,Schlußkurse!A$5:AU$105,47,FALSE)/VLOOKUP(A24,Buchwert_je_Aktie!A$3:AJ$103,18,FALSE),""),"")</f>
        <v/>
      </c>
      <c r="P24" s="70">
        <f t="shared" si="0"/>
        <v>4.3740458015267176</v>
      </c>
      <c r="Q24" s="3">
        <f ca="1">VLOOKUP(A24,Schlußkurse!A$5:AU$105,35,FALSE)/VLOOKUP(A24,Buchwert_je_Aktie!A$3:AK$103,23,FALSE)</f>
        <v>6.1920057899274914</v>
      </c>
      <c r="R24" s="5">
        <f t="shared" ca="1" si="1"/>
        <v>0.41562436034991501</v>
      </c>
    </row>
    <row r="25" spans="1:18">
      <c r="A25" t="s">
        <v>34</v>
      </c>
      <c r="B25" s="38" t="s">
        <v>35</v>
      </c>
      <c r="C25" s="70">
        <f>IF(VLOOKUP(A25,Buchwert_je_Aktie!A$3:AJ$103,6,FALSE)&lt;&gt;"",IF(VLOOKUP(A25,Schlußkurse!A$5:AU$105,35,FALSE)&gt;0,VLOOKUP(A25,Schlußkurse!A$5:AU$105,35,FALSE) /VLOOKUP(A25,Buchwert_je_Aktie!A$3:AJ$103,6,FALSE),""),"")</f>
        <v>1.0247747747747746</v>
      </c>
      <c r="D25" s="70">
        <f>IF(VLOOKUP(A25,Buchwert_je_Aktie!A$3:AJ$103,7,FALSE)&lt;&gt;"",IF(VLOOKUP(A25,Schlußkurse!A$5:AU$105,36,FALSE)&gt;0,VLOOKUP(A25,Schlußkurse!A$5:AU$105,36,FALSE)/VLOOKUP(A25,Buchwert_je_Aktie!A$3:AJ$103,7,FALSE),""),"")</f>
        <v>0.9787610619469026</v>
      </c>
      <c r="E25" s="70">
        <f>IF(VLOOKUP(A25,Buchwert_je_Aktie!A$3:AJ$103,8,FALSE)&lt;&gt;"",IF(VLOOKUP(A25,Schlußkurse!A$5:AU$105,37,FALSE)&gt;0,VLOOKUP(A25,Schlußkurse!A$5:AU$105,37,FALSE)/VLOOKUP(A25,Buchwert_je_Aktie!A$3:AJ$103,8,FALSE),""),"")</f>
        <v>0.95021551724137931</v>
      </c>
      <c r="F25" s="70">
        <f>IF(VLOOKUP(A25,Buchwert_je_Aktie!A$3:AJ$103,9,FALSE)&lt;&gt;"",IF(VLOOKUP(A25,Schlußkurse!A$5:AU$105,38,FALSE)&gt;0,VLOOKUP(A25,Schlußkurse!A$5:AU$105,38,FALSE)/VLOOKUP(A25,Buchwert_je_Aktie!A$3:AJ$103,9,FALSE),""),"")</f>
        <v>0.95782608695652172</v>
      </c>
      <c r="G25" s="70">
        <f>IF(VLOOKUP(A25,Buchwert_je_Aktie!A$3:AJ$103,10,FALSE)&lt;&gt;"",IF(VLOOKUP(A25,Schlußkurse!A$5:AU$105,39,FALSE)&gt;0,VLOOKUP(A25,Schlußkurse!A$5:AU$105,39,FALSE)/VLOOKUP(A25,Buchwert_je_Aktie!A$3:AJ$103,10,FALSE),""),"")</f>
        <v>0.75853658536585367</v>
      </c>
      <c r="H25" s="70" t="str">
        <f>IF(VLOOKUP(A25,Buchwert_je_Aktie!A$3:AJ$103,11,FALSE)&lt;&gt;"",IF(VLOOKUP(A25,Schlußkurse!A$5:AU$105,40,FALSE)&gt;0,VLOOKUP(A25,Schlußkurse!A$5:AU$105,40,FALSE)/VLOOKUP(A25,Buchwert_je_Aktie!A$3:AJ$103,11,FALSE),""),"")</f>
        <v/>
      </c>
      <c r="I25" s="70" t="str">
        <f>IF(VLOOKUP(A25,Buchwert_je_Aktie!A$3:AJ$103,12,FALSE)&lt;&gt;"",IF(VLOOKUP(A25,Schlußkurse!A$5:AU$105,41,FALSE)&gt;0,VLOOKUP(A25,Schlußkurse!A$5:AU$105,41,FALSE)/VLOOKUP(A25,Buchwert_je_Aktie!A$3:AJ$103,12,FALSE),""),"")</f>
        <v/>
      </c>
      <c r="J25" s="70" t="str">
        <f>IF(VLOOKUP(A25,Buchwert_je_Aktie!A$3:AJ$103,13,FALSE)&lt;&gt;"",IF(VLOOKUP(A25,Schlußkurse!A$5:AU$105,42,FALSE)&gt;0,VLOOKUP(A25,Schlußkurse!A$5:AU$105,42,FALSE)/VLOOKUP(A25,Buchwert_je_Aktie!A$3:AJ$103,13,FALSE),""),"")</f>
        <v/>
      </c>
      <c r="K25" s="70" t="str">
        <f>IF(VLOOKUP(A25,Buchwert_je_Aktie!A$3:AJ$103,14,FALSE)&lt;&gt;"",IF(VLOOKUP(A25,Schlußkurse!A$5:AU$105,43,FALSE)&gt;0,VLOOKUP(A25,Schlußkurse!A$5:AU$105,43,FALSE)/VLOOKUP(A25,Buchwert_je_Aktie!A$3:AJ$103,14,FALSE),""),"")</f>
        <v/>
      </c>
      <c r="L25" s="70" t="str">
        <f>IF(VLOOKUP(A25,Buchwert_je_Aktie!A$3:AJ$103,15,FALSE)&lt;&gt;"",IF(VLOOKUP(A25,Schlußkurse!A$5:AU$105,44,FALSE)&gt;0,VLOOKUP(A25,Schlußkurse!A$5:AU$105,44,FALSE)/VLOOKUP(A25,Buchwert_je_Aktie!A$3:AJ$103,15,FALSE),""),"")</f>
        <v/>
      </c>
      <c r="M25" s="70" t="str">
        <f>IF(VLOOKUP(A25,Buchwert_je_Aktie!A$3:AJ$103,16,FALSE)&lt;&gt;"",IF(VLOOKUP(A25,Schlußkurse!A$5:AU$105,45,FALSE)&gt;0,VLOOKUP(A25,Schlußkurse!A$5:AU$105,45,FALSE)/VLOOKUP(A25,Buchwert_je_Aktie!A$3:AJ$103,16,FALSE),""),"")</f>
        <v/>
      </c>
      <c r="N25" s="70" t="str">
        <f>IF(VLOOKUP(A25,Buchwert_je_Aktie!A$3:AJ$103,17,FALSE)&lt;&gt;"",IF(VLOOKUP(A25,Schlußkurse!A$5:AU$105,46,FALSE)&gt;0,VLOOKUP(A25,Schlußkurse!A$5:AU$105,46,FALSE)/VLOOKUP(A25,Buchwert_je_Aktie!A$3:AJ$103,17,FALSE),""),"")</f>
        <v/>
      </c>
      <c r="O25" s="70" t="str">
        <f>IF(VLOOKUP(A25,Buchwert_je_Aktie!A$3:AJ$103,18,FALSE)&lt;&gt;"",IF(VLOOKUP(A25,Schlußkurse!A$5:AU$105,47,FALSE)&gt;0,VLOOKUP(A25,Schlußkurse!A$5:AU$105,47,FALSE)/VLOOKUP(A25,Buchwert_je_Aktie!A$3:AJ$103,18,FALSE),""),"")</f>
        <v/>
      </c>
      <c r="P25" s="70">
        <f t="shared" si="0"/>
        <v>0.95782608695652172</v>
      </c>
      <c r="Q25" s="3">
        <f ca="1">VLOOKUP(A25,Schlußkurse!A$5:AU$105,35,FALSE)/VLOOKUP(A25,Buchwert_je_Aktie!A$3:AK$103,23,FALSE)</f>
        <v>1.0075287865367579</v>
      </c>
      <c r="R25" s="5">
        <f t="shared" ca="1" si="1"/>
        <v>5.1891152534971896E-2</v>
      </c>
    </row>
    <row r="26" spans="1:18">
      <c r="A26" t="s">
        <v>277</v>
      </c>
      <c r="B26" s="38" t="s">
        <v>278</v>
      </c>
      <c r="C26" s="70">
        <f>IF(VLOOKUP(A26,Buchwert_je_Aktie!A$3:AJ$103,6,FALSE)&lt;&gt;"",IF(VLOOKUP(A26,Schlußkurse!A$5:AU$105,35,FALSE)&gt;0,VLOOKUP(A26,Schlußkurse!A$5:AU$105,35,FALSE) /VLOOKUP(A26,Buchwert_je_Aktie!A$3:AJ$103,6,FALSE),""),"")</f>
        <v>7.8902097902097896</v>
      </c>
      <c r="D26" s="70">
        <f>IF(VLOOKUP(A26,Buchwert_je_Aktie!A$3:AJ$103,7,FALSE)&lt;&gt;"",IF(VLOOKUP(A26,Schlußkurse!A$5:AU$105,36,FALSE)&gt;0,VLOOKUP(A26,Schlußkurse!A$5:AU$105,36,FALSE)/VLOOKUP(A26,Buchwert_je_Aktie!A$3:AJ$103,7,FALSE),""),"")</f>
        <v>9.811304347826086</v>
      </c>
      <c r="E26" s="70">
        <f>IF(VLOOKUP(A26,Buchwert_je_Aktie!A$3:AJ$103,8,FALSE)&lt;&gt;"",IF(VLOOKUP(A26,Schlußkurse!A$5:AU$105,37,FALSE)&gt;0,VLOOKUP(A26,Schlußkurse!A$5:AU$105,37,FALSE)/VLOOKUP(A26,Buchwert_je_Aktie!A$3:AJ$103,8,FALSE),""),"")</f>
        <v>8.9780952380952375</v>
      </c>
      <c r="F26" s="70">
        <f>IF(VLOOKUP(A26,Buchwert_je_Aktie!A$3:AJ$103,9,FALSE)&lt;&gt;"",IF(VLOOKUP(A26,Schlußkurse!A$5:AU$105,38,FALSE)&gt;0,VLOOKUP(A26,Schlußkurse!A$5:AU$105,38,FALSE)/VLOOKUP(A26,Buchwert_je_Aktie!A$3:AJ$103,9,FALSE),""),"")</f>
        <v>8.5868644067796609</v>
      </c>
      <c r="G26" s="70">
        <f>IF(VLOOKUP(A26,Buchwert_je_Aktie!A$3:AJ$103,10,FALSE)&lt;&gt;"",IF(VLOOKUP(A26,Schlußkurse!A$5:AU$105,39,FALSE)&gt;0,VLOOKUP(A26,Schlußkurse!A$5:AU$105,39,FALSE)/VLOOKUP(A26,Buchwert_je_Aktie!A$3:AJ$103,10,FALSE),""),"")</f>
        <v>8.2760595647193576</v>
      </c>
      <c r="H26" s="70">
        <f>IF(VLOOKUP(A26,Buchwert_je_Aktie!A$3:AJ$103,11,FALSE)&lt;&gt;"",IF(VLOOKUP(A26,Schlußkurse!A$5:AU$105,40,FALSE)&gt;0,VLOOKUP(A26,Schlußkurse!A$5:AU$105,40,FALSE)/VLOOKUP(A26,Buchwert_je_Aktie!A$3:AJ$103,11,FALSE),""),"")</f>
        <v>8.279569892473118</v>
      </c>
      <c r="I26" s="70">
        <f>IF(VLOOKUP(A26,Buchwert_je_Aktie!A$3:AJ$103,12,FALSE)&lt;&gt;"",IF(VLOOKUP(A26,Schlußkurse!A$5:AU$105,41,FALSE)&gt;0,VLOOKUP(A26,Schlußkurse!A$5:AU$105,41,FALSE)/VLOOKUP(A26,Buchwert_je_Aktie!A$3:AJ$103,12,FALSE),""),"")</f>
        <v>8.7422512234910279</v>
      </c>
      <c r="J26" s="70">
        <f>IF(VLOOKUP(A26,Buchwert_je_Aktie!A$3:AJ$103,13,FALSE)&lt;&gt;"",IF(VLOOKUP(A26,Schlußkurse!A$5:AU$105,42,FALSE)&gt;0,VLOOKUP(A26,Schlußkurse!A$5:AU$105,42,FALSE)/VLOOKUP(A26,Buchwert_je_Aktie!A$3:AJ$103,13,FALSE),""),"")</f>
        <v>6.512455516014235</v>
      </c>
      <c r="K26" s="70">
        <f>IF(VLOOKUP(A26,Buchwert_je_Aktie!A$3:AJ$103,14,FALSE)&lt;&gt;"",IF(VLOOKUP(A26,Schlußkurse!A$5:AU$105,43,FALSE)&gt;0,VLOOKUP(A26,Schlußkurse!A$5:AU$105,43,FALSE)/VLOOKUP(A26,Buchwert_je_Aktie!A$3:AJ$103,14,FALSE),""),"")</f>
        <v>8.108108108108107</v>
      </c>
      <c r="L26" s="70">
        <f>IF(VLOOKUP(A26,Buchwert_je_Aktie!A$3:AJ$103,15,FALSE)&lt;&gt;"",IF(VLOOKUP(A26,Schlußkurse!A$5:AU$105,44,FALSE)&gt;0,VLOOKUP(A26,Schlußkurse!A$5:AU$105,44,FALSE)/VLOOKUP(A26,Buchwert_je_Aktie!A$3:AJ$103,15,FALSE),""),"")</f>
        <v>10.391959798994975</v>
      </c>
      <c r="M26" s="70">
        <f>IF(VLOOKUP(A26,Buchwert_je_Aktie!A$3:AJ$103,16,FALSE)&lt;&gt;"",IF(VLOOKUP(A26,Schlußkurse!A$5:AU$105,45,FALSE)&gt;0,VLOOKUP(A26,Schlußkurse!A$5:AU$105,45,FALSE)/VLOOKUP(A26,Buchwert_je_Aktie!A$3:AJ$103,16,FALSE),""),"")</f>
        <v>11.876080691642651</v>
      </c>
      <c r="N26" s="70">
        <f>IF(VLOOKUP(A26,Buchwert_je_Aktie!A$3:AJ$103,17,FALSE)&lt;&gt;"",IF(VLOOKUP(A26,Schlußkurse!A$5:AU$105,46,FALSE)&gt;0,VLOOKUP(A26,Schlußkurse!A$5:AU$105,46,FALSE)/VLOOKUP(A26,Buchwert_je_Aktie!A$3:AJ$103,17,FALSE),""),"")</f>
        <v>10.944649446494465</v>
      </c>
      <c r="O26" s="70">
        <f>IF(VLOOKUP(A26,Buchwert_je_Aktie!A$3:AJ$103,18,FALSE)&lt;&gt;"",IF(VLOOKUP(A26,Schlußkurse!A$5:AU$105,47,FALSE)&gt;0,VLOOKUP(A26,Schlußkurse!A$5:AU$105,47,FALSE)/VLOOKUP(A26,Buchwert_je_Aktie!A$3:AJ$103,18,FALSE),""),"")</f>
        <v>10.655021834061134</v>
      </c>
      <c r="P26" s="70">
        <f t="shared" si="0"/>
        <v>8.7422512234910279</v>
      </c>
      <c r="Q26" s="3">
        <f ca="1">VLOOKUP(A26,Schlußkurse!A$5:AU$105,35,FALSE)/VLOOKUP(A26,Buchwert_je_Aktie!A$3:AK$103,23,FALSE)</f>
        <v>10.134431137724551</v>
      </c>
      <c r="R26" s="5">
        <f t="shared" ca="1" si="1"/>
        <v>0.15924730125492625</v>
      </c>
    </row>
    <row r="27" spans="1:18">
      <c r="A27" t="s">
        <v>36</v>
      </c>
      <c r="B27" s="38" t="s">
        <v>37</v>
      </c>
      <c r="C27" s="70">
        <f>IF(VLOOKUP(A27,Buchwert_je_Aktie!A$3:AJ$103,6,FALSE)&lt;&gt;"",IF(VLOOKUP(A27,Schlußkurse!A$5:AU$105,35,FALSE)&gt;0,VLOOKUP(A27,Schlußkurse!A$5:AU$105,35,FALSE) /VLOOKUP(A27,Buchwert_je_Aktie!A$3:AJ$103,6,FALSE),""),"")</f>
        <v>5.6880403458213253</v>
      </c>
      <c r="D27" s="70">
        <f>IF(VLOOKUP(A27,Buchwert_je_Aktie!A$3:AJ$103,7,FALSE)&lt;&gt;"",IF(VLOOKUP(A27,Schlußkurse!A$5:AU$105,36,FALSE)&gt;0,VLOOKUP(A27,Schlußkurse!A$5:AU$105,36,FALSE)/VLOOKUP(A27,Buchwert_je_Aktie!A$3:AJ$103,7,FALSE),""),"")</f>
        <v>6.1201550387596901</v>
      </c>
      <c r="E27" s="70">
        <f>IF(VLOOKUP(A27,Buchwert_je_Aktie!A$3:AJ$103,8,FALSE)&lt;&gt;"",IF(VLOOKUP(A27,Schlußkurse!A$5:AU$105,37,FALSE)&gt;0,VLOOKUP(A27,Schlußkurse!A$5:AU$105,37,FALSE)/VLOOKUP(A27,Buchwert_je_Aktie!A$3:AJ$103,8,FALSE),""),"")</f>
        <v>6.902753872633391</v>
      </c>
      <c r="F27" s="70">
        <f>IF(VLOOKUP(A27,Buchwert_je_Aktie!A$3:AJ$103,9,FALSE)&lt;&gt;"",IF(VLOOKUP(A27,Schlußkurse!A$5:AU$105,38,FALSE)&gt;0,VLOOKUP(A27,Schlußkurse!A$5:AU$105,38,FALSE)/VLOOKUP(A27,Buchwert_je_Aktie!A$3:AJ$103,9,FALSE),""),"")</f>
        <v>6.3378640776699022</v>
      </c>
      <c r="G27" s="70">
        <f>IF(VLOOKUP(A27,Buchwert_je_Aktie!A$3:AJ$103,10,FALSE)&lt;&gt;"",IF(VLOOKUP(A27,Schlußkurse!A$5:AU$105,39,FALSE)&gt;0,VLOOKUP(A27,Schlußkurse!A$5:AU$105,39,FALSE)/VLOOKUP(A27,Buchwert_je_Aktie!A$3:AJ$103,10,FALSE),""),"")</f>
        <v>6.4340659340659343</v>
      </c>
      <c r="H27" s="70">
        <f>IF(VLOOKUP(A27,Buchwert_je_Aktie!A$3:AJ$103,11,FALSE)&lt;&gt;"",IF(VLOOKUP(A27,Schlußkurse!A$5:AU$105,40,FALSE)&gt;0,VLOOKUP(A27,Schlußkurse!A$5:AU$105,40,FALSE)/VLOOKUP(A27,Buchwert_je_Aktie!A$3:AJ$103,11,FALSE),""),"")</f>
        <v>6.0324267782426775</v>
      </c>
      <c r="I27" s="70">
        <f>IF(VLOOKUP(A27,Buchwert_je_Aktie!A$3:AJ$103,12,FALSE)&lt;&gt;"",IF(VLOOKUP(A27,Schlußkurse!A$5:AU$105,41,FALSE)&gt;0,VLOOKUP(A27,Schlußkurse!A$5:AU$105,41,FALSE)/VLOOKUP(A27,Buchwert_je_Aktie!A$3:AJ$103,12,FALSE),""),"")</f>
        <v>5.2613861386138616</v>
      </c>
      <c r="J27" s="70">
        <f>IF(VLOOKUP(A27,Buchwert_je_Aktie!A$3:AJ$103,13,FALSE)&lt;&gt;"",IF(VLOOKUP(A27,Schlußkurse!A$5:AU$105,42,FALSE)&gt;0,VLOOKUP(A27,Schlußkurse!A$5:AU$105,42,FALSE)/VLOOKUP(A27,Buchwert_je_Aktie!A$3:AJ$103,13,FALSE),""),"")</f>
        <v>4.8949579831932777</v>
      </c>
      <c r="K27" s="70">
        <f>IF(VLOOKUP(A27,Buchwert_je_Aktie!A$3:AJ$103,14,FALSE)&lt;&gt;"",IF(VLOOKUP(A27,Schlußkurse!A$5:AU$105,43,FALSE)&gt;0,VLOOKUP(A27,Schlußkurse!A$5:AU$105,43,FALSE)/VLOOKUP(A27,Buchwert_je_Aktie!A$3:AJ$103,14,FALSE),""),"")</f>
        <v>4.7101449275362315</v>
      </c>
      <c r="L27" s="70">
        <f>IF(VLOOKUP(A27,Buchwert_je_Aktie!A$3:AJ$103,15,FALSE)&lt;&gt;"",IF(VLOOKUP(A27,Schlußkurse!A$5:AU$105,44,FALSE)&gt;0,VLOOKUP(A27,Schlußkurse!A$5:AU$105,44,FALSE)/VLOOKUP(A27,Buchwert_je_Aktie!A$3:AJ$103,15,FALSE),""),"")</f>
        <v>4.3134328358208958</v>
      </c>
      <c r="M27" s="70">
        <f>IF(VLOOKUP(A27,Buchwert_je_Aktie!A$3:AJ$103,16,FALSE)&lt;&gt;"",IF(VLOOKUP(A27,Schlußkurse!A$5:AU$105,45,FALSE)&gt;0,VLOOKUP(A27,Schlußkurse!A$5:AU$105,45,FALSE)/VLOOKUP(A27,Buchwert_je_Aktie!A$3:AJ$103,16,FALSE),""),"")</f>
        <v>7.5753012048192767</v>
      </c>
      <c r="N27" s="70">
        <f>IF(VLOOKUP(A27,Buchwert_je_Aktie!A$3:AJ$103,17,FALSE)&lt;&gt;"",IF(VLOOKUP(A27,Schlußkurse!A$5:AU$105,46,FALSE)&gt;0,VLOOKUP(A27,Schlußkurse!A$5:AU$105,46,FALSE)/VLOOKUP(A27,Buchwert_je_Aktie!A$3:AJ$103,17,FALSE),""),"")</f>
        <v>5.0121065375302667</v>
      </c>
      <c r="O27" s="70">
        <f>IF(VLOOKUP(A27,Buchwert_je_Aktie!A$3:AJ$103,18,FALSE)&lt;&gt;"",IF(VLOOKUP(A27,Schlußkurse!A$5:AU$105,47,FALSE)&gt;0,VLOOKUP(A27,Schlußkurse!A$5:AU$105,47,FALSE)/VLOOKUP(A27,Buchwert_je_Aktie!A$3:AJ$103,18,FALSE),""),"")</f>
        <v>5.1558823529411768</v>
      </c>
      <c r="P27" s="70">
        <f t="shared" si="0"/>
        <v>5.6880403458213253</v>
      </c>
      <c r="Q27" s="3">
        <f ca="1">VLOOKUP(A27,Schlußkurse!A$5:AU$105,35,FALSE)/VLOOKUP(A27,Buchwert_je_Aktie!A$3:AK$103,23,FALSE)</f>
        <v>6.5769743418860394</v>
      </c>
      <c r="R27" s="5">
        <f t="shared" ca="1" si="1"/>
        <v>0.15628123958680473</v>
      </c>
    </row>
    <row r="28" spans="1:18">
      <c r="A28" t="s">
        <v>38</v>
      </c>
      <c r="B28" s="38" t="s">
        <v>39</v>
      </c>
      <c r="C28" s="70">
        <f>IF(VLOOKUP(A28,Buchwert_je_Aktie!A$3:AJ$103,6,FALSE)&lt;&gt;"",IF(VLOOKUP(A28,Schlußkurse!A$5:AU$105,35,FALSE)&gt;0,VLOOKUP(A28,Schlußkurse!A$5:AU$105,35,FALSE) /VLOOKUP(A28,Buchwert_je_Aktie!A$3:AJ$103,6,FALSE),""),"")</f>
        <v>1.75</v>
      </c>
      <c r="D28" s="70">
        <f>IF(VLOOKUP(A28,Buchwert_je_Aktie!A$3:AJ$103,7,FALSE)&lt;&gt;"",IF(VLOOKUP(A28,Schlußkurse!A$5:AU$105,36,FALSE)&gt;0,VLOOKUP(A28,Schlußkurse!A$5:AU$105,36,FALSE)/VLOOKUP(A28,Buchwert_je_Aktie!A$3:AJ$103,7,FALSE),""),"")</f>
        <v>1.8421052631578949</v>
      </c>
      <c r="E28" s="70">
        <f>IF(VLOOKUP(A28,Buchwert_je_Aktie!A$3:AJ$103,8,FALSE)&lt;&gt;"",IF(VLOOKUP(A28,Schlußkurse!A$5:AU$105,37,FALSE)&gt;0,VLOOKUP(A28,Schlußkurse!A$5:AU$105,37,FALSE)/VLOOKUP(A28,Buchwert_je_Aktie!A$3:AJ$103,8,FALSE),""),"")</f>
        <v>1.755612244897959</v>
      </c>
      <c r="F28" s="70">
        <f>IF(VLOOKUP(A28,Buchwert_je_Aktie!A$3:AJ$103,9,FALSE)&lt;&gt;"",IF(VLOOKUP(A28,Schlußkurse!A$5:AU$105,38,FALSE)&gt;0,VLOOKUP(A28,Schlußkurse!A$5:AU$105,38,FALSE)/VLOOKUP(A28,Buchwert_je_Aktie!A$3:AJ$103,9,FALSE),""),"")</f>
        <v>1.6694831013916502</v>
      </c>
      <c r="G28" s="70">
        <f>IF(VLOOKUP(A28,Buchwert_je_Aktie!A$3:AJ$103,10,FALSE)&lt;&gt;"",IF(VLOOKUP(A28,Schlußkurse!A$5:AU$105,39,FALSE)&gt;0,VLOOKUP(A28,Schlußkurse!A$5:AU$105,39,FALSE)/VLOOKUP(A28,Buchwert_je_Aktie!A$3:AJ$103,10,FALSE),""),"")</f>
        <v>2.0978520286396178</v>
      </c>
      <c r="H28" s="70">
        <f>IF(VLOOKUP(A28,Buchwert_je_Aktie!A$3:AJ$103,11,FALSE)&lt;&gt;"",IF(VLOOKUP(A28,Schlußkurse!A$5:AU$105,40,FALSE)&gt;0,VLOOKUP(A28,Schlußkurse!A$5:AU$105,40,FALSE)/VLOOKUP(A28,Buchwert_je_Aktie!A$3:AJ$103,11,FALSE),""),"")</f>
        <v>1.9262857142857144</v>
      </c>
      <c r="I28" s="70">
        <f>IF(VLOOKUP(A28,Buchwert_je_Aktie!A$3:AJ$103,12,FALSE)&lt;&gt;"",IF(VLOOKUP(A28,Schlußkurse!A$5:AU$105,41,FALSE)&gt;0,VLOOKUP(A28,Schlußkurse!A$5:AU$105,41,FALSE)/VLOOKUP(A28,Buchwert_je_Aktie!A$3:AJ$103,12,FALSE),""),"")</f>
        <v>1.8205900060204696</v>
      </c>
      <c r="J28" s="70">
        <f>IF(VLOOKUP(A28,Buchwert_je_Aktie!A$3:AJ$103,13,FALSE)&lt;&gt;"",IF(VLOOKUP(A28,Schlußkurse!A$5:AU$105,42,FALSE)&gt;0,VLOOKUP(A28,Schlußkurse!A$5:AU$105,42,FALSE)/VLOOKUP(A28,Buchwert_je_Aktie!A$3:AJ$103,13,FALSE),""),"")</f>
        <v>1.6459383753501398</v>
      </c>
      <c r="K28" s="70">
        <f>IF(VLOOKUP(A28,Buchwert_je_Aktie!A$3:AJ$103,14,FALSE)&lt;&gt;"",IF(VLOOKUP(A28,Schlußkurse!A$5:AU$105,43,FALSE)&gt;0,VLOOKUP(A28,Schlußkurse!A$5:AU$105,43,FALSE)/VLOOKUP(A28,Buchwert_je_Aktie!A$3:AJ$103,14,FALSE),""),"")</f>
        <v>1.4799366420274551</v>
      </c>
      <c r="L28" s="70">
        <f>IF(VLOOKUP(A28,Buchwert_je_Aktie!A$3:AJ$103,15,FALSE)&lt;&gt;"",IF(VLOOKUP(A28,Schlußkurse!A$5:AU$105,44,FALSE)&gt;0,VLOOKUP(A28,Schlußkurse!A$5:AU$105,44,FALSE)/VLOOKUP(A28,Buchwert_je_Aktie!A$3:AJ$103,15,FALSE),""),"")</f>
        <v>1.6435986159169551</v>
      </c>
      <c r="M28" s="70">
        <f>IF(VLOOKUP(A28,Buchwert_je_Aktie!A$3:AJ$103,16,FALSE)&lt;&gt;"",IF(VLOOKUP(A28,Schlußkurse!A$5:AU$105,45,FALSE)&gt;0,VLOOKUP(A28,Schlußkurse!A$5:AU$105,45,FALSE)/VLOOKUP(A28,Buchwert_je_Aktie!A$3:AJ$103,16,FALSE),""),"")</f>
        <v>2.5418960244648319</v>
      </c>
      <c r="N28" s="70">
        <f>IF(VLOOKUP(A28,Buchwert_je_Aktie!A$3:AJ$103,17,FALSE)&lt;&gt;"",IF(VLOOKUP(A28,Schlußkurse!A$5:AU$105,46,FALSE)&gt;0,VLOOKUP(A28,Schlußkurse!A$5:AU$105,46,FALSE)/VLOOKUP(A28,Buchwert_je_Aktie!A$3:AJ$103,17,FALSE),""),"")</f>
        <v>1.8727082242011523</v>
      </c>
      <c r="O28" s="70">
        <f>IF(VLOOKUP(A28,Buchwert_je_Aktie!A$3:AJ$103,18,FALSE)&lt;&gt;"",IF(VLOOKUP(A28,Schlußkurse!A$5:AU$105,47,FALSE)&gt;0,VLOOKUP(A28,Schlußkurse!A$5:AU$105,47,FALSE)/VLOOKUP(A28,Buchwert_je_Aktie!A$3:AJ$103,18,FALSE),""),"")</f>
        <v>1.3223542116630669</v>
      </c>
      <c r="P28" s="70">
        <f t="shared" si="0"/>
        <v>1.755612244897959</v>
      </c>
      <c r="Q28" s="3">
        <f ca="1">VLOOKUP(A28,Schlußkurse!A$5:AU$105,35,FALSE)/VLOOKUP(A28,Buchwert_je_Aktie!A$3:AK$103,23,FALSE)</f>
        <v>1.9259629814907451</v>
      </c>
      <c r="R28" s="5">
        <f t="shared" ca="1" si="1"/>
        <v>9.7032096402749346E-2</v>
      </c>
    </row>
    <row r="29" spans="1:18">
      <c r="A29" t="s">
        <v>318</v>
      </c>
      <c r="B29" s="38" t="s">
        <v>319</v>
      </c>
      <c r="C29" s="70">
        <f>IF(VLOOKUP(A29,Buchwert_je_Aktie!A$3:AJ$103,6,FALSE)&lt;&gt;"",IF(VLOOKUP(A29,Schlußkurse!A$5:AU$105,35,FALSE)&gt;0,VLOOKUP(A29,Schlußkurse!A$5:AU$105,35,FALSE) /VLOOKUP(A29,Buchwert_je_Aktie!A$3:AJ$103,6,FALSE),""),"")</f>
        <v>2.565777027027027</v>
      </c>
      <c r="D29" s="70">
        <f>IF(VLOOKUP(A29,Buchwert_je_Aktie!A$3:AJ$103,7,FALSE)&lt;&gt;"",IF(VLOOKUP(A29,Schlußkurse!A$5:AU$105,36,FALSE)&gt;0,VLOOKUP(A29,Schlußkurse!A$5:AU$105,36,FALSE)/VLOOKUP(A29,Buchwert_je_Aktie!A$3:AJ$103,7,FALSE),""),"")</f>
        <v>3.0018577075098816</v>
      </c>
      <c r="E29" s="70">
        <f>IF(VLOOKUP(A29,Buchwert_je_Aktie!A$3:AJ$103,8,FALSE)&lt;&gt;"",IF(VLOOKUP(A29,Schlußkurse!A$5:AU$105,37,FALSE)&gt;0,VLOOKUP(A29,Schlußkurse!A$5:AU$105,37,FALSE)/VLOOKUP(A29,Buchwert_je_Aktie!A$3:AJ$103,8,FALSE),""),"")</f>
        <v>3.6526291079812205</v>
      </c>
      <c r="F29" s="70">
        <f>IF(VLOOKUP(A29,Buchwert_je_Aktie!A$3:AJ$103,9,FALSE)&lt;&gt;"",IF(VLOOKUP(A29,Schlußkurse!A$5:AU$105,38,FALSE)&gt;0,VLOOKUP(A29,Schlußkurse!A$5:AU$105,38,FALSE)/VLOOKUP(A29,Buchwert_je_Aktie!A$3:AJ$103,9,FALSE),""),"")</f>
        <v>3.0311304049808649</v>
      </c>
      <c r="G29" s="70">
        <f>IF(VLOOKUP(A29,Buchwert_je_Aktie!A$3:AJ$103,10,FALSE)&lt;&gt;"",IF(VLOOKUP(A29,Schlußkurse!A$5:AU$105,39,FALSE)&gt;0,VLOOKUP(A29,Schlußkurse!A$5:AU$105,39,FALSE)/VLOOKUP(A29,Buchwert_je_Aktie!A$3:AJ$103,10,FALSE),""),"")</f>
        <v>3.6471947409528771</v>
      </c>
      <c r="H29" s="70">
        <f>IF(VLOOKUP(A29,Buchwert_je_Aktie!A$3:AJ$103,11,FALSE)&lt;&gt;"",IF(VLOOKUP(A29,Schlußkurse!A$5:AU$105,40,FALSE)&gt;0,VLOOKUP(A29,Schlußkurse!A$5:AU$105,40,FALSE)/VLOOKUP(A29,Buchwert_je_Aktie!A$3:AJ$103,11,FALSE),""),"")</f>
        <v>2.7209016078159856</v>
      </c>
      <c r="I29" s="70">
        <f>IF(VLOOKUP(A29,Buchwert_je_Aktie!A$3:AJ$103,12,FALSE)&lt;&gt;"",IF(VLOOKUP(A29,Schlußkurse!A$5:AU$105,41,FALSE)&gt;0,VLOOKUP(A29,Schlußkurse!A$5:AU$105,41,FALSE)/VLOOKUP(A29,Buchwert_je_Aktie!A$3:AJ$103,12,FALSE),""),"")</f>
        <v>2.9718413545596758</v>
      </c>
      <c r="J29" s="70">
        <f>IF(VLOOKUP(A29,Buchwert_je_Aktie!A$3:AJ$103,13,FALSE)&lt;&gt;"",IF(VLOOKUP(A29,Schlußkurse!A$5:AU$105,42,FALSE)&gt;0,VLOOKUP(A29,Schlußkurse!A$5:AU$105,42,FALSE)/VLOOKUP(A29,Buchwert_je_Aktie!A$3:AJ$103,13,FALSE),""),"")</f>
        <v>3.3190657130084933</v>
      </c>
      <c r="K29" s="70">
        <f>IF(VLOOKUP(A29,Buchwert_je_Aktie!A$3:AJ$103,14,FALSE)&lt;&gt;"",IF(VLOOKUP(A29,Schlußkurse!A$5:AU$105,43,FALSE)&gt;0,VLOOKUP(A29,Schlußkurse!A$5:AU$105,43,FALSE)/VLOOKUP(A29,Buchwert_je_Aktie!A$3:AJ$103,14,FALSE),""),"")</f>
        <v>4.3078098943857706</v>
      </c>
      <c r="L29" s="70">
        <f>IF(VLOOKUP(A29,Buchwert_je_Aktie!A$3:AJ$103,15,FALSE)&lt;&gt;"",IF(VLOOKUP(A29,Schlußkurse!A$5:AU$105,44,FALSE)&gt;0,VLOOKUP(A29,Schlußkurse!A$5:AU$105,44,FALSE)/VLOOKUP(A29,Buchwert_je_Aktie!A$3:AJ$103,15,FALSE),""),"")</f>
        <v>2.7152691968225948</v>
      </c>
      <c r="M29" s="70">
        <f>IF(VLOOKUP(A29,Buchwert_je_Aktie!A$3:AJ$103,16,FALSE)&lt;&gt;"",IF(VLOOKUP(A29,Schlußkurse!A$5:AU$105,45,FALSE)&gt;0,VLOOKUP(A29,Schlußkurse!A$5:AU$105,45,FALSE)/VLOOKUP(A29,Buchwert_je_Aktie!A$3:AJ$103,16,FALSE),""),"")</f>
        <v>7.7156884623967859</v>
      </c>
      <c r="N29" s="70">
        <f>IF(VLOOKUP(A29,Buchwert_je_Aktie!A$3:AJ$103,17,FALSE)&lt;&gt;"",IF(VLOOKUP(A29,Schlußkurse!A$5:AU$105,46,FALSE)&gt;0,VLOOKUP(A29,Schlußkurse!A$5:AU$105,46,FALSE)/VLOOKUP(A29,Buchwert_je_Aktie!A$3:AJ$103,17,FALSE),""),"")</f>
        <v>6.3496966354109219</v>
      </c>
      <c r="O29" s="70">
        <f>IF(VLOOKUP(A29,Buchwert_je_Aktie!A$3:AJ$103,18,FALSE)&lt;&gt;"",IF(VLOOKUP(A29,Schlußkurse!A$5:AU$105,47,FALSE)&gt;0,VLOOKUP(A29,Schlußkurse!A$5:AU$105,47,FALSE)/VLOOKUP(A29,Buchwert_je_Aktie!A$3:AJ$103,18,FALSE),""),"")</f>
        <v>7.7237939789626404</v>
      </c>
      <c r="P29" s="70">
        <f t="shared" si="0"/>
        <v>3.3190657130084933</v>
      </c>
      <c r="Q29" s="3">
        <f ca="1">VLOOKUP(A29,Schlußkurse!A$5:AU$105,35,FALSE)/VLOOKUP(A29,Buchwert_je_Aktie!A$3:AK$103,23,FALSE)</f>
        <v>3.3754222222222223</v>
      </c>
      <c r="R29" s="5">
        <f t="shared" ca="1" si="1"/>
        <v>1.6979630440231874E-2</v>
      </c>
    </row>
    <row r="30" spans="1:18">
      <c r="A30" t="s">
        <v>91</v>
      </c>
      <c r="B30" s="38" t="s">
        <v>194</v>
      </c>
      <c r="C30" s="70">
        <f>IF(VLOOKUP(A30,Buchwert_je_Aktie!A$3:AJ$103,6,FALSE)&lt;&gt;"",IF(VLOOKUP(A30,Schlußkurse!A$5:AU$105,35,FALSE)&gt;0,VLOOKUP(A30,Schlußkurse!A$5:AU$105,35,FALSE) /VLOOKUP(A30,Buchwert_je_Aktie!A$3:AJ$103,6,FALSE),""),"")</f>
        <v>1.7181347150259068</v>
      </c>
      <c r="D30" s="70">
        <f>IF(VLOOKUP(A30,Buchwert_je_Aktie!A$3:AJ$103,7,FALSE)&lt;&gt;"",IF(VLOOKUP(A30,Schlußkurse!A$5:AU$105,36,FALSE)&gt;0,VLOOKUP(A30,Schlußkurse!A$5:AU$105,36,FALSE)/VLOOKUP(A30,Buchwert_je_Aktie!A$3:AJ$103,7,FALSE),""),"")</f>
        <v>1.8120218579234975</v>
      </c>
      <c r="E30" s="70">
        <f>IF(VLOOKUP(A30,Buchwert_je_Aktie!A$3:AJ$103,8,FALSE)&lt;&gt;"",IF(VLOOKUP(A30,Schlußkurse!A$5:AU$105,37,FALSE)&gt;0,VLOOKUP(A30,Schlußkurse!A$5:AU$105,37,FALSE)/VLOOKUP(A30,Buchwert_je_Aktie!A$3:AJ$103,8,FALSE),""),"")</f>
        <v>1.9347727272727271</v>
      </c>
      <c r="F30" s="70">
        <f>IF(VLOOKUP(A30,Buchwert_je_Aktie!A$3:AJ$103,9,FALSE)&lt;&gt;"",IF(VLOOKUP(A30,Schlußkurse!A$5:AU$105,38,FALSE)&gt;0,VLOOKUP(A30,Schlußkurse!A$5:AU$105,38,FALSE)/VLOOKUP(A30,Buchwert_je_Aktie!A$3:AJ$103,9,FALSE),""),"")</f>
        <v>2.114863665937186</v>
      </c>
      <c r="G30" s="70">
        <f>IF(VLOOKUP(A30,Buchwert_je_Aktie!A$3:AJ$103,10,FALSE)&lt;&gt;"",IF(VLOOKUP(A30,Schlußkurse!A$5:AU$105,39,FALSE)&gt;0,VLOOKUP(A30,Schlußkurse!A$5:AU$105,39,FALSE)/VLOOKUP(A30,Buchwert_je_Aktie!A$3:AJ$103,10,FALSE),""),"")</f>
        <v>1.8974159122249539</v>
      </c>
      <c r="H30" s="70">
        <f>IF(VLOOKUP(A30,Buchwert_je_Aktie!A$3:AJ$103,11,FALSE)&lt;&gt;"",IF(VLOOKUP(A30,Schlußkurse!A$5:AU$105,40,FALSE)&gt;0,VLOOKUP(A30,Schlußkurse!A$5:AU$105,40,FALSE)/VLOOKUP(A30,Buchwert_je_Aktie!A$3:AJ$103,11,FALSE),""),"")</f>
        <v>1.3014543851917144</v>
      </c>
      <c r="I30" s="70">
        <f>IF(VLOOKUP(A30,Buchwert_je_Aktie!A$3:AJ$103,12,FALSE)&lt;&gt;"",IF(VLOOKUP(A30,Schlußkurse!A$5:AU$105,41,FALSE)&gt;0,VLOOKUP(A30,Schlußkurse!A$5:AU$105,41,FALSE)/VLOOKUP(A30,Buchwert_je_Aktie!A$3:AJ$103,12,FALSE),""),"")</f>
        <v>1.2089805331343688</v>
      </c>
      <c r="J30" s="70">
        <f>IF(VLOOKUP(A30,Buchwert_je_Aktie!A$3:AJ$103,13,FALSE)&lt;&gt;"",IF(VLOOKUP(A30,Schlußkurse!A$5:AU$105,42,FALSE)&gt;0,VLOOKUP(A30,Schlußkurse!A$5:AU$105,42,FALSE)/VLOOKUP(A30,Buchwert_je_Aktie!A$3:AJ$103,13,FALSE),""),"")</f>
        <v>1.3566343963553533</v>
      </c>
      <c r="K30" s="70">
        <f>IF(VLOOKUP(A30,Buchwert_je_Aktie!A$3:AJ$103,14,FALSE)&lt;&gt;"",IF(VLOOKUP(A30,Schlußkurse!A$5:AU$105,43,FALSE)&gt;0,VLOOKUP(A30,Schlußkurse!A$5:AU$105,43,FALSE)/VLOOKUP(A30,Buchwert_je_Aktie!A$3:AJ$103,14,FALSE),""),"")</f>
        <v>1.7013481828839392</v>
      </c>
      <c r="L30" s="70">
        <f>IF(VLOOKUP(A30,Buchwert_je_Aktie!A$3:AJ$103,15,FALSE)&lt;&gt;"",IF(VLOOKUP(A30,Schlußkurse!A$5:AU$105,44,FALSE)&gt;0,VLOOKUP(A30,Schlußkurse!A$5:AU$105,44,FALSE)/VLOOKUP(A30,Buchwert_je_Aktie!A$3:AJ$103,15,FALSE),""),"")</f>
        <v>1.0411331005044626</v>
      </c>
      <c r="M30" s="70">
        <f>IF(VLOOKUP(A30,Buchwert_je_Aktie!A$3:AJ$103,16,FALSE)&lt;&gt;"",IF(VLOOKUP(A30,Schlußkurse!A$5:AU$105,45,FALSE)&gt;0,VLOOKUP(A30,Schlußkurse!A$5:AU$105,45,FALSE)/VLOOKUP(A30,Buchwert_je_Aktie!A$3:AJ$103,16,FALSE),""),"")</f>
        <v>2.122784686184275</v>
      </c>
      <c r="N30" s="70">
        <f>IF(VLOOKUP(A30,Buchwert_je_Aktie!A$3:AJ$103,17,FALSE)&lt;&gt;"",IF(VLOOKUP(A30,Schlußkurse!A$5:AU$105,46,FALSE)&gt;0,VLOOKUP(A30,Schlußkurse!A$5:AU$105,46,FALSE)/VLOOKUP(A30,Buchwert_je_Aktie!A$3:AJ$103,17,FALSE),""),"")</f>
        <v>1.5409123090927479</v>
      </c>
      <c r="O30" s="70">
        <f>IF(VLOOKUP(A30,Buchwert_je_Aktie!A$3:AJ$103,18,FALSE)&lt;&gt;"",IF(VLOOKUP(A30,Schlußkurse!A$5:AU$105,47,FALSE)&gt;0,VLOOKUP(A30,Schlußkurse!A$5:AU$105,47,FALSE)/VLOOKUP(A30,Buchwert_je_Aktie!A$3:AJ$103,18,FALSE),""),"")</f>
        <v>1.1661987041036717</v>
      </c>
      <c r="P30" s="70">
        <f t="shared" si="0"/>
        <v>1.7013481828839392</v>
      </c>
      <c r="Q30" s="3">
        <f ca="1">VLOOKUP(A30,Schlußkurse!A$5:AU$105,35,FALSE)/VLOOKUP(A30,Buchwert_je_Aktie!A$3:AK$103,23,FALSE)</f>
        <v>1.8618753509264461</v>
      </c>
      <c r="R30" s="5">
        <f t="shared" ca="1" si="1"/>
        <v>9.4352919442038496E-2</v>
      </c>
    </row>
    <row r="31" spans="1:18">
      <c r="A31" t="s">
        <v>267</v>
      </c>
      <c r="B31" s="38" t="s">
        <v>273</v>
      </c>
      <c r="C31" s="70">
        <f>IF(VLOOKUP(A31,Buchwert_je_Aktie!A$3:AJ$103,6,FALSE)&lt;&gt;"",IF(VLOOKUP(A31,Schlußkurse!A$5:AU$105,35,FALSE)&gt;0,VLOOKUP(A31,Schlußkurse!A$5:AU$105,35,FALSE) /VLOOKUP(A31,Buchwert_je_Aktie!A$3:AJ$103,6,FALSE),""),"")</f>
        <v>2.7573369565217392</v>
      </c>
      <c r="D31" s="70">
        <f>IF(VLOOKUP(A31,Buchwert_je_Aktie!A$3:AJ$103,7,FALSE)&lt;&gt;"",IF(VLOOKUP(A31,Schlußkurse!A$5:AU$105,36,FALSE)&gt;0,VLOOKUP(A31,Schlußkurse!A$5:AU$105,36,FALSE)/VLOOKUP(A31,Buchwert_je_Aktie!A$3:AJ$103,7,FALSE),""),"")</f>
        <v>2.8422969187675067</v>
      </c>
      <c r="E31" s="70">
        <f>IF(VLOOKUP(A31,Buchwert_je_Aktie!A$3:AJ$103,8,FALSE)&lt;&gt;"",IF(VLOOKUP(A31,Schlußkurse!A$5:AU$105,37,FALSE)&gt;0,VLOOKUP(A31,Schlußkurse!A$5:AU$105,37,FALSE)/VLOOKUP(A31,Buchwert_je_Aktie!A$3:AJ$103,8,FALSE),""),"")</f>
        <v>2.8339130434782609</v>
      </c>
      <c r="F31" s="70">
        <f>IF(VLOOKUP(A31,Buchwert_je_Aktie!A$3:AJ$103,9,FALSE)&lt;&gt;"",IF(VLOOKUP(A31,Schlußkurse!A$5:AU$105,38,FALSE)&gt;0,VLOOKUP(A31,Schlußkurse!A$5:AU$105,38,FALSE)/VLOOKUP(A31,Buchwert_je_Aktie!A$3:AJ$103,9,FALSE),""),"")</f>
        <v>2.8502515537141169</v>
      </c>
      <c r="G31" s="70">
        <f>IF(VLOOKUP(A31,Buchwert_je_Aktie!A$3:AJ$103,10,FALSE)&lt;&gt;"",IF(VLOOKUP(A31,Schlußkurse!A$5:AU$105,39,FALSE)&gt;0,VLOOKUP(A31,Schlußkurse!A$5:AU$105,39,FALSE)/VLOOKUP(A31,Buchwert_je_Aktie!A$3:AJ$103,10,FALSE),""),"")</f>
        <v>2.1492492492492494</v>
      </c>
      <c r="H31" s="70">
        <f>IF(VLOOKUP(A31,Buchwert_je_Aktie!A$3:AJ$103,11,FALSE)&lt;&gt;"",IF(VLOOKUP(A31,Schlußkurse!A$5:AU$105,40,FALSE)&gt;0,VLOOKUP(A31,Schlußkurse!A$5:AU$105,40,FALSE)/VLOOKUP(A31,Buchwert_je_Aktie!A$3:AJ$103,11,FALSE),""),"")</f>
        <v>1.5038880248833593</v>
      </c>
      <c r="I31" s="70">
        <f>IF(VLOOKUP(A31,Buchwert_je_Aktie!A$3:AJ$103,12,FALSE)&lt;&gt;"",IF(VLOOKUP(A31,Schlußkurse!A$5:AU$105,41,FALSE)&gt;0,VLOOKUP(A31,Schlußkurse!A$5:AU$105,41,FALSE)/VLOOKUP(A31,Buchwert_je_Aktie!A$3:AJ$103,12,FALSE),""),"")</f>
        <v>1.3318092749836707</v>
      </c>
      <c r="J31" s="70">
        <f>IF(VLOOKUP(A31,Buchwert_je_Aktie!A$3:AJ$103,13,FALSE)&lt;&gt;"",IF(VLOOKUP(A31,Schlußkurse!A$5:AU$105,42,FALSE)&gt;0,VLOOKUP(A31,Schlußkurse!A$5:AU$105,42,FALSE)/VLOOKUP(A31,Buchwert_je_Aktie!A$3:AJ$103,13,FALSE),""),"")</f>
        <v>1.1858799454297408</v>
      </c>
      <c r="K31" s="70">
        <f>IF(VLOOKUP(A31,Buchwert_je_Aktie!A$3:AJ$103,14,FALSE)&lt;&gt;"",IF(VLOOKUP(A31,Schlußkurse!A$5:AU$105,43,FALSE)&gt;0,VLOOKUP(A31,Schlußkurse!A$5:AU$105,43,FALSE)/VLOOKUP(A31,Buchwert_je_Aktie!A$3:AJ$103,14,FALSE),""),"")</f>
        <v>1.1644974692697037</v>
      </c>
      <c r="L31" s="70">
        <f>IF(VLOOKUP(A31,Buchwert_je_Aktie!A$3:AJ$103,15,FALSE)&lt;&gt;"",IF(VLOOKUP(A31,Schlußkurse!A$5:AU$105,44,FALSE)&gt;0,VLOOKUP(A31,Schlußkurse!A$5:AU$105,44,FALSE)/VLOOKUP(A31,Buchwert_je_Aktie!A$3:AJ$103,15,FALSE),""),"")</f>
        <v>1.1174183514774494</v>
      </c>
      <c r="M31" s="70">
        <f>IF(VLOOKUP(A31,Buchwert_je_Aktie!A$3:AJ$103,16,FALSE)&lt;&gt;"",IF(VLOOKUP(A31,Schlußkurse!A$5:AU$105,45,FALSE)&gt;0,VLOOKUP(A31,Schlußkurse!A$5:AU$105,45,FALSE)/VLOOKUP(A31,Buchwert_je_Aktie!A$3:AJ$103,16,FALSE),""),"")</f>
        <v>1.6541822721598001</v>
      </c>
      <c r="N31" s="70">
        <f>IF(VLOOKUP(A31,Buchwert_je_Aktie!A$3:AJ$103,17,FALSE)&lt;&gt;"",IF(VLOOKUP(A31,Schlußkurse!A$5:AU$105,46,FALSE)&gt;0,VLOOKUP(A31,Schlußkurse!A$5:AU$105,46,FALSE)/VLOOKUP(A31,Buchwert_je_Aktie!A$3:AJ$103,17,FALSE),""),"")</f>
        <v>1.4178899082568808</v>
      </c>
      <c r="O31" s="70" t="str">
        <f>IF(VLOOKUP(A31,Buchwert_je_Aktie!A$3:AJ$103,18,FALSE)&lt;&gt;"",IF(VLOOKUP(A31,Schlußkurse!A$5:AU$105,47,FALSE)&gt;0,VLOOKUP(A31,Schlußkurse!A$5:AU$105,47,FALSE)/VLOOKUP(A31,Buchwert_je_Aktie!A$3:AJ$103,18,FALSE),""),"")</f>
        <v/>
      </c>
      <c r="P31" s="70">
        <f t="shared" si="0"/>
        <v>1.5790351485215797</v>
      </c>
      <c r="Q31" s="3">
        <f ca="1">VLOOKUP(A31,Schlußkurse!A$5:AU$105,35,FALSE)/VLOOKUP(A31,Buchwert_je_Aktie!A$3:AK$103,23,FALSE)</f>
        <v>2.9107860011474469</v>
      </c>
      <c r="R31" s="5">
        <f t="shared" ca="1" si="1"/>
        <v>0.84339531888999431</v>
      </c>
    </row>
    <row r="32" spans="1:18">
      <c r="A32" t="s">
        <v>279</v>
      </c>
      <c r="B32" s="38" t="s">
        <v>280</v>
      </c>
      <c r="C32" s="70">
        <f>IF(VLOOKUP(A32,Buchwert_je_Aktie!A$3:AJ$103,6,FALSE)&lt;&gt;"",IF(VLOOKUP(A32,Schlußkurse!A$5:AU$105,35,FALSE)&gt;0,VLOOKUP(A32,Schlußkurse!A$5:AU$105,35,FALSE) /VLOOKUP(A32,Buchwert_je_Aktie!A$3:AJ$103,6,FALSE),""),"")</f>
        <v>1.9920863309352519</v>
      </c>
      <c r="D32" s="70">
        <f>IF(VLOOKUP(A32,Buchwert_je_Aktie!A$3:AJ$103,7,FALSE)&lt;&gt;"",IF(VLOOKUP(A32,Schlußkurse!A$5:AU$105,36,FALSE)&gt;0,VLOOKUP(A32,Schlußkurse!A$5:AU$105,36,FALSE)/VLOOKUP(A32,Buchwert_je_Aktie!A$3:AJ$103,7,FALSE),""),"")</f>
        <v>2.0511111111111111</v>
      </c>
      <c r="E32" s="70">
        <f>IF(VLOOKUP(A32,Buchwert_je_Aktie!A$3:AJ$103,8,FALSE)&lt;&gt;"",IF(VLOOKUP(A32,Schlußkurse!A$5:AU$105,37,FALSE)&gt;0,VLOOKUP(A32,Schlußkurse!A$5:AU$105,37,FALSE)/VLOOKUP(A32,Buchwert_je_Aktie!A$3:AJ$103,8,FALSE),""),"")</f>
        <v>2.2919354838709678</v>
      </c>
      <c r="F32" s="70">
        <f>IF(VLOOKUP(A32,Buchwert_je_Aktie!A$3:AJ$103,9,FALSE)&lt;&gt;"",IF(VLOOKUP(A32,Schlußkurse!A$5:AU$105,38,FALSE)&gt;0,VLOOKUP(A32,Schlußkurse!A$5:AU$105,38,FALSE)/VLOOKUP(A32,Buchwert_je_Aktie!A$3:AJ$103,9,FALSE),""),"")</f>
        <v>2.1490630323679727</v>
      </c>
      <c r="G32" s="70">
        <f>IF(VLOOKUP(A32,Buchwert_je_Aktie!A$3:AJ$103,10,FALSE)&lt;&gt;"",IF(VLOOKUP(A32,Schlußkurse!A$5:AU$105,39,FALSE)&gt;0,VLOOKUP(A32,Schlußkurse!A$5:AU$105,39,FALSE)/VLOOKUP(A32,Buchwert_je_Aktie!A$3:AJ$103,10,FALSE),""),"")</f>
        <v>2.3074842200180341</v>
      </c>
      <c r="H32" s="70">
        <f>IF(VLOOKUP(A32,Buchwert_je_Aktie!A$3:AJ$103,11,FALSE)&lt;&gt;"",IF(VLOOKUP(A32,Schlußkurse!A$5:AU$105,40,FALSE)&gt;0,VLOOKUP(A32,Schlußkurse!A$5:AU$105,40,FALSE)/VLOOKUP(A32,Buchwert_je_Aktie!A$3:AJ$103,11,FALSE),""),"")</f>
        <v>1.4539653600729261</v>
      </c>
      <c r="I32" s="70">
        <f>IF(VLOOKUP(A32,Buchwert_je_Aktie!A$3:AJ$103,12,FALSE)&lt;&gt;"",IF(VLOOKUP(A32,Schlußkurse!A$5:AU$105,41,FALSE)&gt;0,VLOOKUP(A32,Schlußkurse!A$5:AU$105,41,FALSE)/VLOOKUP(A32,Buchwert_je_Aktie!A$3:AJ$103,12,FALSE),""),"")</f>
        <v>1.6497933884297522</v>
      </c>
      <c r="J32" s="70">
        <f>IF(VLOOKUP(A32,Buchwert_je_Aktie!A$3:AJ$103,13,FALSE)&lt;&gt;"",IF(VLOOKUP(A32,Schlußkurse!A$5:AU$105,42,FALSE)&gt;0,VLOOKUP(A32,Schlußkurse!A$5:AU$105,42,FALSE)/VLOOKUP(A32,Buchwert_je_Aktie!A$3:AJ$103,13,FALSE),""),"")</f>
        <v>2.6547756041426931</v>
      </c>
      <c r="K32" s="70">
        <f>IF(VLOOKUP(A32,Buchwert_je_Aktie!A$3:AJ$103,14,FALSE)&lt;&gt;"",IF(VLOOKUP(A32,Schlußkurse!A$5:AU$105,43,FALSE)&gt;0,VLOOKUP(A32,Schlußkurse!A$5:AU$105,43,FALSE)/VLOOKUP(A32,Buchwert_je_Aktie!A$3:AJ$103,14,FALSE),""),"")</f>
        <v>2.8109833971902938</v>
      </c>
      <c r="L32" s="70">
        <f>IF(VLOOKUP(A32,Buchwert_je_Aktie!A$3:AJ$103,15,FALSE)&lt;&gt;"",IF(VLOOKUP(A32,Schlußkurse!A$5:AU$105,44,FALSE)&gt;0,VLOOKUP(A32,Schlußkurse!A$5:AU$105,44,FALSE)/VLOOKUP(A32,Buchwert_je_Aktie!A$3:AJ$103,15,FALSE),""),"")</f>
        <v>3.2919161676646707</v>
      </c>
      <c r="M32" s="70">
        <f>IF(VLOOKUP(A32,Buchwert_je_Aktie!A$3:AJ$103,16,FALSE)&lt;&gt;"",IF(VLOOKUP(A32,Schlußkurse!A$5:AU$105,45,FALSE)&gt;0,VLOOKUP(A32,Schlußkurse!A$5:AU$105,45,FALSE)/VLOOKUP(A32,Buchwert_je_Aktie!A$3:AJ$103,16,FALSE),""),"")</f>
        <v>4.9588336192109779</v>
      </c>
      <c r="N32" s="70">
        <f>IF(VLOOKUP(A32,Buchwert_je_Aktie!A$3:AJ$103,17,FALSE)&lt;&gt;"",IF(VLOOKUP(A32,Schlußkurse!A$5:AU$105,46,FALSE)&gt;0,VLOOKUP(A32,Schlußkurse!A$5:AU$105,46,FALSE)/VLOOKUP(A32,Buchwert_je_Aktie!A$3:AJ$103,17,FALSE),""),"")</f>
        <v>3.4384615384615382</v>
      </c>
      <c r="O32" s="70">
        <f>IF(VLOOKUP(A32,Buchwert_je_Aktie!A$3:AJ$103,18,FALSE)&lt;&gt;"",IF(VLOOKUP(A32,Schlußkurse!A$5:AU$105,47,FALSE)&gt;0,VLOOKUP(A32,Schlußkurse!A$5:AU$105,47,FALSE)/VLOOKUP(A32,Buchwert_je_Aktie!A$3:AJ$103,18,FALSE),""),"")</f>
        <v>4.848101265822784</v>
      </c>
      <c r="P32" s="70">
        <f t="shared" si="0"/>
        <v>2.3074842200180341</v>
      </c>
      <c r="Q32" s="3">
        <f ca="1">VLOOKUP(A32,Schlußkurse!A$5:AU$105,35,FALSE)/VLOOKUP(A32,Buchwert_je_Aktie!A$3:AK$103,23,FALSE)</f>
        <v>2.0995829647415647</v>
      </c>
      <c r="R32" s="5">
        <f t="shared" ca="1" si="1"/>
        <v>-9.0098668269482096E-2</v>
      </c>
    </row>
    <row r="33" spans="1:18">
      <c r="A33" t="s">
        <v>40</v>
      </c>
      <c r="B33" s="38" t="s">
        <v>41</v>
      </c>
      <c r="C33" s="70">
        <f>IF(VLOOKUP(A33,Buchwert_je_Aktie!A$3:AJ$103,6,FALSE)&lt;&gt;"",IF(VLOOKUP(A33,Schlußkurse!A$5:AU$105,35,FALSE)&gt;0,VLOOKUP(A33,Schlußkurse!A$5:AU$105,35,FALSE) /VLOOKUP(A33,Buchwert_je_Aktie!A$3:AJ$103,6,FALSE),""),"")</f>
        <v>10.725400457665904</v>
      </c>
      <c r="D33" s="70">
        <f>IF(VLOOKUP(A33,Buchwert_je_Aktie!A$3:AJ$103,7,FALSE)&lt;&gt;"",IF(VLOOKUP(A33,Schlußkurse!A$5:AU$105,36,FALSE)&gt;0,VLOOKUP(A33,Schlußkurse!A$5:AU$105,36,FALSE)/VLOOKUP(A33,Buchwert_je_Aktie!A$3:AJ$103,7,FALSE),""),"")</f>
        <v>9.6639175257731953</v>
      </c>
      <c r="E33" s="70">
        <f>IF(VLOOKUP(A33,Buchwert_je_Aktie!A$3:AJ$103,8,FALSE)&lt;&gt;"",IF(VLOOKUP(A33,Schlußkurse!A$5:AU$105,37,FALSE)&gt;0,VLOOKUP(A33,Schlußkurse!A$5:AU$105,37,FALSE)/VLOOKUP(A33,Buchwert_je_Aktie!A$3:AJ$103,8,FALSE),""),"")</f>
        <v>7.8970588235294112</v>
      </c>
      <c r="F33" s="70">
        <f>IF(VLOOKUP(A33,Buchwert_je_Aktie!A$3:AJ$103,9,FALSE)&lt;&gt;"",IF(VLOOKUP(A33,Schlußkurse!A$5:AU$105,38,FALSE)&gt;0,VLOOKUP(A33,Schlußkurse!A$5:AU$105,38,FALSE)/VLOOKUP(A33,Buchwert_je_Aktie!A$3:AJ$103,9,FALSE),""),"")</f>
        <v>7.1802721088435373</v>
      </c>
      <c r="G33" s="70">
        <f>IF(VLOOKUP(A33,Buchwert_je_Aktie!A$3:AJ$103,10,FALSE)&lt;&gt;"",IF(VLOOKUP(A33,Schlußkurse!A$5:AU$105,39,FALSE)&gt;0,VLOOKUP(A33,Schlußkurse!A$5:AU$105,39,FALSE)/VLOOKUP(A33,Buchwert_je_Aktie!A$3:AJ$103,10,FALSE),""),"")</f>
        <v>5.9524495677233427</v>
      </c>
      <c r="H33" s="70">
        <f>IF(VLOOKUP(A33,Buchwert_je_Aktie!A$3:AJ$103,11,FALSE)&lt;&gt;"",IF(VLOOKUP(A33,Schlußkurse!A$5:AU$105,40,FALSE)&gt;0,VLOOKUP(A33,Schlußkurse!A$5:AU$105,40,FALSE)/VLOOKUP(A33,Buchwert_je_Aktie!A$3:AJ$103,11,FALSE),""),"")</f>
        <v>4.8076923076923075</v>
      </c>
      <c r="I33" s="70">
        <f>IF(VLOOKUP(A33,Buchwert_je_Aktie!A$3:AJ$103,12,FALSE)&lt;&gt;"",IF(VLOOKUP(A33,Schlußkurse!A$5:AU$105,41,FALSE)&gt;0,VLOOKUP(A33,Schlußkurse!A$5:AU$105,41,FALSE)/VLOOKUP(A33,Buchwert_je_Aktie!A$3:AJ$103,12,FALSE),""),"")</f>
        <v>4.7663487738419619</v>
      </c>
      <c r="J33" s="70">
        <f>IF(VLOOKUP(A33,Buchwert_je_Aktie!A$3:AJ$103,13,FALSE)&lt;&gt;"",IF(VLOOKUP(A33,Schlußkurse!A$5:AU$105,42,FALSE)&gt;0,VLOOKUP(A33,Schlußkurse!A$5:AU$105,42,FALSE)/VLOOKUP(A33,Buchwert_je_Aktie!A$3:AJ$103,13,FALSE),""),"")</f>
        <v>4.7045779685264657</v>
      </c>
      <c r="K33" s="70">
        <f>IF(VLOOKUP(A33,Buchwert_je_Aktie!A$3:AJ$103,14,FALSE)&lt;&gt;"",IF(VLOOKUP(A33,Schlußkurse!A$5:AU$105,43,FALSE)&gt;0,VLOOKUP(A33,Schlußkurse!A$5:AU$105,43,FALSE)/VLOOKUP(A33,Buchwert_je_Aktie!A$3:AJ$103,14,FALSE),""),"")</f>
        <v>4.2159763313609471</v>
      </c>
      <c r="L33" s="70">
        <f>IF(VLOOKUP(A33,Buchwert_je_Aktie!A$3:AJ$103,15,FALSE)&lt;&gt;"",IF(VLOOKUP(A33,Schlußkurse!A$5:AU$105,44,FALSE)&gt;0,VLOOKUP(A33,Schlußkurse!A$5:AU$105,44,FALSE)/VLOOKUP(A33,Buchwert_je_Aktie!A$3:AJ$103,15,FALSE),""),"")</f>
        <v>4.2072490706319705</v>
      </c>
      <c r="M33" s="70">
        <f>IF(VLOOKUP(A33,Buchwert_je_Aktie!A$3:AJ$103,16,FALSE)&lt;&gt;"",IF(VLOOKUP(A33,Schlußkurse!A$5:AU$105,45,FALSE)&gt;0,VLOOKUP(A33,Schlußkurse!A$5:AU$105,45,FALSE)/VLOOKUP(A33,Buchwert_je_Aktie!A$3:AJ$103,16,FALSE),""),"")</f>
        <v>6.9266365688487586</v>
      </c>
      <c r="N33" s="70">
        <f>IF(VLOOKUP(A33,Buchwert_je_Aktie!A$3:AJ$103,17,FALSE)&lt;&gt;"",IF(VLOOKUP(A33,Schlußkurse!A$5:AU$105,46,FALSE)&gt;0,VLOOKUP(A33,Schlußkurse!A$5:AU$105,46,FALSE)/VLOOKUP(A33,Buchwert_je_Aktie!A$3:AJ$103,17,FALSE),""),"")</f>
        <v>5.1599147121535172</v>
      </c>
      <c r="O33" s="70">
        <f>IF(VLOOKUP(A33,Buchwert_je_Aktie!A$3:AJ$103,18,FALSE)&lt;&gt;"",IF(VLOOKUP(A33,Schlußkurse!A$5:AU$105,47,FALSE)&gt;0,VLOOKUP(A33,Schlußkurse!A$5:AU$105,47,FALSE)/VLOOKUP(A33,Buchwert_je_Aktie!A$3:AJ$103,18,FALSE),""),"")</f>
        <v>5.5219178082191789</v>
      </c>
      <c r="P33" s="70">
        <f t="shared" si="0"/>
        <v>5.5219178082191789</v>
      </c>
      <c r="Q33" s="3">
        <f ca="1">VLOOKUP(A33,Schlußkurse!A$5:AU$105,35,FALSE)/VLOOKUP(A33,Buchwert_je_Aktie!A$3:AK$103,23,FALSE)</f>
        <v>8.9055671670150094</v>
      </c>
      <c r="R33" s="5">
        <f t="shared" ca="1" si="1"/>
        <v>0.61276706324012808</v>
      </c>
    </row>
    <row r="34" spans="1:18">
      <c r="A34" t="s">
        <v>42</v>
      </c>
      <c r="B34" s="38" t="s">
        <v>43</v>
      </c>
      <c r="C34" s="70">
        <f>IF(VLOOKUP(A34,Buchwert_je_Aktie!A$3:AJ$103,6,FALSE)&lt;&gt;"",IF(VLOOKUP(A34,Schlußkurse!A$5:AU$105,35,FALSE)&gt;0,VLOOKUP(A34,Schlußkurse!A$5:AU$105,35,FALSE) /VLOOKUP(A34,Buchwert_je_Aktie!A$3:AJ$103,6,FALSE),""),"")</f>
        <v>-507.64285714285705</v>
      </c>
      <c r="D34" s="70">
        <f>IF(VLOOKUP(A34,Buchwert_je_Aktie!A$3:AJ$103,7,FALSE)&lt;&gt;"",IF(VLOOKUP(A34,Schlußkurse!A$5:AU$105,36,FALSE)&gt;0,VLOOKUP(A34,Schlußkurse!A$5:AU$105,36,FALSE)/VLOOKUP(A34,Buchwert_je_Aktie!A$3:AJ$103,7,FALSE),""),"")</f>
        <v>-236.89999999999998</v>
      </c>
      <c r="E34" s="70">
        <f>IF(VLOOKUP(A34,Buchwert_je_Aktie!A$3:AJ$103,8,FALSE)&lt;&gt;"",IF(VLOOKUP(A34,Schlußkurse!A$5:AU$105,37,FALSE)&gt;0,VLOOKUP(A34,Schlußkurse!A$5:AU$105,37,FALSE)/VLOOKUP(A34,Buchwert_je_Aktie!A$3:AJ$103,8,FALSE),""),"")</f>
        <v>-229.72413793103451</v>
      </c>
      <c r="F34" s="70">
        <f>IF(VLOOKUP(A34,Buchwert_je_Aktie!A$3:AJ$103,9,FALSE)&lt;&gt;"",IF(VLOOKUP(A34,Schlußkurse!A$5:AU$105,38,FALSE)&gt;0,VLOOKUP(A34,Schlußkurse!A$5:AU$105,38,FALSE)/VLOOKUP(A34,Buchwert_je_Aktie!A$3:AJ$103,9,FALSE),""),"")</f>
        <v>-1383.8</v>
      </c>
      <c r="G34" s="70">
        <f>IF(VLOOKUP(A34,Buchwert_je_Aktie!A$3:AJ$103,10,FALSE)&lt;&gt;"",IF(VLOOKUP(A34,Schlußkurse!A$5:AU$105,39,FALSE)&gt;0,VLOOKUP(A34,Schlußkurse!A$5:AU$105,39,FALSE)/VLOOKUP(A34,Buchwert_je_Aktie!A$3:AJ$103,10,FALSE),""),"")</f>
        <v>42.620915032679733</v>
      </c>
      <c r="H34" s="70">
        <f>IF(VLOOKUP(A34,Buchwert_je_Aktie!A$3:AJ$103,11,FALSE)&lt;&gt;"",IF(VLOOKUP(A34,Schlußkurse!A$5:AU$105,40,FALSE)&gt;0,VLOOKUP(A34,Schlußkurse!A$5:AU$105,40,FALSE)/VLOOKUP(A34,Buchwert_je_Aktie!A$3:AJ$103,11,FALSE),""),"")</f>
        <v>18.938405797101453</v>
      </c>
      <c r="I34" s="70">
        <f>IF(VLOOKUP(A34,Buchwert_je_Aktie!A$3:AJ$103,12,FALSE)&lt;&gt;"",IF(VLOOKUP(A34,Schlußkurse!A$5:AU$105,41,FALSE)&gt;0,VLOOKUP(A34,Schlußkurse!A$5:AU$105,41,FALSE)/VLOOKUP(A34,Buchwert_je_Aktie!A$3:AJ$103,12,FALSE),""),"")</f>
        <v>18.044921875</v>
      </c>
      <c r="J34" s="70">
        <f>IF(VLOOKUP(A34,Buchwert_je_Aktie!A$3:AJ$103,13,FALSE)&lt;&gt;"",IF(VLOOKUP(A34,Schlußkurse!A$5:AU$105,42,FALSE)&gt;0,VLOOKUP(A34,Schlußkurse!A$5:AU$105,42,FALSE)/VLOOKUP(A34,Buchwert_je_Aktie!A$3:AJ$103,13,FALSE),""),"")</f>
        <v>15.164150943396228</v>
      </c>
      <c r="K34" s="70">
        <f>IF(VLOOKUP(A34,Buchwert_je_Aktie!A$3:AJ$103,14,FALSE)&lt;&gt;"",IF(VLOOKUP(A34,Schlußkurse!A$5:AU$105,43,FALSE)&gt;0,VLOOKUP(A34,Schlußkurse!A$5:AU$105,43,FALSE)/VLOOKUP(A34,Buchwert_je_Aktie!A$3:AJ$103,14,FALSE),""),"")</f>
        <v>14.412280701754387</v>
      </c>
      <c r="L34" s="70">
        <f>IF(VLOOKUP(A34,Buchwert_je_Aktie!A$3:AJ$103,15,FALSE)&lt;&gt;"",IF(VLOOKUP(A34,Schlußkurse!A$5:AU$105,44,FALSE)&gt;0,VLOOKUP(A34,Schlußkurse!A$5:AU$105,44,FALSE)/VLOOKUP(A34,Buchwert_je_Aktie!A$3:AJ$103,15,FALSE),""),"")</f>
        <v>10.384848484848487</v>
      </c>
      <c r="M34" s="70">
        <f>IF(VLOOKUP(A34,Buchwert_je_Aktie!A$3:AJ$103,16,FALSE)&lt;&gt;"",IF(VLOOKUP(A34,Schlußkurse!A$5:AU$105,45,FALSE)&gt;0,VLOOKUP(A34,Schlußkurse!A$5:AU$105,45,FALSE)/VLOOKUP(A34,Buchwert_je_Aktie!A$3:AJ$103,16,FALSE),""),"")</f>
        <v>20.302083333333332</v>
      </c>
      <c r="N34" s="70">
        <f>IF(VLOOKUP(A34,Buchwert_je_Aktie!A$3:AJ$103,17,FALSE)&lt;&gt;"",IF(VLOOKUP(A34,Schlußkurse!A$5:AU$105,46,FALSE)&gt;0,VLOOKUP(A34,Schlußkurse!A$5:AU$105,46,FALSE)/VLOOKUP(A34,Buchwert_je_Aktie!A$3:AJ$103,17,FALSE),""),"")</f>
        <v>14.515555555555554</v>
      </c>
      <c r="O34" s="70">
        <f>IF(VLOOKUP(A34,Buchwert_je_Aktie!A$3:AJ$103,18,FALSE)&lt;&gt;"",IF(VLOOKUP(A34,Schlußkurse!A$5:AU$105,47,FALSE)&gt;0,VLOOKUP(A34,Schlußkurse!A$5:AU$105,47,FALSE)/VLOOKUP(A34,Buchwert_je_Aktie!A$3:AJ$103,18,FALSE),""),"")</f>
        <v>20.028985507246379</v>
      </c>
      <c r="P34" s="70">
        <f t="shared" si="0"/>
        <v>14.515555555555554</v>
      </c>
      <c r="Q34" s="3">
        <f ca="1">VLOOKUP(A34,Schlußkurse!A$5:AU$105,35,FALSE)/VLOOKUP(A34,Buchwert_je_Aktie!A$3:AK$103,23,FALSE)</f>
        <v>-242.55972696245732</v>
      </c>
      <c r="R34" s="5">
        <f t="shared" ca="1" si="1"/>
        <v>-17.71033024083065</v>
      </c>
    </row>
    <row r="35" spans="1:18">
      <c r="A35" t="s">
        <v>44</v>
      </c>
      <c r="B35" s="38" t="s">
        <v>45</v>
      </c>
      <c r="C35" s="70">
        <f>IF(VLOOKUP(A35,Buchwert_je_Aktie!A$3:AJ$103,6,FALSE)&lt;&gt;"",IF(VLOOKUP(A35,Schlußkurse!A$5:AU$105,35,FALSE)&gt;0,VLOOKUP(A35,Schlußkurse!A$5:AU$105,35,FALSE) /VLOOKUP(A35,Buchwert_je_Aktie!A$3:AJ$103,6,FALSE),""),"")</f>
        <v>3.0882647943831492</v>
      </c>
      <c r="D35" s="70">
        <f>IF(VLOOKUP(A35,Buchwert_je_Aktie!A$3:AJ$103,7,FALSE)&lt;&gt;"",IF(VLOOKUP(A35,Schlußkurse!A$5:AU$105,36,FALSE)&gt;0,VLOOKUP(A35,Schlußkurse!A$5:AU$105,36,FALSE)/VLOOKUP(A35,Buchwert_je_Aktie!A$3:AJ$103,7,FALSE),""),"")</f>
        <v>3.1482617586912065</v>
      </c>
      <c r="E35" s="70">
        <f>IF(VLOOKUP(A35,Buchwert_je_Aktie!A$3:AJ$103,8,FALSE)&lt;&gt;"",IF(VLOOKUP(A35,Schlußkurse!A$5:AU$105,37,FALSE)&gt;0,VLOOKUP(A35,Schlußkurse!A$5:AU$105,37,FALSE)/VLOOKUP(A35,Buchwert_je_Aktie!A$3:AJ$103,8,FALSE),""),"")</f>
        <v>3.1753312945973495</v>
      </c>
      <c r="F35" s="70">
        <f>IF(VLOOKUP(A35,Buchwert_je_Aktie!A$3:AJ$103,9,FALSE)&lt;&gt;"",IF(VLOOKUP(A35,Schlußkurse!A$5:AU$105,38,FALSE)&gt;0,VLOOKUP(A35,Schlußkurse!A$5:AU$105,38,FALSE)/VLOOKUP(A35,Buchwert_je_Aktie!A$3:AJ$103,9,FALSE),""),"")</f>
        <v>2.4112595419847325</v>
      </c>
      <c r="G35" s="70">
        <f>IF(VLOOKUP(A35,Buchwert_je_Aktie!A$3:AJ$103,10,FALSE)&lt;&gt;"",IF(VLOOKUP(A35,Schlußkurse!A$5:AU$105,39,FALSE)&gt;0,VLOOKUP(A35,Schlußkurse!A$5:AU$105,39,FALSE)/VLOOKUP(A35,Buchwert_je_Aktie!A$3:AJ$103,10,FALSE),""),"")</f>
        <v>2.2001569858712715</v>
      </c>
      <c r="H35" s="70">
        <f>IF(VLOOKUP(A35,Buchwert_je_Aktie!A$3:AJ$103,11,FALSE)&lt;&gt;"",IF(VLOOKUP(A35,Schlußkurse!A$5:AU$105,40,FALSE)&gt;0,VLOOKUP(A35,Schlußkurse!A$5:AU$105,40,FALSE)/VLOOKUP(A35,Buchwert_je_Aktie!A$3:AJ$103,11,FALSE),""),"")</f>
        <v>1.6171032357473034</v>
      </c>
      <c r="I35" s="70">
        <f>IF(VLOOKUP(A35,Buchwert_je_Aktie!A$3:AJ$103,12,FALSE)&lt;&gt;"",IF(VLOOKUP(A35,Schlußkurse!A$5:AU$105,41,FALSE)&gt;0,VLOOKUP(A35,Schlußkurse!A$5:AU$105,41,FALSE)/VLOOKUP(A35,Buchwert_je_Aktie!A$3:AJ$103,12,FALSE),""),"")</f>
        <v>1.515228426395939</v>
      </c>
      <c r="J35" s="70">
        <f>IF(VLOOKUP(A35,Buchwert_je_Aktie!A$3:AJ$103,13,FALSE)&lt;&gt;"",IF(VLOOKUP(A35,Schlußkurse!A$5:AU$105,42,FALSE)&gt;0,VLOOKUP(A35,Schlußkurse!A$5:AU$105,42,FALSE)/VLOOKUP(A35,Buchwert_je_Aktie!A$3:AJ$103,13,FALSE),""),"")</f>
        <v>1.6612170753860127</v>
      </c>
      <c r="K35" s="70">
        <f>IF(VLOOKUP(A35,Buchwert_je_Aktie!A$3:AJ$103,14,FALSE)&lt;&gt;"",IF(VLOOKUP(A35,Schlußkurse!A$5:AU$105,43,FALSE)&gt;0,VLOOKUP(A35,Schlußkurse!A$5:AU$105,43,FALSE)/VLOOKUP(A35,Buchwert_je_Aktie!A$3:AJ$103,14,FALSE),""),"")</f>
        <v>1.3508928571428573</v>
      </c>
      <c r="L35" s="70">
        <f>IF(VLOOKUP(A35,Buchwert_je_Aktie!A$3:AJ$103,15,FALSE)&lt;&gt;"",IF(VLOOKUP(A35,Schlußkurse!A$5:AU$105,44,FALSE)&gt;0,VLOOKUP(A35,Schlußkurse!A$5:AU$105,44,FALSE)/VLOOKUP(A35,Buchwert_je_Aktie!A$3:AJ$103,15,FALSE),""),"")</f>
        <v>1.4727272727272727</v>
      </c>
      <c r="M35" s="70">
        <f>IF(VLOOKUP(A35,Buchwert_je_Aktie!A$3:AJ$103,16,FALSE)&lt;&gt;"",IF(VLOOKUP(A35,Schlußkurse!A$5:AU$105,45,FALSE)&gt;0,VLOOKUP(A35,Schlußkurse!A$5:AU$105,45,FALSE)/VLOOKUP(A35,Buchwert_je_Aktie!A$3:AJ$103,16,FALSE),""),"")</f>
        <v>3.7331319234642497</v>
      </c>
      <c r="N35" s="70">
        <f>IF(VLOOKUP(A35,Buchwert_je_Aktie!A$3:AJ$103,17,FALSE)&lt;&gt;"",IF(VLOOKUP(A35,Schlußkurse!A$5:AU$105,46,FALSE)&gt;0,VLOOKUP(A35,Schlußkurse!A$5:AU$105,46,FALSE)/VLOOKUP(A35,Buchwert_je_Aktie!A$3:AJ$103,17,FALSE),""),"")</f>
        <v>3.2274848746758855</v>
      </c>
      <c r="O35" s="70">
        <f>IF(VLOOKUP(A35,Buchwert_je_Aktie!A$3:AJ$103,18,FALSE)&lt;&gt;"",IF(VLOOKUP(A35,Schlußkurse!A$5:AU$105,47,FALSE)&gt;0,VLOOKUP(A35,Schlußkurse!A$5:AU$105,47,FALSE)/VLOOKUP(A35,Buchwert_je_Aktie!A$3:AJ$103,18,FALSE),""),"")</f>
        <v>3.2067703568161021</v>
      </c>
      <c r="P35" s="70">
        <f t="shared" si="0"/>
        <v>2.4112595419847325</v>
      </c>
      <c r="Q35" s="3">
        <f ca="1">VLOOKUP(A35,Schlußkurse!A$5:AU$105,35,FALSE)/VLOOKUP(A35,Buchwert_je_Aktie!A$3:AK$103,23,FALSE)</f>
        <v>3.1415161718192022</v>
      </c>
      <c r="R35" s="5">
        <f t="shared" ca="1" si="1"/>
        <v>0.30285276931797567</v>
      </c>
    </row>
    <row r="36" spans="1:18">
      <c r="A36" t="s">
        <v>46</v>
      </c>
      <c r="B36" s="38" t="s">
        <v>47</v>
      </c>
      <c r="C36" s="70">
        <f>IF(VLOOKUP(A36,Buchwert_je_Aktie!A$3:AJ$103,6,FALSE)&lt;&gt;"",IF(VLOOKUP(A36,Schlußkurse!A$5:AU$105,35,FALSE)&gt;0,VLOOKUP(A36,Schlußkurse!A$5:AU$105,35,FALSE) /VLOOKUP(A36,Buchwert_je_Aktie!A$3:AJ$103,6,FALSE),""),"")</f>
        <v>7.9866310160427805</v>
      </c>
      <c r="D36" s="70">
        <f>IF(VLOOKUP(A36,Buchwert_je_Aktie!A$3:AJ$103,7,FALSE)&lt;&gt;"",IF(VLOOKUP(A36,Schlußkurse!A$5:AU$105,36,FALSE)&gt;0,VLOOKUP(A36,Schlußkurse!A$5:AU$105,36,FALSE)/VLOOKUP(A36,Buchwert_je_Aktie!A$3:AJ$103,7,FALSE),""),"")</f>
        <v>8.6329479768786115</v>
      </c>
      <c r="E36" s="70">
        <f>IF(VLOOKUP(A36,Buchwert_je_Aktie!A$3:AJ$103,8,FALSE)&lt;&gt;"",IF(VLOOKUP(A36,Schlußkurse!A$5:AU$105,37,FALSE)&gt;0,VLOOKUP(A36,Schlußkurse!A$5:AU$105,37,FALSE)/VLOOKUP(A36,Buchwert_je_Aktie!A$3:AJ$103,8,FALSE),""),"")</f>
        <v>8.1916666666666664</v>
      </c>
      <c r="F36" s="70">
        <f>IF(VLOOKUP(A36,Buchwert_je_Aktie!A$3:AJ$103,9,FALSE)&lt;&gt;"",IF(VLOOKUP(A36,Schlußkurse!A$5:AU$105,38,FALSE)&gt;0,VLOOKUP(A36,Schlußkurse!A$5:AU$105,38,FALSE)/VLOOKUP(A36,Buchwert_je_Aktie!A$3:AJ$103,9,FALSE),""),"")</f>
        <v>10.78950907868191</v>
      </c>
      <c r="G36" s="70">
        <f>IF(VLOOKUP(A36,Buchwert_je_Aktie!A$3:AJ$103,10,FALSE)&lt;&gt;"",IF(VLOOKUP(A36,Schlußkurse!A$5:AU$105,39,FALSE)&gt;0,VLOOKUP(A36,Schlußkurse!A$5:AU$105,39,FALSE)/VLOOKUP(A36,Buchwert_je_Aktie!A$3:AJ$103,10,FALSE),""),"")</f>
        <v>15.46331409727947</v>
      </c>
      <c r="H36" s="70">
        <f>IF(VLOOKUP(A36,Buchwert_je_Aktie!A$3:AJ$103,11,FALSE)&lt;&gt;"",IF(VLOOKUP(A36,Schlußkurse!A$5:AU$105,40,FALSE)&gt;0,VLOOKUP(A36,Schlußkurse!A$5:AU$105,40,FALSE)/VLOOKUP(A36,Buchwert_je_Aktie!A$3:AJ$103,11,FALSE),""),"")</f>
        <v>8.8068965517241384</v>
      </c>
      <c r="I36" s="70">
        <f>IF(VLOOKUP(A36,Buchwert_je_Aktie!A$3:AJ$103,12,FALSE)&lt;&gt;"",IF(VLOOKUP(A36,Schlußkurse!A$5:AU$105,41,FALSE)&gt;0,VLOOKUP(A36,Schlußkurse!A$5:AU$105,41,FALSE)/VLOOKUP(A36,Buchwert_je_Aktie!A$3:AJ$103,12,FALSE),""),"")</f>
        <v>10.822836962919364</v>
      </c>
      <c r="J36" s="70">
        <f>IF(VLOOKUP(A36,Buchwert_je_Aktie!A$3:AJ$103,13,FALSE)&lt;&gt;"",IF(VLOOKUP(A36,Schlußkurse!A$5:AU$105,42,FALSE)&gt;0,VLOOKUP(A36,Schlußkurse!A$5:AU$105,42,FALSE)/VLOOKUP(A36,Buchwert_je_Aktie!A$3:AJ$103,13,FALSE),""),"")</f>
        <v>8.434482758620689</v>
      </c>
      <c r="K36" s="70">
        <f>IF(VLOOKUP(A36,Buchwert_je_Aktie!A$3:AJ$103,14,FALSE)&lt;&gt;"",IF(VLOOKUP(A36,Schlußkurse!A$5:AU$105,43,FALSE)&gt;0,VLOOKUP(A36,Schlußkurse!A$5:AU$105,43,FALSE)/VLOOKUP(A36,Buchwert_je_Aktie!A$3:AJ$103,14,FALSE),""),"")</f>
        <v>6.8894736842105262</v>
      </c>
      <c r="L36" s="70">
        <f>IF(VLOOKUP(A36,Buchwert_je_Aktie!A$3:AJ$103,15,FALSE)&lt;&gt;"",IF(VLOOKUP(A36,Schlußkurse!A$5:AU$105,44,FALSE)&gt;0,VLOOKUP(A36,Schlußkurse!A$5:AU$105,44,FALSE)/VLOOKUP(A36,Buchwert_je_Aktie!A$3:AJ$103,15,FALSE),""),"")</f>
        <v>4.8284566838783709</v>
      </c>
      <c r="M36" s="70">
        <f>IF(VLOOKUP(A36,Buchwert_je_Aktie!A$3:AJ$103,16,FALSE)&lt;&gt;"",IF(VLOOKUP(A36,Schlußkurse!A$5:AU$105,45,FALSE)&gt;0,VLOOKUP(A36,Schlußkurse!A$5:AU$105,45,FALSE)/VLOOKUP(A36,Buchwert_je_Aktie!A$3:AJ$103,16,FALSE),""),"")</f>
        <v>10.745526838966201</v>
      </c>
      <c r="N36" s="70">
        <f>IF(VLOOKUP(A36,Buchwert_je_Aktie!A$3:AJ$103,17,FALSE)&lt;&gt;"",IF(VLOOKUP(A36,Schlußkurse!A$5:AU$105,46,FALSE)&gt;0,VLOOKUP(A36,Schlußkurse!A$5:AU$105,46,FALSE)/VLOOKUP(A36,Buchwert_je_Aktie!A$3:AJ$103,17,FALSE),""),"")</f>
        <v>4.7362530413625299</v>
      </c>
      <c r="O36" s="70">
        <f>IF(VLOOKUP(A36,Buchwert_je_Aktie!A$3:AJ$103,18,FALSE)&lt;&gt;"",IF(VLOOKUP(A36,Schlußkurse!A$5:AU$105,47,FALSE)&gt;0,VLOOKUP(A36,Schlußkurse!A$5:AU$105,47,FALSE)/VLOOKUP(A36,Buchwert_je_Aktie!A$3:AJ$103,18,FALSE),""),"")</f>
        <v>4.3446088794926006</v>
      </c>
      <c r="P36" s="70">
        <f t="shared" ref="P36:P67" si="2">MEDIAN(C36:O36)</f>
        <v>8.434482758620689</v>
      </c>
      <c r="Q36" s="3">
        <f ca="1">VLOOKUP(A36,Schlußkurse!A$5:AU$105,35,FALSE)/VLOOKUP(A36,Buchwert_je_Aktie!A$3:AK$103,23,FALSE)</f>
        <v>8.8112094395280245</v>
      </c>
      <c r="R36" s="5">
        <f t="shared" ref="R36:R67" ca="1" si="3">IF(Q36&lt;0,IF(P36&lt;0,((Q36/P36)-1)*-1,(Q36/P36)-1),IF(P36&lt;0,ABS((Q36/P36)-1),(Q36/P36)-1))</f>
        <v>4.466506028746009E-2</v>
      </c>
    </row>
    <row r="37" spans="1:18">
      <c r="A37" t="s">
        <v>48</v>
      </c>
      <c r="B37" s="38" t="s">
        <v>49</v>
      </c>
      <c r="C37" s="70">
        <f>IF(VLOOKUP(A37,Buchwert_je_Aktie!A$3:AJ$103,6,FALSE)&lt;&gt;"",IF(VLOOKUP(A37,Schlußkurse!A$5:AU$105,35,FALSE)&gt;0,VLOOKUP(A37,Schlußkurse!A$5:AU$105,35,FALSE) /VLOOKUP(A37,Buchwert_je_Aktie!A$3:AJ$103,6,FALSE),""),"")</f>
        <v>3.2861445783132526</v>
      </c>
      <c r="D37" s="70">
        <f>IF(VLOOKUP(A37,Buchwert_je_Aktie!A$3:AJ$103,7,FALSE)&lt;&gt;"",IF(VLOOKUP(A37,Schlußkurse!A$5:AU$105,36,FALSE)&gt;0,VLOOKUP(A37,Schlußkurse!A$5:AU$105,36,FALSE)/VLOOKUP(A37,Buchwert_je_Aktie!A$3:AJ$103,7,FALSE),""),"")</f>
        <v>3.7363013698630136</v>
      </c>
      <c r="E37" s="70">
        <f>IF(VLOOKUP(A37,Buchwert_je_Aktie!A$3:AJ$103,8,FALSE)&lt;&gt;"",IF(VLOOKUP(A37,Schlußkurse!A$5:AU$105,37,FALSE)&gt;0,VLOOKUP(A37,Schlußkurse!A$5:AU$105,37,FALSE)/VLOOKUP(A37,Buchwert_je_Aktie!A$3:AJ$103,8,FALSE),""),"")</f>
        <v>3.8616541353383456</v>
      </c>
      <c r="F37" s="70">
        <f>IF(VLOOKUP(A37,Buchwert_je_Aktie!A$3:AJ$103,9,FALSE)&lt;&gt;"",IF(VLOOKUP(A37,Schlußkurse!A$5:AU$105,38,FALSE)&gt;0,VLOOKUP(A37,Schlußkurse!A$5:AU$105,38,FALSE)/VLOOKUP(A37,Buchwert_je_Aktie!A$3:AJ$103,9,FALSE),""),"")</f>
        <v>4.0499612703330747</v>
      </c>
      <c r="G37" s="70">
        <f>IF(VLOOKUP(A37,Buchwert_je_Aktie!A$3:AJ$103,10,FALSE)&lt;&gt;"",IF(VLOOKUP(A37,Schlußkurse!A$5:AU$105,39,FALSE)&gt;0,VLOOKUP(A37,Schlußkurse!A$5:AU$105,39,FALSE)/VLOOKUP(A37,Buchwert_je_Aktie!A$3:AJ$103,10,FALSE),""),"")</f>
        <v>3.6532322426177175</v>
      </c>
      <c r="H37" s="70">
        <f>IF(VLOOKUP(A37,Buchwert_je_Aktie!A$3:AJ$103,11,FALSE)&lt;&gt;"",IF(VLOOKUP(A37,Schlußkurse!A$5:AU$105,40,FALSE)&gt;0,VLOOKUP(A37,Schlußkurse!A$5:AU$105,40,FALSE)/VLOOKUP(A37,Buchwert_je_Aktie!A$3:AJ$103,11,FALSE),""),"")</f>
        <v>2.6704761904761902</v>
      </c>
      <c r="I37" s="70">
        <f>IF(VLOOKUP(A37,Buchwert_je_Aktie!A$3:AJ$103,12,FALSE)&lt;&gt;"",IF(VLOOKUP(A37,Schlußkurse!A$5:AU$105,41,FALSE)&gt;0,VLOOKUP(A37,Schlußkurse!A$5:AU$105,41,FALSE)/VLOOKUP(A37,Buchwert_je_Aktie!A$3:AJ$103,12,FALSE),""),"")</f>
        <v>2.810972996142306</v>
      </c>
      <c r="J37" s="70">
        <f>IF(VLOOKUP(A37,Buchwert_je_Aktie!A$3:AJ$103,13,FALSE)&lt;&gt;"",IF(VLOOKUP(A37,Schlußkurse!A$5:AU$105,42,FALSE)&gt;0,VLOOKUP(A37,Schlußkurse!A$5:AU$105,42,FALSE)/VLOOKUP(A37,Buchwert_je_Aktie!A$3:AJ$103,13,FALSE),""),"")</f>
        <v>2.9522673031026256</v>
      </c>
      <c r="K37" s="70">
        <f>IF(VLOOKUP(A37,Buchwert_je_Aktie!A$3:AJ$103,14,FALSE)&lt;&gt;"",IF(VLOOKUP(A37,Schlußkurse!A$5:AU$105,43,FALSE)&gt;0,VLOOKUP(A37,Schlußkurse!A$5:AU$105,43,FALSE)/VLOOKUP(A37,Buchwert_je_Aktie!A$3:AJ$103,14,FALSE),""),"")</f>
        <v>3.1176185866408517</v>
      </c>
      <c r="L37" s="70">
        <f>IF(VLOOKUP(A37,Buchwert_je_Aktie!A$3:AJ$103,15,FALSE)&lt;&gt;"",IF(VLOOKUP(A37,Schlußkurse!A$5:AU$105,44,FALSE)&gt;0,VLOOKUP(A37,Schlußkurse!A$5:AU$105,44,FALSE)/VLOOKUP(A37,Buchwert_je_Aktie!A$3:AJ$103,15,FALSE),""),"")</f>
        <v>3.2569406641262928</v>
      </c>
      <c r="M37" s="70">
        <f>IF(VLOOKUP(A37,Buchwert_je_Aktie!A$3:AJ$103,16,FALSE)&lt;&gt;"",IF(VLOOKUP(A37,Schlußkurse!A$5:AU$105,45,FALSE)&gt;0,VLOOKUP(A37,Schlußkurse!A$5:AU$105,45,FALSE)/VLOOKUP(A37,Buchwert_je_Aktie!A$3:AJ$103,16,FALSE),""),"")</f>
        <v>4.3452768729641695</v>
      </c>
      <c r="N37" s="70">
        <f>IF(VLOOKUP(A37,Buchwert_je_Aktie!A$3:AJ$103,17,FALSE)&lt;&gt;"",IF(VLOOKUP(A37,Schlußkurse!A$5:AU$105,46,FALSE)&gt;0,VLOOKUP(A37,Schlußkurse!A$5:AU$105,46,FALSE)/VLOOKUP(A37,Buchwert_je_Aktie!A$3:AJ$103,17,FALSE),""),"")</f>
        <v>4.3331147540983608</v>
      </c>
      <c r="O37" s="70">
        <f>IF(VLOOKUP(A37,Buchwert_je_Aktie!A$3:AJ$103,18,FALSE)&lt;&gt;"",IF(VLOOKUP(A37,Schlußkurse!A$5:AU$105,47,FALSE)&gt;0,VLOOKUP(A37,Schlußkurse!A$5:AU$105,47,FALSE)/VLOOKUP(A37,Buchwert_je_Aktie!A$3:AJ$103,18,FALSE),""),"")</f>
        <v>4.422369389256807</v>
      </c>
      <c r="P37" s="70">
        <f t="shared" si="2"/>
        <v>3.6532322426177175</v>
      </c>
      <c r="Q37" s="3">
        <f ca="1">VLOOKUP(A37,Schlußkurse!A$5:AU$105,35,FALSE)/VLOOKUP(A37,Buchwert_je_Aktie!A$3:AK$103,23,FALSE)</f>
        <v>3.9846603360116868</v>
      </c>
      <c r="R37" s="5">
        <f t="shared" ca="1" si="3"/>
        <v>9.07218789781854E-2</v>
      </c>
    </row>
    <row r="38" spans="1:18">
      <c r="A38" t="s">
        <v>314</v>
      </c>
      <c r="B38" s="38" t="s">
        <v>315</v>
      </c>
      <c r="C38" s="70">
        <f>IF(VLOOKUP(A38,Buchwert_je_Aktie!A$3:AJ$103,6,FALSE)&lt;&gt;"",IF(VLOOKUP(A38,Schlußkurse!A$5:AU$105,35,FALSE)&gt;0,VLOOKUP(A38,Schlußkurse!A$5:AU$105,35,FALSE) /VLOOKUP(A38,Buchwert_je_Aktie!A$3:AJ$103,6,FALSE),""),"")</f>
        <v>1.5884615384615386</v>
      </c>
      <c r="D38" s="70">
        <f>IF(VLOOKUP(A38,Buchwert_je_Aktie!A$3:AJ$103,7,FALSE)&lt;&gt;"",IF(VLOOKUP(A38,Schlußkurse!A$5:AU$105,36,FALSE)&gt;0,VLOOKUP(A38,Schlußkurse!A$5:AU$105,36,FALSE)/VLOOKUP(A38,Buchwert_je_Aktie!A$3:AJ$103,7,FALSE),""),"")</f>
        <v>1.6179381443298968</v>
      </c>
      <c r="E38" s="70">
        <f>IF(VLOOKUP(A38,Buchwert_je_Aktie!A$3:AJ$103,8,FALSE)&lt;&gt;"",IF(VLOOKUP(A38,Schlußkurse!A$5:AU$105,37,FALSE)&gt;0,VLOOKUP(A38,Schlußkurse!A$5:AU$105,37,FALSE)/VLOOKUP(A38,Buchwert_je_Aktie!A$3:AJ$103,8,FALSE),""),"")</f>
        <v>1.5513859275053306</v>
      </c>
      <c r="F38" s="70" t="str">
        <f>IF(VLOOKUP(A38,Buchwert_je_Aktie!A$3:AJ$103,9,FALSE)&lt;&gt;"",IF(VLOOKUP(A38,Schlußkurse!A$5:AU$105,38,FALSE)&gt;0,VLOOKUP(A38,Schlußkurse!A$5:AU$105,38,FALSE)/VLOOKUP(A38,Buchwert_je_Aktie!A$3:AJ$103,9,FALSE),""),"")</f>
        <v/>
      </c>
      <c r="G38" s="70" t="str">
        <f>IF(VLOOKUP(A38,Buchwert_je_Aktie!A$3:AJ$103,10,FALSE)&lt;&gt;"",IF(VLOOKUP(A38,Schlußkurse!A$5:AU$105,39,FALSE)&gt;0,VLOOKUP(A38,Schlußkurse!A$5:AU$105,39,FALSE)/VLOOKUP(A38,Buchwert_je_Aktie!A$3:AJ$103,10,FALSE),""),"")</f>
        <v/>
      </c>
      <c r="H38" s="70" t="str">
        <f>IF(VLOOKUP(A38,Buchwert_je_Aktie!A$3:AJ$103,11,FALSE)&lt;&gt;"",IF(VLOOKUP(A38,Schlußkurse!A$5:AU$105,40,FALSE)&gt;0,VLOOKUP(A38,Schlußkurse!A$5:AU$105,40,FALSE)/VLOOKUP(A38,Buchwert_je_Aktie!A$3:AJ$103,11,FALSE),""),"")</f>
        <v/>
      </c>
      <c r="I38" s="70" t="str">
        <f>IF(VLOOKUP(A38,Buchwert_je_Aktie!A$3:AJ$103,12,FALSE)&lt;&gt;"",IF(VLOOKUP(A38,Schlußkurse!A$5:AU$105,41,FALSE)&gt;0,VLOOKUP(A38,Schlußkurse!A$5:AU$105,41,FALSE)/VLOOKUP(A38,Buchwert_je_Aktie!A$3:AJ$103,12,FALSE),""),"")</f>
        <v/>
      </c>
      <c r="J38" s="70" t="str">
        <f>IF(VLOOKUP(A38,Buchwert_je_Aktie!A$3:AJ$103,13,FALSE)&lt;&gt;"",IF(VLOOKUP(A38,Schlußkurse!A$5:AU$105,42,FALSE)&gt;0,VLOOKUP(A38,Schlußkurse!A$5:AU$105,42,FALSE)/VLOOKUP(A38,Buchwert_je_Aktie!A$3:AJ$103,13,FALSE),""),"")</f>
        <v/>
      </c>
      <c r="K38" s="70" t="str">
        <f>IF(VLOOKUP(A38,Buchwert_je_Aktie!A$3:AJ$103,14,FALSE)&lt;&gt;"",IF(VLOOKUP(A38,Schlußkurse!A$5:AU$105,43,FALSE)&gt;0,VLOOKUP(A38,Schlußkurse!A$5:AU$105,43,FALSE)/VLOOKUP(A38,Buchwert_je_Aktie!A$3:AJ$103,14,FALSE),""),"")</f>
        <v/>
      </c>
      <c r="L38" s="70" t="str">
        <f>IF(VLOOKUP(A38,Buchwert_je_Aktie!A$3:AJ$103,15,FALSE)&lt;&gt;"",IF(VLOOKUP(A38,Schlußkurse!A$5:AU$105,44,FALSE)&gt;0,VLOOKUP(A38,Schlußkurse!A$5:AU$105,44,FALSE)/VLOOKUP(A38,Buchwert_je_Aktie!A$3:AJ$103,15,FALSE),""),"")</f>
        <v/>
      </c>
      <c r="M38" s="70" t="str">
        <f>IF(VLOOKUP(A38,Buchwert_je_Aktie!A$3:AJ$103,16,FALSE)&lt;&gt;"",IF(VLOOKUP(A38,Schlußkurse!A$5:AU$105,45,FALSE)&gt;0,VLOOKUP(A38,Schlußkurse!A$5:AU$105,45,FALSE)/VLOOKUP(A38,Buchwert_je_Aktie!A$3:AJ$103,16,FALSE),""),"")</f>
        <v/>
      </c>
      <c r="N38" s="70" t="str">
        <f>IF(VLOOKUP(A38,Buchwert_je_Aktie!A$3:AJ$103,17,FALSE)&lt;&gt;"",IF(VLOOKUP(A38,Schlußkurse!A$5:AU$105,46,FALSE)&gt;0,VLOOKUP(A38,Schlußkurse!A$5:AU$105,46,FALSE)/VLOOKUP(A38,Buchwert_je_Aktie!A$3:AJ$103,17,FALSE),""),"")</f>
        <v/>
      </c>
      <c r="O38" s="70" t="str">
        <f>IF(VLOOKUP(A38,Buchwert_je_Aktie!A$3:AJ$103,18,FALSE)&lt;&gt;"",IF(VLOOKUP(A38,Schlußkurse!A$5:AU$105,47,FALSE)&gt;0,VLOOKUP(A38,Schlußkurse!A$5:AU$105,47,FALSE)/VLOOKUP(A38,Buchwert_je_Aktie!A$3:AJ$103,18,FALSE),""),"")</f>
        <v/>
      </c>
      <c r="P38" s="70">
        <f t="shared" si="2"/>
        <v>1.5884615384615386</v>
      </c>
      <c r="Q38" s="3">
        <f ca="1">VLOOKUP(A38,Schlußkurse!A$5:AU$105,35,FALSE)/VLOOKUP(A38,Buchwert_je_Aktie!A$3:AK$103,23,FALSE)</f>
        <v>1.6561840439003801</v>
      </c>
      <c r="R38" s="5">
        <f t="shared" ca="1" si="3"/>
        <v>4.2634022794427962E-2</v>
      </c>
    </row>
    <row r="39" spans="1:18">
      <c r="A39" t="s">
        <v>50</v>
      </c>
      <c r="B39" s="38" t="s">
        <v>51</v>
      </c>
      <c r="C39" s="70">
        <f>IF(VLOOKUP(A39,Buchwert_je_Aktie!A$3:AJ$103,6,FALSE)&lt;&gt;"",IF(VLOOKUP(A39,Schlußkurse!A$5:AU$105,35,FALSE)&gt;0,VLOOKUP(A39,Schlußkurse!A$5:AU$105,35,FALSE) /VLOOKUP(A39,Buchwert_je_Aktie!A$3:AJ$103,6,FALSE),""),"")</f>
        <v>-34.961748633879779</v>
      </c>
      <c r="D39" s="70">
        <f>IF(VLOOKUP(A39,Buchwert_je_Aktie!A$3:AJ$103,7,FALSE)&lt;&gt;"",IF(VLOOKUP(A39,Schlußkurse!A$5:AU$105,36,FALSE)&gt;0,VLOOKUP(A39,Schlußkurse!A$5:AU$105,36,FALSE)/VLOOKUP(A39,Buchwert_je_Aktie!A$3:AJ$103,7,FALSE),""),"")</f>
        <v>-27.283582089552237</v>
      </c>
      <c r="E39" s="70">
        <f>IF(VLOOKUP(A39,Buchwert_je_Aktie!A$3:AJ$103,8,FALSE)&lt;&gt;"",IF(VLOOKUP(A39,Schlußkurse!A$5:AU$105,37,FALSE)&gt;0,VLOOKUP(A39,Schlußkurse!A$5:AU$105,37,FALSE)/VLOOKUP(A39,Buchwert_je_Aktie!A$3:AJ$103,8,FALSE),""),"")</f>
        <v>-44.75</v>
      </c>
      <c r="F39" s="70">
        <f>IF(VLOOKUP(A39,Buchwert_je_Aktie!A$3:AJ$103,9,FALSE)&lt;&gt;"",IF(VLOOKUP(A39,Schlußkurse!A$5:AU$105,38,FALSE)&gt;0,VLOOKUP(A39,Schlußkurse!A$5:AU$105,38,FALSE)/VLOOKUP(A39,Buchwert_je_Aktie!A$3:AJ$103,9,FALSE),""),"")</f>
        <v>11.982097186700766</v>
      </c>
      <c r="G39" s="70">
        <f>IF(VLOOKUP(A39,Buchwert_je_Aktie!A$3:AJ$103,10,FALSE)&lt;&gt;"",IF(VLOOKUP(A39,Schlußkurse!A$5:AU$105,39,FALSE)&gt;0,VLOOKUP(A39,Schlußkurse!A$5:AU$105,39,FALSE)/VLOOKUP(A39,Buchwert_je_Aktie!A$3:AJ$103,10,FALSE),""),"")</f>
        <v>7.2681647940074905</v>
      </c>
      <c r="H39" s="70">
        <f>IF(VLOOKUP(A39,Buchwert_je_Aktie!A$3:AJ$103,11,FALSE)&lt;&gt;"",IF(VLOOKUP(A39,Schlußkurse!A$5:AU$105,40,FALSE)&gt;0,VLOOKUP(A39,Schlußkurse!A$5:AU$105,40,FALSE)/VLOOKUP(A39,Buchwert_je_Aktie!A$3:AJ$103,11,FALSE),""),"")</f>
        <v>5.4585396039603955</v>
      </c>
      <c r="I39" s="70">
        <f>IF(VLOOKUP(A39,Buchwert_je_Aktie!A$3:AJ$103,12,FALSE)&lt;&gt;"",IF(VLOOKUP(A39,Schlußkurse!A$5:AU$105,41,FALSE)&gt;0,VLOOKUP(A39,Schlußkurse!A$5:AU$105,41,FALSE)/VLOOKUP(A39,Buchwert_je_Aktie!A$3:AJ$103,12,FALSE),""),"")</f>
        <v>6.5790163934426227</v>
      </c>
      <c r="J39" s="70">
        <f>IF(VLOOKUP(A39,Buchwert_je_Aktie!A$3:AJ$103,13,FALSE)&lt;&gt;"",IF(VLOOKUP(A39,Schlußkurse!A$5:AU$105,42,FALSE)&gt;0,VLOOKUP(A39,Schlußkurse!A$5:AU$105,42,FALSE)/VLOOKUP(A39,Buchwert_je_Aktie!A$3:AJ$103,13,FALSE),""),"")</f>
        <v>5.4478353442157559</v>
      </c>
      <c r="K39" s="70">
        <f>IF(VLOOKUP(A39,Buchwert_je_Aktie!A$3:AJ$103,14,FALSE)&lt;&gt;"",IF(VLOOKUP(A39,Schlußkurse!A$5:AU$105,43,FALSE)&gt;0,VLOOKUP(A39,Schlußkurse!A$5:AU$105,43,FALSE)/VLOOKUP(A39,Buchwert_je_Aktie!A$3:AJ$103,14,FALSE),""),"")</f>
        <v>4.4953203743700501</v>
      </c>
      <c r="L39" s="70">
        <f>IF(VLOOKUP(A39,Buchwert_je_Aktie!A$3:AJ$103,15,FALSE)&lt;&gt;"",IF(VLOOKUP(A39,Schlußkurse!A$5:AU$105,44,FALSE)&gt;0,VLOOKUP(A39,Schlußkurse!A$5:AU$105,44,FALSE)/VLOOKUP(A39,Buchwert_je_Aktie!A$3:AJ$103,15,FALSE),""),"")</f>
        <v>4.9084451460142065</v>
      </c>
      <c r="M39" s="70">
        <f>IF(VLOOKUP(A39,Buchwert_je_Aktie!A$3:AJ$103,16,FALSE)&lt;&gt;"",IF(VLOOKUP(A39,Schlußkurse!A$5:AU$105,45,FALSE)&gt;0,VLOOKUP(A39,Schlußkurse!A$5:AU$105,45,FALSE)/VLOOKUP(A39,Buchwert_je_Aktie!A$3:AJ$103,16,FALSE),""),"")</f>
        <v>4.9091666666666667</v>
      </c>
      <c r="N39" s="70">
        <f>IF(VLOOKUP(A39,Buchwert_je_Aktie!A$3:AJ$103,17,FALSE)&lt;&gt;"",IF(VLOOKUP(A39,Schlußkurse!A$5:AU$105,46,FALSE)&gt;0,VLOOKUP(A39,Schlußkurse!A$5:AU$105,46,FALSE)/VLOOKUP(A39,Buchwert_je_Aktie!A$3:AJ$103,17,FALSE),""),"")</f>
        <v>3.3867276887871856</v>
      </c>
      <c r="O39" s="70">
        <f>IF(VLOOKUP(A39,Buchwert_je_Aktie!A$3:AJ$103,18,FALSE)&lt;&gt;"",IF(VLOOKUP(A39,Schlußkurse!A$5:AU$105,47,FALSE)&gt;0,VLOOKUP(A39,Schlußkurse!A$5:AU$105,47,FALSE)/VLOOKUP(A39,Buchwert_je_Aktie!A$3:AJ$103,18,FALSE),""),"")</f>
        <v>2.6261682242990654</v>
      </c>
      <c r="P39" s="70">
        <f t="shared" si="2"/>
        <v>4.9084451460142065</v>
      </c>
      <c r="Q39" s="3">
        <f ca="1">VLOOKUP(A39,Schlußkurse!A$5:AU$105,35,FALSE)/VLOOKUP(A39,Buchwert_je_Aktie!A$3:AK$103,23,FALSE)</f>
        <v>-39.311827956989248</v>
      </c>
      <c r="R39" s="5">
        <f t="shared" ca="1" si="3"/>
        <v>-9.0090184951769388</v>
      </c>
    </row>
    <row r="40" spans="1:18">
      <c r="A40" t="s">
        <v>52</v>
      </c>
      <c r="B40" s="38" t="s">
        <v>53</v>
      </c>
      <c r="C40" s="70">
        <f>IF(VLOOKUP(A40,Buchwert_je_Aktie!A$3:AJ$103,6,FALSE)&lt;&gt;"",IF(VLOOKUP(A40,Schlußkurse!A$5:AU$105,35,FALSE)&gt;0,VLOOKUP(A40,Schlußkurse!A$5:AU$105,35,FALSE) /VLOOKUP(A40,Buchwert_je_Aktie!A$3:AJ$103,6,FALSE),""),"")</f>
        <v>3.1454545454545451</v>
      </c>
      <c r="D40" s="70">
        <f>IF(VLOOKUP(A40,Buchwert_je_Aktie!A$3:AJ$103,7,FALSE)&lt;&gt;"",IF(VLOOKUP(A40,Schlußkurse!A$5:AU$105,36,FALSE)&gt;0,VLOOKUP(A40,Schlußkurse!A$5:AU$105,36,FALSE)/VLOOKUP(A40,Buchwert_je_Aktie!A$3:AJ$103,7,FALSE),""),"")</f>
        <v>3.2374269005847949</v>
      </c>
      <c r="E40" s="70">
        <f>IF(VLOOKUP(A40,Buchwert_je_Aktie!A$3:AJ$103,8,FALSE)&lt;&gt;"",IF(VLOOKUP(A40,Schlußkurse!A$5:AU$105,37,FALSE)&gt;0,VLOOKUP(A40,Schlußkurse!A$5:AU$105,37,FALSE)/VLOOKUP(A40,Buchwert_je_Aktie!A$3:AJ$103,8,FALSE),""),"")</f>
        <v>3.0182857142857142</v>
      </c>
      <c r="F40" s="70">
        <f>IF(VLOOKUP(A40,Buchwert_je_Aktie!A$3:AJ$103,9,FALSE)&lt;&gt;"",IF(VLOOKUP(A40,Schlußkurse!A$5:AU$105,38,FALSE)&gt;0,VLOOKUP(A40,Schlußkurse!A$5:AU$105,38,FALSE)/VLOOKUP(A40,Buchwert_je_Aktie!A$3:AJ$103,9,FALSE),""),"")</f>
        <v>3.5361145703611458</v>
      </c>
      <c r="G40" s="70">
        <f>IF(VLOOKUP(A40,Buchwert_je_Aktie!A$3:AJ$103,10,FALSE)&lt;&gt;"",IF(VLOOKUP(A40,Schlußkurse!A$5:AU$105,39,FALSE)&gt;0,VLOOKUP(A40,Schlußkurse!A$5:AU$105,39,FALSE)/VLOOKUP(A40,Buchwert_je_Aktie!A$3:AJ$103,10,FALSE),""),"")</f>
        <v>2.9200700116686114</v>
      </c>
      <c r="H40" s="70">
        <f>IF(VLOOKUP(A40,Buchwert_je_Aktie!A$3:AJ$103,11,FALSE)&lt;&gt;"",IF(VLOOKUP(A40,Schlußkurse!A$5:AU$105,40,FALSE)&gt;0,VLOOKUP(A40,Schlußkurse!A$5:AU$105,40,FALSE)/VLOOKUP(A40,Buchwert_je_Aktie!A$3:AJ$103,11,FALSE),""),"")</f>
        <v>2.408235294117647</v>
      </c>
      <c r="I40" s="70">
        <f>IF(VLOOKUP(A40,Buchwert_je_Aktie!A$3:AJ$103,12,FALSE)&lt;&gt;"",IF(VLOOKUP(A40,Schlußkurse!A$5:AU$105,41,FALSE)&gt;0,VLOOKUP(A40,Schlußkurse!A$5:AU$105,41,FALSE)/VLOOKUP(A40,Buchwert_je_Aktie!A$3:AJ$103,12,FALSE),""),"")</f>
        <v>2.1518264840182653</v>
      </c>
      <c r="J40" s="70">
        <f>IF(VLOOKUP(A40,Buchwert_je_Aktie!A$3:AJ$103,13,FALSE)&lt;&gt;"",IF(VLOOKUP(A40,Schlußkurse!A$5:AU$105,42,FALSE)&gt;0,VLOOKUP(A40,Schlußkurse!A$5:AU$105,42,FALSE)/VLOOKUP(A40,Buchwert_je_Aktie!A$3:AJ$103,13,FALSE),""),"")</f>
        <v>2.0100390407138873</v>
      </c>
      <c r="K40" s="70">
        <f>IF(VLOOKUP(A40,Buchwert_je_Aktie!A$3:AJ$103,14,FALSE)&lt;&gt;"",IF(VLOOKUP(A40,Schlußkurse!A$5:AU$105,43,FALSE)&gt;0,VLOOKUP(A40,Schlußkurse!A$5:AU$105,43,FALSE)/VLOOKUP(A40,Buchwert_je_Aktie!A$3:AJ$103,14,FALSE),""),"")</f>
        <v>2.0714285714285712</v>
      </c>
      <c r="L40" s="70">
        <f>IF(VLOOKUP(A40,Buchwert_je_Aktie!A$3:AJ$103,15,FALSE)&lt;&gt;"",IF(VLOOKUP(A40,Schlußkurse!A$5:AU$105,44,FALSE)&gt;0,VLOOKUP(A40,Schlußkurse!A$5:AU$105,44,FALSE)/VLOOKUP(A40,Buchwert_je_Aktie!A$3:AJ$103,15,FALSE),""),"")</f>
        <v>1.5999999999999999</v>
      </c>
      <c r="M40" s="70" t="str">
        <f>IF(VLOOKUP(A40,Buchwert_je_Aktie!A$3:AJ$103,16,FALSE)&lt;&gt;"",IF(VLOOKUP(A40,Schlußkurse!A$5:AU$105,45,FALSE)&gt;0,VLOOKUP(A40,Schlußkurse!A$5:AU$105,45,FALSE)/VLOOKUP(A40,Buchwert_je_Aktie!A$3:AJ$103,16,FALSE),""),"")</f>
        <v/>
      </c>
      <c r="N40" s="70" t="str">
        <f>IF(VLOOKUP(A40,Buchwert_je_Aktie!A$3:AJ$103,17,FALSE)&lt;&gt;"",IF(VLOOKUP(A40,Schlußkurse!A$5:AU$105,46,FALSE)&gt;0,VLOOKUP(A40,Schlußkurse!A$5:AU$105,46,FALSE)/VLOOKUP(A40,Buchwert_je_Aktie!A$3:AJ$103,17,FALSE),""),"")</f>
        <v/>
      </c>
      <c r="O40" s="70" t="str">
        <f>IF(VLOOKUP(A40,Buchwert_je_Aktie!A$3:AJ$103,18,FALSE)&lt;&gt;"",IF(VLOOKUP(A40,Schlußkurse!A$5:AU$105,47,FALSE)&gt;0,VLOOKUP(A40,Schlußkurse!A$5:AU$105,47,FALSE)/VLOOKUP(A40,Buchwert_je_Aktie!A$3:AJ$103,18,FALSE),""),"")</f>
        <v/>
      </c>
      <c r="P40" s="70">
        <f t="shared" si="2"/>
        <v>2.6641526528931294</v>
      </c>
      <c r="Q40" s="3">
        <f ca="1">VLOOKUP(A40,Schlußkurse!A$5:AU$105,35,FALSE)/VLOOKUP(A40,Buchwert_je_Aktie!A$3:AK$103,23,FALSE)</f>
        <v>3.1852704257767552</v>
      </c>
      <c r="R40" s="5">
        <f t="shared" ca="1" si="3"/>
        <v>0.19560357110832949</v>
      </c>
    </row>
    <row r="41" spans="1:18">
      <c r="A41" t="s">
        <v>54</v>
      </c>
      <c r="B41" s="38" t="s">
        <v>55</v>
      </c>
      <c r="C41" s="70">
        <f>IF(VLOOKUP(A41,Buchwert_je_Aktie!A$3:AJ$103,6,FALSE)&lt;&gt;"",IF(VLOOKUP(A41,Schlußkurse!A$5:AU$105,35,FALSE)&gt;0,VLOOKUP(A41,Schlußkurse!A$5:AU$105,35,FALSE) /VLOOKUP(A41,Buchwert_je_Aktie!A$3:AJ$103,6,FALSE),""),"")</f>
        <v>4.6118644067796613</v>
      </c>
      <c r="D41" s="70">
        <f>IF(VLOOKUP(A41,Buchwert_je_Aktie!A$3:AJ$103,7,FALSE)&lt;&gt;"",IF(VLOOKUP(A41,Schlußkurse!A$5:AU$105,36,FALSE)&gt;0,VLOOKUP(A41,Schlußkurse!A$5:AU$105,36,FALSE)/VLOOKUP(A41,Buchwert_je_Aktie!A$3:AJ$103,7,FALSE),""),"")</f>
        <v>5.1828571428571433</v>
      </c>
      <c r="E41" s="70">
        <f>IF(VLOOKUP(A41,Buchwert_je_Aktie!A$3:AJ$103,8,FALSE)&lt;&gt;"",IF(VLOOKUP(A41,Schlußkurse!A$5:AU$105,37,FALSE)&gt;0,VLOOKUP(A41,Schlußkurse!A$5:AU$105,37,FALSE)/VLOOKUP(A41,Buchwert_je_Aktie!A$3:AJ$103,8,FALSE),""),"")</f>
        <v>4.2864077669902905</v>
      </c>
      <c r="F41" s="70">
        <f>IF(VLOOKUP(A41,Buchwert_je_Aktie!A$3:AJ$103,9,FALSE)&lt;&gt;"",IF(VLOOKUP(A41,Schlußkurse!A$5:AU$105,38,FALSE)&gt;0,VLOOKUP(A41,Schlußkurse!A$5:AU$105,38,FALSE)/VLOOKUP(A41,Buchwert_je_Aktie!A$3:AJ$103,9,FALSE),""),"")</f>
        <v>4.1783567134268536</v>
      </c>
      <c r="G41" s="70">
        <f>IF(VLOOKUP(A41,Buchwert_je_Aktie!A$3:AJ$103,10,FALSE)&lt;&gt;"",IF(VLOOKUP(A41,Schlußkurse!A$5:AU$105,39,FALSE)&gt;0,VLOOKUP(A41,Schlußkurse!A$5:AU$105,39,FALSE)/VLOOKUP(A41,Buchwert_je_Aktie!A$3:AJ$103,10,FALSE),""),"")</f>
        <v>3.1692660550458718</v>
      </c>
      <c r="H41" s="70">
        <f>IF(VLOOKUP(A41,Buchwert_je_Aktie!A$3:AJ$103,11,FALSE)&lt;&gt;"",IF(VLOOKUP(A41,Schlußkurse!A$5:AU$105,40,FALSE)&gt;0,VLOOKUP(A41,Schlußkurse!A$5:AU$105,40,FALSE)/VLOOKUP(A41,Buchwert_je_Aktie!A$3:AJ$103,11,FALSE),""),"")</f>
        <v>3.2267932489451474</v>
      </c>
      <c r="I41" s="70">
        <f>IF(VLOOKUP(A41,Buchwert_je_Aktie!A$3:AJ$103,12,FALSE)&lt;&gt;"",IF(VLOOKUP(A41,Schlußkurse!A$5:AU$105,41,FALSE)&gt;0,VLOOKUP(A41,Schlußkurse!A$5:AU$105,41,FALSE)/VLOOKUP(A41,Buchwert_je_Aktie!A$3:AJ$103,12,FALSE),""),"")</f>
        <v>3.2828282828282829</v>
      </c>
      <c r="J41" s="70">
        <f>IF(VLOOKUP(A41,Buchwert_je_Aktie!A$3:AJ$103,13,FALSE)&lt;&gt;"",IF(VLOOKUP(A41,Schlußkurse!A$5:AU$105,42,FALSE)&gt;0,VLOOKUP(A41,Schlußkurse!A$5:AU$105,42,FALSE)/VLOOKUP(A41,Buchwert_je_Aktie!A$3:AJ$103,13,FALSE),""),"")</f>
        <v>3.3739002932551321</v>
      </c>
      <c r="K41" s="70">
        <f>IF(VLOOKUP(A41,Buchwert_je_Aktie!A$3:AJ$103,14,FALSE)&lt;&gt;"",IF(VLOOKUP(A41,Schlußkurse!A$5:AU$105,43,FALSE)&gt;0,VLOOKUP(A41,Schlußkurse!A$5:AU$105,43,FALSE)/VLOOKUP(A41,Buchwert_je_Aktie!A$3:AJ$103,14,FALSE),""),"")</f>
        <v>4.4596622889305815</v>
      </c>
      <c r="L41" s="70">
        <f>IF(VLOOKUP(A41,Buchwert_je_Aktie!A$3:AJ$103,15,FALSE)&lt;&gt;"",IF(VLOOKUP(A41,Schlußkurse!A$5:AU$105,44,FALSE)&gt;0,VLOOKUP(A41,Schlußkurse!A$5:AU$105,44,FALSE)/VLOOKUP(A41,Buchwert_je_Aktie!A$3:AJ$103,15,FALSE),""),"")</f>
        <v>6.1959459459459456</v>
      </c>
      <c r="M41" s="70">
        <f>IF(VLOOKUP(A41,Buchwert_je_Aktie!A$3:AJ$103,16,FALSE)&lt;&gt;"",IF(VLOOKUP(A41,Schlußkurse!A$5:AU$105,45,FALSE)&gt;0,VLOOKUP(A41,Schlußkurse!A$5:AU$105,45,FALSE)/VLOOKUP(A41,Buchwert_je_Aktie!A$3:AJ$103,16,FALSE),""),"")</f>
        <v>7.4231738035264474</v>
      </c>
      <c r="N41" s="70">
        <f>IF(VLOOKUP(A41,Buchwert_je_Aktie!A$3:AJ$103,17,FALSE)&lt;&gt;"",IF(VLOOKUP(A41,Schlußkurse!A$5:AU$105,46,FALSE)&gt;0,VLOOKUP(A41,Schlußkurse!A$5:AU$105,46,FALSE)/VLOOKUP(A41,Buchwert_je_Aktie!A$3:AJ$103,17,FALSE),""),"")</f>
        <v>7.0180722891566267</v>
      </c>
      <c r="O41" s="70">
        <f>IF(VLOOKUP(A41,Buchwert_je_Aktie!A$3:AJ$103,18,FALSE)&lt;&gt;"",IF(VLOOKUP(A41,Schlußkurse!A$5:AU$105,47,FALSE)&gt;0,VLOOKUP(A41,Schlußkurse!A$5:AU$105,47,FALSE)/VLOOKUP(A41,Buchwert_je_Aktie!A$3:AJ$103,18,FALSE),""),"")</f>
        <v>6.2255639097744355</v>
      </c>
      <c r="P41" s="70">
        <f t="shared" si="2"/>
        <v>4.4596622889305815</v>
      </c>
      <c r="Q41" s="3">
        <f ca="1">VLOOKUP(A41,Schlußkurse!A$5:AU$105,35,FALSE)/VLOOKUP(A41,Buchwert_je_Aktie!A$3:AK$103,23,FALSE)</f>
        <v>5.2024005523394763</v>
      </c>
      <c r="R41" s="5">
        <f t="shared" ca="1" si="3"/>
        <v>0.16654585376396347</v>
      </c>
    </row>
    <row r="42" spans="1:18">
      <c r="A42" t="s">
        <v>56</v>
      </c>
      <c r="B42" s="38" t="s">
        <v>57</v>
      </c>
      <c r="C42" s="70">
        <f>IF(VLOOKUP(A42,Buchwert_je_Aktie!A$3:AJ$103,6,FALSE)&lt;&gt;"",IF(VLOOKUP(A42,Schlußkurse!A$5:AU$105,35,FALSE)&gt;0,VLOOKUP(A42,Schlußkurse!A$5:AU$105,35,FALSE) /VLOOKUP(A42,Buchwert_je_Aktie!A$3:AJ$103,6,FALSE),""),"")</f>
        <v>2.2391534391534393</v>
      </c>
      <c r="D42" s="70">
        <f>IF(VLOOKUP(A42,Buchwert_je_Aktie!A$3:AJ$103,7,FALSE)&lt;&gt;"",IF(VLOOKUP(A42,Schlußkurse!A$5:AU$105,36,FALSE)&gt;0,VLOOKUP(A42,Schlußkurse!A$5:AU$105,36,FALSE)/VLOOKUP(A42,Buchwert_je_Aktie!A$3:AJ$103,7,FALSE),""),"")</f>
        <v>2.1591836734693874</v>
      </c>
      <c r="E42" s="70">
        <f>IF(VLOOKUP(A42,Buchwert_je_Aktie!A$3:AJ$103,8,FALSE)&lt;&gt;"",IF(VLOOKUP(A42,Schlußkurse!A$5:AU$105,37,FALSE)&gt;0,VLOOKUP(A42,Schlußkurse!A$5:AU$105,37,FALSE)/VLOOKUP(A42,Buchwert_je_Aktie!A$3:AJ$103,8,FALSE),""),"")</f>
        <v>2.3724867724867726</v>
      </c>
      <c r="F42" s="70">
        <f>IF(VLOOKUP(A42,Buchwert_je_Aktie!A$3:AJ$103,9,FALSE)&lt;&gt;"",IF(VLOOKUP(A42,Schlußkurse!A$5:AU$105,38,FALSE)&gt;0,VLOOKUP(A42,Schlußkurse!A$5:AU$105,38,FALSE)/VLOOKUP(A42,Buchwert_je_Aktie!A$3:AJ$103,9,FALSE),""),"")</f>
        <v>2.0487873660462492</v>
      </c>
      <c r="G42" s="70">
        <f>IF(VLOOKUP(A42,Buchwert_je_Aktie!A$3:AJ$103,10,FALSE)&lt;&gt;"",IF(VLOOKUP(A42,Schlußkurse!A$5:AU$105,39,FALSE)&gt;0,VLOOKUP(A42,Schlußkurse!A$5:AU$105,39,FALSE)/VLOOKUP(A42,Buchwert_je_Aktie!A$3:AJ$103,10,FALSE),""),"")</f>
        <v>2.1163069544364506</v>
      </c>
      <c r="H42" s="70">
        <f>IF(VLOOKUP(A42,Buchwert_je_Aktie!A$3:AJ$103,11,FALSE)&lt;&gt;"",IF(VLOOKUP(A42,Schlußkurse!A$5:AU$105,40,FALSE)&gt;0,VLOOKUP(A42,Schlußkurse!A$5:AU$105,40,FALSE)/VLOOKUP(A42,Buchwert_je_Aktie!A$3:AJ$103,11,FALSE),""),"")</f>
        <v>0.67966280295047421</v>
      </c>
      <c r="I42" s="70">
        <f>IF(VLOOKUP(A42,Buchwert_je_Aktie!A$3:AJ$103,12,FALSE)&lt;&gt;"",IF(VLOOKUP(A42,Schlußkurse!A$5:AU$105,41,FALSE)&gt;0,VLOOKUP(A42,Schlußkurse!A$5:AU$105,41,FALSE)/VLOOKUP(A42,Buchwert_je_Aktie!A$3:AJ$103,12,FALSE),""),"")</f>
        <v>1.0010485651214127</v>
      </c>
      <c r="J42" s="70">
        <f>IF(VLOOKUP(A42,Buchwert_je_Aktie!A$3:AJ$103,13,FALSE)&lt;&gt;"",IF(VLOOKUP(A42,Schlußkurse!A$5:AU$105,42,FALSE)&gt;0,VLOOKUP(A42,Schlußkurse!A$5:AU$105,42,FALSE)/VLOOKUP(A42,Buchwert_je_Aktie!A$3:AJ$103,13,FALSE),""),"")</f>
        <v>0.33319946452476568</v>
      </c>
      <c r="K42" s="70">
        <f>IF(VLOOKUP(A42,Buchwert_je_Aktie!A$3:AJ$103,14,FALSE)&lt;&gt;"",IF(VLOOKUP(A42,Schlußkurse!A$5:AU$105,43,FALSE)&gt;0,VLOOKUP(A42,Schlußkurse!A$5:AU$105,43,FALSE)/VLOOKUP(A42,Buchwert_je_Aktie!A$3:AJ$103,14,FALSE),""),"")</f>
        <v>0.49307317073170731</v>
      </c>
      <c r="L42" s="70">
        <f>IF(VLOOKUP(A42,Buchwert_je_Aktie!A$3:AJ$103,15,FALSE)&lt;&gt;"",IF(VLOOKUP(A42,Schlußkurse!A$5:AU$105,44,FALSE)&gt;0,VLOOKUP(A42,Schlußkurse!A$5:AU$105,44,FALSE)/VLOOKUP(A42,Buchwert_je_Aktie!A$3:AJ$103,15,FALSE),""),"")</f>
        <v>9.4574528840662475E-2</v>
      </c>
      <c r="M42" s="70" t="str">
        <f>IF(VLOOKUP(A42,Buchwert_je_Aktie!A$3:AJ$103,16,FALSE)&lt;&gt;"",IF(VLOOKUP(A42,Schlußkurse!A$5:AU$105,45,FALSE)&gt;0,VLOOKUP(A42,Schlußkurse!A$5:AU$105,45,FALSE)/VLOOKUP(A42,Buchwert_je_Aktie!A$3:AJ$103,16,FALSE),""),"")</f>
        <v/>
      </c>
      <c r="N42" s="70" t="str">
        <f>IF(VLOOKUP(A42,Buchwert_je_Aktie!A$3:AJ$103,17,FALSE)&lt;&gt;"",IF(VLOOKUP(A42,Schlußkurse!A$5:AU$105,46,FALSE)&gt;0,VLOOKUP(A42,Schlußkurse!A$5:AU$105,46,FALSE)/VLOOKUP(A42,Buchwert_je_Aktie!A$3:AJ$103,17,FALSE),""),"")</f>
        <v/>
      </c>
      <c r="O42" s="70" t="str">
        <f>IF(VLOOKUP(A42,Buchwert_je_Aktie!A$3:AJ$103,18,FALSE)&lt;&gt;"",IF(VLOOKUP(A42,Schlußkurse!A$5:AU$105,47,FALSE)&gt;0,VLOOKUP(A42,Schlußkurse!A$5:AU$105,47,FALSE)/VLOOKUP(A42,Buchwert_je_Aktie!A$3:AJ$103,18,FALSE),""),"")</f>
        <v/>
      </c>
      <c r="P42" s="70">
        <f t="shared" si="2"/>
        <v>1.524917965583831</v>
      </c>
      <c r="Q42" s="3">
        <f ca="1">VLOOKUP(A42,Schlußkurse!A$5:AU$105,35,FALSE)/VLOOKUP(A42,Buchwert_je_Aktie!A$3:AK$103,23,FALSE)</f>
        <v>2.2145473574045003</v>
      </c>
      <c r="R42" s="5">
        <f t="shared" ca="1" si="3"/>
        <v>0.45224032202718356</v>
      </c>
    </row>
    <row r="43" spans="1:18">
      <c r="A43" t="s">
        <v>58</v>
      </c>
      <c r="B43" s="38" t="s">
        <v>59</v>
      </c>
      <c r="C43" s="70">
        <f>IF(VLOOKUP(A43,Buchwert_je_Aktie!A$3:AJ$103,6,FALSE)&lt;&gt;"",IF(VLOOKUP(A43,Schlußkurse!A$5:AU$105,35,FALSE)&gt;0,VLOOKUP(A43,Schlußkurse!A$5:AU$105,35,FALSE) /VLOOKUP(A43,Buchwert_je_Aktie!A$3:AJ$103,6,FALSE),""),"")</f>
        <v>6.1878571428571423</v>
      </c>
      <c r="D43" s="70">
        <f>IF(VLOOKUP(A43,Buchwert_je_Aktie!A$3:AJ$103,7,FALSE)&lt;&gt;"",IF(VLOOKUP(A43,Schlußkurse!A$5:AU$105,36,FALSE)&gt;0,VLOOKUP(A43,Schlußkurse!A$5:AU$105,36,FALSE)/VLOOKUP(A43,Buchwert_je_Aktie!A$3:AJ$103,7,FALSE),""),"")</f>
        <v>6.3233576642335763</v>
      </c>
      <c r="E43" s="70">
        <f>IF(VLOOKUP(A43,Buchwert_je_Aktie!A$3:AJ$103,8,FALSE)&lt;&gt;"",IF(VLOOKUP(A43,Schlußkurse!A$5:AU$105,37,FALSE)&gt;0,VLOOKUP(A43,Schlußkurse!A$5:AU$105,37,FALSE)/VLOOKUP(A43,Buchwert_je_Aktie!A$3:AJ$103,8,FALSE),""),"")</f>
        <v>8.7187500000000018</v>
      </c>
      <c r="F43" s="70">
        <f>IF(VLOOKUP(A43,Buchwert_je_Aktie!A$3:AJ$103,9,FALSE)&lt;&gt;"",IF(VLOOKUP(A43,Schlußkurse!A$5:AU$105,38,FALSE)&gt;0,VLOOKUP(A43,Schlußkurse!A$5:AU$105,38,FALSE)/VLOOKUP(A43,Buchwert_je_Aktie!A$3:AJ$103,9,FALSE),""),"")</f>
        <v>7.7409638554216871</v>
      </c>
      <c r="G43" s="70">
        <f>IF(VLOOKUP(A43,Buchwert_je_Aktie!A$3:AJ$103,10,FALSE)&lt;&gt;"",IF(VLOOKUP(A43,Schlußkurse!A$5:AU$105,39,FALSE)&gt;0,VLOOKUP(A43,Schlußkurse!A$5:AU$105,39,FALSE)/VLOOKUP(A43,Buchwert_je_Aktie!A$3:AJ$103,10,FALSE),""),"")</f>
        <v>6.0314232902033273</v>
      </c>
      <c r="H43" s="70">
        <f>IF(VLOOKUP(A43,Buchwert_je_Aktie!A$3:AJ$103,11,FALSE)&lt;&gt;"",IF(VLOOKUP(A43,Schlußkurse!A$5:AU$105,40,FALSE)&gt;0,VLOOKUP(A43,Schlußkurse!A$5:AU$105,40,FALSE)/VLOOKUP(A43,Buchwert_je_Aktie!A$3:AJ$103,11,FALSE),""),"")</f>
        <v>3.6693344566133113</v>
      </c>
      <c r="I43" s="70">
        <f>IF(VLOOKUP(A43,Buchwert_je_Aktie!A$3:AJ$103,12,FALSE)&lt;&gt;"",IF(VLOOKUP(A43,Schlußkurse!A$5:AU$105,41,FALSE)&gt;0,VLOOKUP(A43,Schlußkurse!A$5:AU$105,41,FALSE)/VLOOKUP(A43,Buchwert_je_Aktie!A$3:AJ$103,12,FALSE),""),"")</f>
        <v>3.1133694670280039</v>
      </c>
      <c r="J43" s="70">
        <f>IF(VLOOKUP(A43,Buchwert_je_Aktie!A$3:AJ$103,13,FALSE)&lt;&gt;"",IF(VLOOKUP(A43,Schlußkurse!A$5:AU$105,42,FALSE)&gt;0,VLOOKUP(A43,Schlußkurse!A$5:AU$105,42,FALSE)/VLOOKUP(A43,Buchwert_je_Aktie!A$3:AJ$103,13,FALSE),""),"")</f>
        <v>2.4408901251738526</v>
      </c>
      <c r="K43" s="70">
        <f>IF(VLOOKUP(A43,Buchwert_je_Aktie!A$3:AJ$103,14,FALSE)&lt;&gt;"",IF(VLOOKUP(A43,Schlußkurse!A$5:AU$105,43,FALSE)&gt;0,VLOOKUP(A43,Schlußkurse!A$5:AU$105,43,FALSE)/VLOOKUP(A43,Buchwert_je_Aktie!A$3:AJ$103,14,FALSE),""),"")</f>
        <v>4.4879614767255207</v>
      </c>
      <c r="L43" s="70">
        <f>IF(VLOOKUP(A43,Buchwert_je_Aktie!A$3:AJ$103,15,FALSE)&lt;&gt;"",IF(VLOOKUP(A43,Schlußkurse!A$5:AU$105,44,FALSE)&gt;0,VLOOKUP(A43,Schlußkurse!A$5:AU$105,44,FALSE)/VLOOKUP(A43,Buchwert_je_Aktie!A$3:AJ$103,15,FALSE),""),"")</f>
        <v>6.2024972855591747</v>
      </c>
      <c r="M43" s="70">
        <f>IF(VLOOKUP(A43,Buchwert_je_Aktie!A$3:AJ$103,16,FALSE)&lt;&gt;"",IF(VLOOKUP(A43,Schlußkurse!A$5:AU$105,45,FALSE)&gt;0,VLOOKUP(A43,Schlußkurse!A$5:AU$105,45,FALSE)/VLOOKUP(A43,Buchwert_je_Aktie!A$3:AJ$103,16,FALSE),""),"")</f>
        <v>4.080748976009362</v>
      </c>
      <c r="N43" s="70">
        <f>IF(VLOOKUP(A43,Buchwert_je_Aktie!A$3:AJ$103,17,FALSE)&lt;&gt;"",IF(VLOOKUP(A43,Schlußkurse!A$5:AU$105,46,FALSE)&gt;0,VLOOKUP(A43,Schlußkurse!A$5:AU$105,46,FALSE)/VLOOKUP(A43,Buchwert_je_Aktie!A$3:AJ$103,17,FALSE),""),"")</f>
        <v>3.4487272727272726</v>
      </c>
      <c r="O43" s="70">
        <f>IF(VLOOKUP(A43,Buchwert_je_Aktie!A$3:AJ$103,18,FALSE)&lt;&gt;"",IF(VLOOKUP(A43,Schlußkurse!A$5:AU$105,47,FALSE)&gt;0,VLOOKUP(A43,Schlußkurse!A$5:AU$105,47,FALSE)/VLOOKUP(A43,Buchwert_je_Aktie!A$3:AJ$103,18,FALSE),""),"")</f>
        <v>2.6519567027477104</v>
      </c>
      <c r="P43" s="70">
        <f t="shared" si="2"/>
        <v>4.4879614767255207</v>
      </c>
      <c r="Q43" s="3">
        <f ca="1">VLOOKUP(A43,Schlußkurse!A$5:AU$105,35,FALSE)/VLOOKUP(A43,Buchwert_je_Aktie!A$3:AK$103,23,FALSE)</f>
        <v>6.7767926988265978</v>
      </c>
      <c r="R43" s="5">
        <f t="shared" ca="1" si="3"/>
        <v>0.50999350907330876</v>
      </c>
    </row>
    <row r="44" spans="1:18">
      <c r="A44" t="s">
        <v>60</v>
      </c>
      <c r="B44" s="38" t="s">
        <v>61</v>
      </c>
      <c r="C44" s="70">
        <f>IF(VLOOKUP(A44,Buchwert_je_Aktie!A$3:AJ$103,6,FALSE)&lt;&gt;"",IF(VLOOKUP(A44,Schlußkurse!A$5:AU$105,35,FALSE)&gt;0,VLOOKUP(A44,Schlußkurse!A$5:AU$105,35,FALSE) /VLOOKUP(A44,Buchwert_je_Aktie!A$3:AJ$103,6,FALSE),""),"")</f>
        <v>3.420338983050847</v>
      </c>
      <c r="D44" s="70">
        <f>IF(VLOOKUP(A44,Buchwert_je_Aktie!A$3:AJ$103,7,FALSE)&lt;&gt;"",IF(VLOOKUP(A44,Schlußkurse!A$5:AU$105,36,FALSE)&gt;0,VLOOKUP(A44,Schlußkurse!A$5:AU$105,36,FALSE)/VLOOKUP(A44,Buchwert_je_Aktie!A$3:AJ$103,7,FALSE),""),"")</f>
        <v>3.5403508771929824</v>
      </c>
      <c r="E44" s="70">
        <f>IF(VLOOKUP(A44,Buchwert_je_Aktie!A$3:AJ$103,8,FALSE)&lt;&gt;"",IF(VLOOKUP(A44,Schlußkurse!A$5:AU$105,37,FALSE)&gt;0,VLOOKUP(A44,Schlußkurse!A$5:AU$105,37,FALSE)/VLOOKUP(A44,Buchwert_je_Aktie!A$3:AJ$103,8,FALSE),""),"")</f>
        <v>3.9536363636363636</v>
      </c>
      <c r="F44" s="70">
        <f>IF(VLOOKUP(A44,Buchwert_je_Aktie!A$3:AJ$103,9,FALSE)&lt;&gt;"",IF(VLOOKUP(A44,Schlußkurse!A$5:AU$105,38,FALSE)&gt;0,VLOOKUP(A44,Schlußkurse!A$5:AU$105,38,FALSE)/VLOOKUP(A44,Buchwert_je_Aktie!A$3:AJ$103,9,FALSE),""),"")</f>
        <v>3.7517857142857149</v>
      </c>
      <c r="G44" s="70">
        <f>IF(VLOOKUP(A44,Buchwert_je_Aktie!A$3:AJ$103,10,FALSE)&lt;&gt;"",IF(VLOOKUP(A44,Schlußkurse!A$5:AU$105,39,FALSE)&gt;0,VLOOKUP(A44,Schlußkurse!A$5:AU$105,39,FALSE)/VLOOKUP(A44,Buchwert_je_Aktie!A$3:AJ$103,10,FALSE),""),"")</f>
        <v>3.2171428571428571</v>
      </c>
      <c r="H44" s="70">
        <f>IF(VLOOKUP(A44,Buchwert_je_Aktie!A$3:AJ$103,11,FALSE)&lt;&gt;"",IF(VLOOKUP(A44,Schlußkurse!A$5:AU$105,40,FALSE)&gt;0,VLOOKUP(A44,Schlußkurse!A$5:AU$105,40,FALSE)/VLOOKUP(A44,Buchwert_je_Aktie!A$3:AJ$103,11,FALSE),""),"")</f>
        <v>2.7544224765868885</v>
      </c>
      <c r="I44" s="70">
        <f>IF(VLOOKUP(A44,Buchwert_je_Aktie!A$3:AJ$103,12,FALSE)&lt;&gt;"",IF(VLOOKUP(A44,Schlußkurse!A$5:AU$105,41,FALSE)&gt;0,VLOOKUP(A44,Schlußkurse!A$5:AU$105,41,FALSE)/VLOOKUP(A44,Buchwert_je_Aktie!A$3:AJ$103,12,FALSE),""),"")</f>
        <v>3.8406285072951736</v>
      </c>
      <c r="J44" s="70">
        <f>IF(VLOOKUP(A44,Buchwert_je_Aktie!A$3:AJ$103,13,FALSE)&lt;&gt;"",IF(VLOOKUP(A44,Schlußkurse!A$5:AU$105,42,FALSE)&gt;0,VLOOKUP(A44,Schlußkurse!A$5:AU$105,42,FALSE)/VLOOKUP(A44,Buchwert_je_Aktie!A$3:AJ$103,13,FALSE),""),"")</f>
        <v>2.8751592356687898</v>
      </c>
      <c r="K44" s="70">
        <f>IF(VLOOKUP(A44,Buchwert_je_Aktie!A$3:AJ$103,14,FALSE)&lt;&gt;"",IF(VLOOKUP(A44,Schlußkurse!A$5:AU$105,43,FALSE)&gt;0,VLOOKUP(A44,Schlußkurse!A$5:AU$105,43,FALSE)/VLOOKUP(A44,Buchwert_je_Aktie!A$3:AJ$103,14,FALSE),""),"")</f>
        <v>3.195758564437194</v>
      </c>
      <c r="L44" s="70">
        <f>IF(VLOOKUP(A44,Buchwert_je_Aktie!A$3:AJ$103,15,FALSE)&lt;&gt;"",IF(VLOOKUP(A44,Schlußkurse!A$5:AU$105,44,FALSE)&gt;0,VLOOKUP(A44,Schlußkurse!A$5:AU$105,44,FALSE)/VLOOKUP(A44,Buchwert_je_Aktie!A$3:AJ$103,15,FALSE),""),"")</f>
        <v>4.5588822355289427</v>
      </c>
      <c r="M44" s="70">
        <f>IF(VLOOKUP(A44,Buchwert_je_Aktie!A$3:AJ$103,16,FALSE)&lt;&gt;"",IF(VLOOKUP(A44,Schlußkurse!A$5:AU$105,45,FALSE)&gt;0,VLOOKUP(A44,Schlußkurse!A$5:AU$105,45,FALSE)/VLOOKUP(A44,Buchwert_je_Aktie!A$3:AJ$103,16,FALSE),""),"")</f>
        <v>4.3355704697986575</v>
      </c>
      <c r="N44" s="70">
        <f>IF(VLOOKUP(A44,Buchwert_je_Aktie!A$3:AJ$103,17,FALSE)&lt;&gt;"",IF(VLOOKUP(A44,Schlußkurse!A$5:AU$105,46,FALSE)&gt;0,VLOOKUP(A44,Schlußkurse!A$5:AU$105,46,FALSE)/VLOOKUP(A44,Buchwert_je_Aktie!A$3:AJ$103,17,FALSE),""),"")</f>
        <v>4.2960725075528705</v>
      </c>
      <c r="O44" s="70">
        <f>IF(VLOOKUP(A44,Buchwert_je_Aktie!A$3:AJ$103,18,FALSE)&lt;&gt;"",IF(VLOOKUP(A44,Schlußkurse!A$5:AU$105,47,FALSE)&gt;0,VLOOKUP(A44,Schlußkurse!A$5:AU$105,47,FALSE)/VLOOKUP(A44,Buchwert_je_Aktie!A$3:AJ$103,18,FALSE),""),"")</f>
        <v>4.4599303135888499</v>
      </c>
      <c r="P44" s="70">
        <f t="shared" si="2"/>
        <v>3.7517857142857149</v>
      </c>
      <c r="Q44" s="3">
        <f ca="1">VLOOKUP(A44,Schlußkurse!A$5:AU$105,35,FALSE)/VLOOKUP(A44,Buchwert_je_Aktie!A$3:AK$103,23,FALSE)</f>
        <v>3.5549031121550203</v>
      </c>
      <c r="R44" s="5">
        <f t="shared" ca="1" si="3"/>
        <v>-5.2477038169057133E-2</v>
      </c>
    </row>
    <row r="45" spans="1:18">
      <c r="A45" t="s">
        <v>62</v>
      </c>
      <c r="B45" s="38" t="s">
        <v>63</v>
      </c>
      <c r="C45" s="70">
        <f>IF(VLOOKUP(A45,Buchwert_je_Aktie!A$3:AJ$103,6,FALSE)&lt;&gt;"",IF(VLOOKUP(A45,Schlußkurse!A$5:AU$105,35,FALSE)&gt;0,VLOOKUP(A45,Schlußkurse!A$5:AU$105,35,FALSE) /VLOOKUP(A45,Buchwert_je_Aktie!A$3:AJ$103,6,FALSE),""),"")</f>
        <v>13.753926701570681</v>
      </c>
      <c r="D45" s="70">
        <f>IF(VLOOKUP(A45,Buchwert_je_Aktie!A$3:AJ$103,7,FALSE)&lt;&gt;"",IF(VLOOKUP(A45,Schlußkurse!A$5:AU$105,36,FALSE)&gt;0,VLOOKUP(A45,Schlußkurse!A$5:AU$105,36,FALSE)/VLOOKUP(A45,Buchwert_je_Aktie!A$3:AJ$103,7,FALSE),""),"")</f>
        <v>12.333333333333334</v>
      </c>
      <c r="E45" s="70">
        <f>IF(VLOOKUP(A45,Buchwert_je_Aktie!A$3:AJ$103,8,FALSE)&lt;&gt;"",IF(VLOOKUP(A45,Schlußkurse!A$5:AU$105,37,FALSE)&gt;0,VLOOKUP(A45,Schlußkurse!A$5:AU$105,37,FALSE)/VLOOKUP(A45,Buchwert_je_Aktie!A$3:AJ$103,8,FALSE),""),"")</f>
        <v>12.474406991260924</v>
      </c>
      <c r="F45" s="70">
        <f>IF(VLOOKUP(A45,Buchwert_je_Aktie!A$3:AJ$103,9,FALSE)&lt;&gt;"",IF(VLOOKUP(A45,Schlußkurse!A$5:AU$105,38,FALSE)&gt;0,VLOOKUP(A45,Schlußkurse!A$5:AU$105,38,FALSE)/VLOOKUP(A45,Buchwert_je_Aktie!A$3:AJ$103,9,FALSE),""),"")</f>
        <v>11.230403800475059</v>
      </c>
      <c r="G45" s="70">
        <f>IF(VLOOKUP(A45,Buchwert_je_Aktie!A$3:AJ$103,10,FALSE)&lt;&gt;"",IF(VLOOKUP(A45,Schlußkurse!A$5:AU$105,39,FALSE)&gt;0,VLOOKUP(A45,Schlußkurse!A$5:AU$105,39,FALSE)/VLOOKUP(A45,Buchwert_je_Aktie!A$3:AJ$103,10,FALSE),""),"")</f>
        <v>6.9522212908633696</v>
      </c>
      <c r="H45" s="70">
        <f>IF(VLOOKUP(A45,Buchwert_je_Aktie!A$3:AJ$103,11,FALSE)&lt;&gt;"",IF(VLOOKUP(A45,Schlußkurse!A$5:AU$105,40,FALSE)&gt;0,VLOOKUP(A45,Schlußkurse!A$5:AU$105,40,FALSE)/VLOOKUP(A45,Buchwert_je_Aktie!A$3:AJ$103,11,FALSE),""),"")</f>
        <v>4.2503105590062109</v>
      </c>
      <c r="I45" s="70">
        <f>IF(VLOOKUP(A45,Buchwert_je_Aktie!A$3:AJ$103,12,FALSE)&lt;&gt;"",IF(VLOOKUP(A45,Schlußkurse!A$5:AU$105,41,FALSE)&gt;0,VLOOKUP(A45,Schlußkurse!A$5:AU$105,41,FALSE)/VLOOKUP(A45,Buchwert_je_Aktie!A$3:AJ$103,12,FALSE),""),"")</f>
        <v>4.5445205479452051</v>
      </c>
      <c r="J45" s="70">
        <f>IF(VLOOKUP(A45,Buchwert_je_Aktie!A$3:AJ$103,13,FALSE)&lt;&gt;"",IF(VLOOKUP(A45,Schlußkurse!A$5:AU$105,42,FALSE)&gt;0,VLOOKUP(A45,Schlußkurse!A$5:AU$105,42,FALSE)/VLOOKUP(A45,Buchwert_je_Aktie!A$3:AJ$103,13,FALSE),""),"")</f>
        <v>4.8608630952380949</v>
      </c>
      <c r="K45" s="70">
        <f>IF(VLOOKUP(A45,Buchwert_je_Aktie!A$3:AJ$103,14,FALSE)&lt;&gt;"",IF(VLOOKUP(A45,Schlußkurse!A$5:AU$105,43,FALSE)&gt;0,VLOOKUP(A45,Schlußkurse!A$5:AU$105,43,FALSE)/VLOOKUP(A45,Buchwert_je_Aktie!A$3:AJ$103,14,FALSE),""),"")</f>
        <v>4.4542124542124535</v>
      </c>
      <c r="L45" s="70">
        <f>IF(VLOOKUP(A45,Buchwert_je_Aktie!A$3:AJ$103,15,FALSE)&lt;&gt;"",IF(VLOOKUP(A45,Schlußkurse!A$5:AU$105,44,FALSE)&gt;0,VLOOKUP(A45,Schlußkurse!A$5:AU$105,44,FALSE)/VLOOKUP(A45,Buchwert_je_Aktie!A$3:AJ$103,15,FALSE),""),"")</f>
        <v>4.8858162355040138</v>
      </c>
      <c r="M45" s="70">
        <f>IF(VLOOKUP(A45,Buchwert_je_Aktie!A$3:AJ$103,16,FALSE)&lt;&gt;"",IF(VLOOKUP(A45,Schlußkurse!A$5:AU$105,45,FALSE)&gt;0,VLOOKUP(A45,Schlußkurse!A$5:AU$105,45,FALSE)/VLOOKUP(A45,Buchwert_je_Aktie!A$3:AJ$103,16,FALSE),""),"")</f>
        <v>9.6564885496183201</v>
      </c>
      <c r="N45" s="70">
        <f>IF(VLOOKUP(A45,Buchwert_je_Aktie!A$3:AJ$103,17,FALSE)&lt;&gt;"",IF(VLOOKUP(A45,Schlußkurse!A$5:AU$105,46,FALSE)&gt;0,VLOOKUP(A45,Schlußkurse!A$5:AU$105,46,FALSE)/VLOOKUP(A45,Buchwert_je_Aktie!A$3:AJ$103,17,FALSE),""),"")</f>
        <v>5.8072289156626509</v>
      </c>
      <c r="O45" s="70">
        <f>IF(VLOOKUP(A45,Buchwert_je_Aktie!A$3:AJ$103,18,FALSE)&lt;&gt;"",IF(VLOOKUP(A45,Schlußkurse!A$5:AU$105,47,FALSE)&gt;0,VLOOKUP(A45,Schlußkurse!A$5:AU$105,47,FALSE)/VLOOKUP(A45,Buchwert_je_Aktie!A$3:AJ$103,18,FALSE),""),"")</f>
        <v>6.2926829268292686</v>
      </c>
      <c r="P45" s="70">
        <f t="shared" si="2"/>
        <v>6.2926829268292686</v>
      </c>
      <c r="Q45" s="3">
        <f ca="1">VLOOKUP(A45,Schlußkurse!A$5:AU$105,35,FALSE)/VLOOKUP(A45,Buchwert_je_Aktie!A$3:AK$103,23,FALSE)</f>
        <v>12.872718363346808</v>
      </c>
      <c r="R45" s="5">
        <f t="shared" ca="1" si="3"/>
        <v>1.0456645461132523</v>
      </c>
    </row>
    <row r="46" spans="1:18">
      <c r="A46" t="s">
        <v>64</v>
      </c>
      <c r="B46" s="38" t="s">
        <v>65</v>
      </c>
      <c r="C46" s="70">
        <f>IF(VLOOKUP(A46,Buchwert_je_Aktie!A$3:AJ$103,6,FALSE)&lt;&gt;"",IF(VLOOKUP(A46,Schlußkurse!A$5:AU$105,35,FALSE)&gt;0,VLOOKUP(A46,Schlußkurse!A$5:AU$105,35,FALSE) /VLOOKUP(A46,Buchwert_je_Aktie!A$3:AJ$103,6,FALSE),""),"")</f>
        <v>2.754237288135593</v>
      </c>
      <c r="D46" s="70">
        <f>IF(VLOOKUP(A46,Buchwert_je_Aktie!A$3:AJ$103,7,FALSE)&lt;&gt;"",IF(VLOOKUP(A46,Schlußkurse!A$5:AU$105,36,FALSE)&gt;0,VLOOKUP(A46,Schlußkurse!A$5:AU$105,36,FALSE)/VLOOKUP(A46,Buchwert_je_Aktie!A$3:AJ$103,7,FALSE),""),"")</f>
        <v>2.9279279279279282</v>
      </c>
      <c r="E46" s="70">
        <f>IF(VLOOKUP(A46,Buchwert_je_Aktie!A$3:AJ$103,8,FALSE)&lt;&gt;"",IF(VLOOKUP(A46,Schlußkurse!A$5:AU$105,37,FALSE)&gt;0,VLOOKUP(A46,Schlußkurse!A$5:AU$105,37,FALSE)/VLOOKUP(A46,Buchwert_je_Aktie!A$3:AJ$103,8,FALSE),""),"")</f>
        <v>3.0168224299065423</v>
      </c>
      <c r="F46" s="70">
        <f>IF(VLOOKUP(A46,Buchwert_je_Aktie!A$3:AJ$103,9,FALSE)&lt;&gt;"",IF(VLOOKUP(A46,Schlußkurse!A$5:AU$105,38,FALSE)&gt;0,VLOOKUP(A46,Schlußkurse!A$5:AU$105,38,FALSE)/VLOOKUP(A46,Buchwert_je_Aktie!A$3:AJ$103,9,FALSE),""),"")</f>
        <v>2.9723282442748089</v>
      </c>
      <c r="G46" s="70">
        <f>IF(VLOOKUP(A46,Buchwert_je_Aktie!A$3:AJ$103,10,FALSE)&lt;&gt;"",IF(VLOOKUP(A46,Schlußkurse!A$5:AU$105,39,FALSE)&gt;0,VLOOKUP(A46,Schlußkurse!A$5:AU$105,39,FALSE)/VLOOKUP(A46,Buchwert_je_Aktie!A$3:AJ$103,10,FALSE),""),"")</f>
        <v>2.7034421888790821</v>
      </c>
      <c r="H46" s="70">
        <f>IF(VLOOKUP(A46,Buchwert_je_Aktie!A$3:AJ$103,11,FALSE)&lt;&gt;"",IF(VLOOKUP(A46,Schlußkurse!A$5:AU$105,40,FALSE)&gt;0,VLOOKUP(A46,Schlußkurse!A$5:AU$105,40,FALSE)/VLOOKUP(A46,Buchwert_je_Aktie!A$3:AJ$103,11,FALSE),""),"")</f>
        <v>2.1039681208053693</v>
      </c>
      <c r="I46" s="70">
        <f>IF(VLOOKUP(A46,Buchwert_je_Aktie!A$3:AJ$103,12,FALSE)&lt;&gt;"",IF(VLOOKUP(A46,Schlußkurse!A$5:AU$105,41,FALSE)&gt;0,VLOOKUP(A46,Schlußkurse!A$5:AU$105,41,FALSE)/VLOOKUP(A46,Buchwert_je_Aktie!A$3:AJ$103,12,FALSE),""),"")</f>
        <v>1.9373321396598031</v>
      </c>
      <c r="J46" s="70">
        <f>IF(VLOOKUP(A46,Buchwert_je_Aktie!A$3:AJ$103,13,FALSE)&lt;&gt;"",IF(VLOOKUP(A46,Schlußkurse!A$5:AU$105,42,FALSE)&gt;0,VLOOKUP(A46,Schlußkurse!A$5:AU$105,42,FALSE)/VLOOKUP(A46,Buchwert_je_Aktie!A$3:AJ$103,13,FALSE),""),"")</f>
        <v>1.6138248847926269</v>
      </c>
      <c r="K46" s="70">
        <f>IF(VLOOKUP(A46,Buchwert_je_Aktie!A$3:AJ$103,14,FALSE)&lt;&gt;"",IF(VLOOKUP(A46,Schlußkurse!A$5:AU$105,43,FALSE)&gt;0,VLOOKUP(A46,Schlußkurse!A$5:AU$105,43,FALSE)/VLOOKUP(A46,Buchwert_je_Aktie!A$3:AJ$103,14,FALSE),""),"")</f>
        <v>1.6596715328467153</v>
      </c>
      <c r="L46" s="70">
        <f>IF(VLOOKUP(A46,Buchwert_je_Aktie!A$3:AJ$103,15,FALSE)&lt;&gt;"",IF(VLOOKUP(A46,Schlußkurse!A$5:AU$105,44,FALSE)&gt;0,VLOOKUP(A46,Schlußkurse!A$5:AU$105,44,FALSE)/VLOOKUP(A46,Buchwert_je_Aktie!A$3:AJ$103,15,FALSE),""),"")</f>
        <v>1.5883408071748879</v>
      </c>
      <c r="M46" s="70" t="str">
        <f>IF(VLOOKUP(A46,Buchwert_je_Aktie!A$3:AJ$103,16,FALSE)&lt;&gt;"",IF(VLOOKUP(A46,Schlußkurse!A$5:AU$105,45,FALSE)&gt;0,VLOOKUP(A46,Schlußkurse!A$5:AU$105,45,FALSE)/VLOOKUP(A46,Buchwert_je_Aktie!A$3:AJ$103,16,FALSE),""),"")</f>
        <v/>
      </c>
      <c r="N46" s="70" t="str">
        <f>IF(VLOOKUP(A46,Buchwert_je_Aktie!A$3:AJ$103,17,FALSE)&lt;&gt;"",IF(VLOOKUP(A46,Schlußkurse!A$5:AU$105,46,FALSE)&gt;0,VLOOKUP(A46,Schlußkurse!A$5:AU$105,46,FALSE)/VLOOKUP(A46,Buchwert_je_Aktie!A$3:AJ$103,17,FALSE),""),"")</f>
        <v/>
      </c>
      <c r="O46" s="70" t="str">
        <f>IF(VLOOKUP(A46,Buchwert_je_Aktie!A$3:AJ$103,18,FALSE)&lt;&gt;"",IF(VLOOKUP(A46,Schlußkurse!A$5:AU$105,47,FALSE)&gt;0,VLOOKUP(A46,Schlußkurse!A$5:AU$105,47,FALSE)/VLOOKUP(A46,Buchwert_je_Aktie!A$3:AJ$103,18,FALSE),""),"")</f>
        <v/>
      </c>
      <c r="P46" s="70">
        <f t="shared" si="2"/>
        <v>2.4037051548422257</v>
      </c>
      <c r="Q46" s="3">
        <f ca="1">VLOOKUP(A46,Schlußkurse!A$5:AU$105,35,FALSE)/VLOOKUP(A46,Buchwert_je_Aktie!A$3:AK$103,23,FALSE)</f>
        <v>3.0036968576709802</v>
      </c>
      <c r="R46" s="5">
        <f t="shared" ca="1" si="3"/>
        <v>0.2496111894672608</v>
      </c>
    </row>
    <row r="47" spans="1:18">
      <c r="A47" t="s">
        <v>66</v>
      </c>
      <c r="B47" s="38" t="s">
        <v>67</v>
      </c>
      <c r="C47" s="70">
        <f>IF(VLOOKUP(A47,Buchwert_je_Aktie!A$3:AJ$103,6,FALSE)&lt;&gt;"",IF(VLOOKUP(A47,Schlußkurse!A$5:AU$105,35,FALSE)&gt;0,VLOOKUP(A47,Schlußkurse!A$5:AU$105,35,FALSE) /VLOOKUP(A47,Buchwert_je_Aktie!A$3:AJ$103,6,FALSE),""),"")</f>
        <v>-45.647058823529413</v>
      </c>
      <c r="D47" s="70">
        <f>IF(VLOOKUP(A47,Buchwert_je_Aktie!A$3:AJ$103,7,FALSE)&lt;&gt;"",IF(VLOOKUP(A47,Schlußkurse!A$5:AU$105,36,FALSE)&gt;0,VLOOKUP(A47,Schlußkurse!A$5:AU$105,36,FALSE)/VLOOKUP(A47,Buchwert_je_Aktie!A$3:AJ$103,7,FALSE),""),"")</f>
        <v>-29.583577712609969</v>
      </c>
      <c r="E47" s="70">
        <f>IF(VLOOKUP(A47,Buchwert_je_Aktie!A$3:AJ$103,8,FALSE)&lt;&gt;"",IF(VLOOKUP(A47,Schlußkurse!A$5:AU$105,37,FALSE)&gt;0,VLOOKUP(A47,Schlußkurse!A$5:AU$105,37,FALSE)/VLOOKUP(A47,Buchwert_je_Aktie!A$3:AJ$103,8,FALSE),""),"")</f>
        <v>-25.261494252873561</v>
      </c>
      <c r="F47" s="70">
        <f>IF(VLOOKUP(A47,Buchwert_je_Aktie!A$3:AJ$103,9,FALSE)&lt;&gt;"",IF(VLOOKUP(A47,Schlußkurse!A$5:AU$105,38,FALSE)&gt;0,VLOOKUP(A47,Schlußkurse!A$5:AU$105,38,FALSE)/VLOOKUP(A47,Buchwert_je_Aktie!A$3:AJ$103,9,FALSE),""),"")</f>
        <v>-9.5263157894736832</v>
      </c>
      <c r="G47" s="70">
        <f>IF(VLOOKUP(A47,Buchwert_je_Aktie!A$3:AJ$103,10,FALSE)&lt;&gt;"",IF(VLOOKUP(A47,Schlußkurse!A$5:AU$105,39,FALSE)&gt;0,VLOOKUP(A47,Schlußkurse!A$5:AU$105,39,FALSE)/VLOOKUP(A47,Buchwert_je_Aktie!A$3:AJ$103,10,FALSE),""),"")</f>
        <v>-10.677696078431373</v>
      </c>
      <c r="H47" s="70">
        <f>IF(VLOOKUP(A47,Buchwert_je_Aktie!A$3:AJ$103,11,FALSE)&lt;&gt;"",IF(VLOOKUP(A47,Schlußkurse!A$5:AU$105,40,FALSE)&gt;0,VLOOKUP(A47,Schlußkurse!A$5:AU$105,40,FALSE)/VLOOKUP(A47,Buchwert_je_Aktie!A$3:AJ$103,11,FALSE),""),"")</f>
        <v>-17.10429447852761</v>
      </c>
      <c r="I47" s="70">
        <f>IF(VLOOKUP(A47,Buchwert_je_Aktie!A$3:AJ$103,12,FALSE)&lt;&gt;"",IF(VLOOKUP(A47,Schlußkurse!A$5:AU$105,41,FALSE)&gt;0,VLOOKUP(A47,Schlußkurse!A$5:AU$105,41,FALSE)/VLOOKUP(A47,Buchwert_je_Aktie!A$3:AJ$103,12,FALSE),""),"")</f>
        <v>-35.351351351351347</v>
      </c>
      <c r="J47" s="70">
        <f>IF(VLOOKUP(A47,Buchwert_je_Aktie!A$3:AJ$103,13,FALSE)&lt;&gt;"",IF(VLOOKUP(A47,Schlußkurse!A$5:AU$105,42,FALSE)&gt;0,VLOOKUP(A47,Schlußkurse!A$5:AU$105,42,FALSE)/VLOOKUP(A47,Buchwert_je_Aktie!A$3:AJ$103,13,FALSE),""),"")</f>
        <v>450.23076923076923</v>
      </c>
      <c r="K47" s="70">
        <f>IF(VLOOKUP(A47,Buchwert_je_Aktie!A$3:AJ$103,14,FALSE)&lt;&gt;"",IF(VLOOKUP(A47,Schlußkurse!A$5:AU$105,43,FALSE)&gt;0,VLOOKUP(A47,Schlußkurse!A$5:AU$105,43,FALSE)/VLOOKUP(A47,Buchwert_je_Aktie!A$3:AJ$103,14,FALSE),""),"")</f>
        <v>24.712820512820514</v>
      </c>
      <c r="L47" s="70">
        <f>IF(VLOOKUP(A47,Buchwert_je_Aktie!A$3:AJ$103,15,FALSE)&lt;&gt;"",IF(VLOOKUP(A47,Schlußkurse!A$5:AU$105,44,FALSE)&gt;0,VLOOKUP(A47,Schlußkurse!A$5:AU$105,44,FALSE)/VLOOKUP(A47,Buchwert_je_Aktie!A$3:AJ$103,15,FALSE),""),"")</f>
        <v>14.35973597359736</v>
      </c>
      <c r="M47" s="70" t="str">
        <f>IF(VLOOKUP(A47,Buchwert_je_Aktie!A$3:AJ$103,16,FALSE)&lt;&gt;"",IF(VLOOKUP(A47,Schlußkurse!A$5:AU$105,45,FALSE)&gt;0,VLOOKUP(A47,Schlußkurse!A$5:AU$105,45,FALSE)/VLOOKUP(A47,Buchwert_je_Aktie!A$3:AJ$103,16,FALSE),""),"")</f>
        <v/>
      </c>
      <c r="N47" s="70" t="str">
        <f>IF(VLOOKUP(A47,Buchwert_je_Aktie!A$3:AJ$103,17,FALSE)&lt;&gt;"",IF(VLOOKUP(A47,Schlußkurse!A$5:AU$105,46,FALSE)&gt;0,VLOOKUP(A47,Schlußkurse!A$5:AU$105,46,FALSE)/VLOOKUP(A47,Buchwert_je_Aktie!A$3:AJ$103,17,FALSE),""),"")</f>
        <v/>
      </c>
      <c r="O47" s="70" t="str">
        <f>IF(VLOOKUP(A47,Buchwert_je_Aktie!A$3:AJ$103,18,FALSE)&lt;&gt;"",IF(VLOOKUP(A47,Schlußkurse!A$5:AU$105,47,FALSE)&gt;0,VLOOKUP(A47,Schlußkurse!A$5:AU$105,47,FALSE)/VLOOKUP(A47,Buchwert_je_Aktie!A$3:AJ$103,18,FALSE),""),"")</f>
        <v/>
      </c>
      <c r="P47" s="70">
        <f t="shared" si="2"/>
        <v>-13.89099527847949</v>
      </c>
      <c r="Q47" s="3">
        <f ca="1">VLOOKUP(A47,Schlußkurse!A$5:AU$105,35,FALSE)/VLOOKUP(A47,Buchwert_je_Aktie!A$3:AK$103,23,FALSE)</f>
        <v>-29.164498409945072</v>
      </c>
      <c r="R47" s="5">
        <f t="shared" ca="1" si="3"/>
        <v>-1.0995254713769813</v>
      </c>
    </row>
    <row r="48" spans="1:18">
      <c r="A48" t="s">
        <v>68</v>
      </c>
      <c r="B48" s="38" t="s">
        <v>69</v>
      </c>
      <c r="C48" s="70">
        <f>IF(VLOOKUP(A48,Buchwert_je_Aktie!A$3:AJ$103,6,FALSE)&lt;&gt;"",IF(VLOOKUP(A48,Schlußkurse!A$5:AU$105,35,FALSE)&gt;0,VLOOKUP(A48,Schlußkurse!A$5:AU$105,35,FALSE) /VLOOKUP(A48,Buchwert_je_Aktie!A$3:AJ$103,6,FALSE),""),"")</f>
        <v>3.6331877729257647</v>
      </c>
      <c r="D48" s="70">
        <f>IF(VLOOKUP(A48,Buchwert_je_Aktie!A$3:AJ$103,7,FALSE)&lt;&gt;"",IF(VLOOKUP(A48,Schlußkurse!A$5:AU$105,36,FALSE)&gt;0,VLOOKUP(A48,Schlußkurse!A$5:AU$105,36,FALSE)/VLOOKUP(A48,Buchwert_je_Aktie!A$3:AJ$103,7,FALSE),""),"")</f>
        <v>3.6651982378854626</v>
      </c>
      <c r="E48" s="70">
        <f>IF(VLOOKUP(A48,Buchwert_je_Aktie!A$3:AJ$103,8,FALSE)&lt;&gt;"",IF(VLOOKUP(A48,Schlußkurse!A$5:AU$105,37,FALSE)&gt;0,VLOOKUP(A48,Schlußkurse!A$5:AU$105,37,FALSE)/VLOOKUP(A48,Buchwert_je_Aktie!A$3:AJ$103,8,FALSE),""),"")</f>
        <v>3.5563636363636362</v>
      </c>
      <c r="F48" s="70">
        <f>IF(VLOOKUP(A48,Buchwert_je_Aktie!A$3:AJ$103,9,FALSE)&lt;&gt;"",IF(VLOOKUP(A48,Schlußkurse!A$5:AU$105,38,FALSE)&gt;0,VLOOKUP(A48,Schlußkurse!A$5:AU$105,38,FALSE)/VLOOKUP(A48,Buchwert_je_Aktie!A$3:AJ$103,9,FALSE),""),"")</f>
        <v>3.383125269048644</v>
      </c>
      <c r="G48" s="70">
        <f>IF(VLOOKUP(A48,Buchwert_je_Aktie!A$3:AJ$103,10,FALSE)&lt;&gt;"",IF(VLOOKUP(A48,Schlußkurse!A$5:AU$105,39,FALSE)&gt;0,VLOOKUP(A48,Schlußkurse!A$5:AU$105,39,FALSE)/VLOOKUP(A48,Buchwert_je_Aktie!A$3:AJ$103,10,FALSE),""),"")</f>
        <v>2.9829523440526926</v>
      </c>
      <c r="H48" s="70">
        <f>IF(VLOOKUP(A48,Buchwert_je_Aktie!A$3:AJ$103,11,FALSE)&lt;&gt;"",IF(VLOOKUP(A48,Schlußkurse!A$5:AU$105,40,FALSE)&gt;0,VLOOKUP(A48,Schlußkurse!A$5:AU$105,40,FALSE)/VLOOKUP(A48,Buchwert_je_Aktie!A$3:AJ$103,11,FALSE),""),"")</f>
        <v>2.4441340782122905</v>
      </c>
      <c r="I48" s="70">
        <f>IF(VLOOKUP(A48,Buchwert_je_Aktie!A$3:AJ$103,12,FALSE)&lt;&gt;"",IF(VLOOKUP(A48,Schlußkurse!A$5:AU$105,41,FALSE)&gt;0,VLOOKUP(A48,Schlußkurse!A$5:AU$105,41,FALSE)/VLOOKUP(A48,Buchwert_je_Aktie!A$3:AJ$103,12,FALSE),""),"")</f>
        <v>2.7283261802575107</v>
      </c>
      <c r="J48" s="70">
        <f>IF(VLOOKUP(A48,Buchwert_je_Aktie!A$3:AJ$103,13,FALSE)&lt;&gt;"",IF(VLOOKUP(A48,Schlußkurse!A$5:AU$105,42,FALSE)&gt;0,VLOOKUP(A48,Schlußkurse!A$5:AU$105,42,FALSE)/VLOOKUP(A48,Buchwert_je_Aktie!A$3:AJ$103,13,FALSE),""),"")</f>
        <v>2.4392029280195202</v>
      </c>
      <c r="K48" s="70">
        <f>IF(VLOOKUP(A48,Buchwert_je_Aktie!A$3:AJ$103,14,FALSE)&lt;&gt;"",IF(VLOOKUP(A48,Schlußkurse!A$5:AU$105,43,FALSE)&gt;0,VLOOKUP(A48,Schlußkurse!A$5:AU$105,43,FALSE)/VLOOKUP(A48,Buchwert_je_Aktie!A$3:AJ$103,14,FALSE),""),"")</f>
        <v>2.3646459972235077</v>
      </c>
      <c r="L48" s="70">
        <f>IF(VLOOKUP(A48,Buchwert_je_Aktie!A$3:AJ$103,15,FALSE)&lt;&gt;"",IF(VLOOKUP(A48,Schlußkurse!A$5:AU$105,44,FALSE)&gt;0,VLOOKUP(A48,Schlußkurse!A$5:AU$105,44,FALSE)/VLOOKUP(A48,Buchwert_je_Aktie!A$3:AJ$103,15,FALSE),""),"")</f>
        <v>2.8087759815242497</v>
      </c>
      <c r="M48" s="70">
        <f>IF(VLOOKUP(A48,Buchwert_je_Aktie!A$3:AJ$103,16,FALSE)&lt;&gt;"",IF(VLOOKUP(A48,Schlußkurse!A$5:AU$105,45,FALSE)&gt;0,VLOOKUP(A48,Schlußkurse!A$5:AU$105,45,FALSE)/VLOOKUP(A48,Buchwert_je_Aktie!A$3:AJ$103,16,FALSE),""),"")</f>
        <v>2.6708860759493671</v>
      </c>
      <c r="N48" s="70">
        <f>IF(VLOOKUP(A48,Buchwert_je_Aktie!A$3:AJ$103,17,FALSE)&lt;&gt;"",IF(VLOOKUP(A48,Schlußkurse!A$5:AU$105,46,FALSE)&gt;0,VLOOKUP(A48,Schlußkurse!A$5:AU$105,46,FALSE)/VLOOKUP(A48,Buchwert_je_Aktie!A$3:AJ$103,17,FALSE),""),"")</f>
        <v>2.6571294559099434</v>
      </c>
      <c r="O48" s="70">
        <f>IF(VLOOKUP(A48,Buchwert_je_Aktie!A$3:AJ$103,18,FALSE)&lt;&gt;"",IF(VLOOKUP(A48,Schlußkurse!A$5:AU$105,47,FALSE)&gt;0,VLOOKUP(A48,Schlußkurse!A$5:AU$105,47,FALSE)/VLOOKUP(A48,Buchwert_je_Aktie!A$3:AJ$103,18,FALSE),""),"")</f>
        <v>2.6654876200101061</v>
      </c>
      <c r="P48" s="70">
        <f t="shared" si="2"/>
        <v>2.7283261802575107</v>
      </c>
      <c r="Q48" s="3">
        <f ca="1">VLOOKUP(A48,Schlußkurse!A$5:AU$105,35,FALSE)/VLOOKUP(A48,Buchwert_je_Aktie!A$3:AK$103,23,FALSE)</f>
        <v>3.6876254262955075</v>
      </c>
      <c r="R48" s="5">
        <f t="shared" ca="1" si="3"/>
        <v>0.35160724292410461</v>
      </c>
    </row>
    <row r="49" spans="1:18">
      <c r="A49" t="s">
        <v>70</v>
      </c>
      <c r="B49" s="38" t="s">
        <v>71</v>
      </c>
      <c r="C49" s="70">
        <f>IF(VLOOKUP(A49,Buchwert_je_Aktie!A$3:AJ$103,6,FALSE)&lt;&gt;"",IF(VLOOKUP(A49,Schlußkurse!A$5:AU$105,35,FALSE)&gt;0,VLOOKUP(A49,Schlußkurse!A$5:AU$105,35,FALSE) /VLOOKUP(A49,Buchwert_je_Aktie!A$3:AJ$103,6,FALSE),""),"")</f>
        <v>5.1156862745098044</v>
      </c>
      <c r="D49" s="70">
        <f>IF(VLOOKUP(A49,Buchwert_je_Aktie!A$3:AJ$103,7,FALSE)&lt;&gt;"",IF(VLOOKUP(A49,Schlußkurse!A$5:AU$105,36,FALSE)&gt;0,VLOOKUP(A49,Schlußkurse!A$5:AU$105,36,FALSE)/VLOOKUP(A49,Buchwert_je_Aktie!A$3:AJ$103,7,FALSE),""),"")</f>
        <v>6.4579207920792081</v>
      </c>
      <c r="E49" s="70">
        <f>IF(VLOOKUP(A49,Buchwert_je_Aktie!A$3:AJ$103,8,FALSE)&lt;&gt;"",IF(VLOOKUP(A49,Schlußkurse!A$5:AU$105,37,FALSE)&gt;0,VLOOKUP(A49,Schlußkurse!A$5:AU$105,37,FALSE)/VLOOKUP(A49,Buchwert_je_Aktie!A$3:AJ$103,8,FALSE),""),"")</f>
        <v>7.1658914728682168</v>
      </c>
      <c r="F49" s="70">
        <f>IF(VLOOKUP(A49,Buchwert_je_Aktie!A$3:AJ$103,9,FALSE)&lt;&gt;"",IF(VLOOKUP(A49,Schlußkurse!A$5:AU$105,38,FALSE)&gt;0,VLOOKUP(A49,Schlußkurse!A$5:AU$105,38,FALSE)/VLOOKUP(A49,Buchwert_je_Aktie!A$3:AJ$103,9,FALSE),""),"")</f>
        <v>11.607940446650124</v>
      </c>
      <c r="G49" s="70">
        <f>IF(VLOOKUP(A49,Buchwert_je_Aktie!A$3:AJ$103,10,FALSE)&lt;&gt;"",IF(VLOOKUP(A49,Schlußkurse!A$5:AU$105,39,FALSE)&gt;0,VLOOKUP(A49,Schlußkurse!A$5:AU$105,39,FALSE)/VLOOKUP(A49,Buchwert_je_Aktie!A$3:AJ$103,10,FALSE),""),"")</f>
        <v>16.601351351351351</v>
      </c>
      <c r="H49" s="70" t="str">
        <f>IF(VLOOKUP(A49,Buchwert_je_Aktie!A$3:AJ$103,11,FALSE)&lt;&gt;"",IF(VLOOKUP(A49,Schlußkurse!A$5:AU$105,40,FALSE)&gt;0,VLOOKUP(A49,Schlußkurse!A$5:AU$105,40,FALSE)/VLOOKUP(A49,Buchwert_je_Aktie!A$3:AJ$103,11,FALSE),""),"")</f>
        <v/>
      </c>
      <c r="I49" s="70" t="str">
        <f>IF(VLOOKUP(A49,Buchwert_je_Aktie!A$3:AJ$103,12,FALSE)&lt;&gt;"",IF(VLOOKUP(A49,Schlußkurse!A$5:AU$105,41,FALSE)&gt;0,VLOOKUP(A49,Schlußkurse!A$5:AU$105,41,FALSE)/VLOOKUP(A49,Buchwert_je_Aktie!A$3:AJ$103,12,FALSE),""),"")</f>
        <v/>
      </c>
      <c r="J49" s="70" t="str">
        <f>IF(VLOOKUP(A49,Buchwert_je_Aktie!A$3:AJ$103,13,FALSE)&lt;&gt;"",IF(VLOOKUP(A49,Schlußkurse!A$5:AU$105,42,FALSE)&gt;0,VLOOKUP(A49,Schlußkurse!A$5:AU$105,42,FALSE)/VLOOKUP(A49,Buchwert_je_Aktie!A$3:AJ$103,13,FALSE),""),"")</f>
        <v/>
      </c>
      <c r="K49" s="70" t="str">
        <f>IF(VLOOKUP(A49,Buchwert_je_Aktie!A$3:AJ$103,14,FALSE)&lt;&gt;"",IF(VLOOKUP(A49,Schlußkurse!A$5:AU$105,43,FALSE)&gt;0,VLOOKUP(A49,Schlußkurse!A$5:AU$105,43,FALSE)/VLOOKUP(A49,Buchwert_je_Aktie!A$3:AJ$103,14,FALSE),""),"")</f>
        <v/>
      </c>
      <c r="L49" s="70" t="str">
        <f>IF(VLOOKUP(A49,Buchwert_je_Aktie!A$3:AJ$103,15,FALSE)&lt;&gt;"",IF(VLOOKUP(A49,Schlußkurse!A$5:AU$105,44,FALSE)&gt;0,VLOOKUP(A49,Schlußkurse!A$5:AU$105,44,FALSE)/VLOOKUP(A49,Buchwert_je_Aktie!A$3:AJ$103,15,FALSE),""),"")</f>
        <v/>
      </c>
      <c r="M49" s="70" t="str">
        <f>IF(VLOOKUP(A49,Buchwert_je_Aktie!A$3:AJ$103,16,FALSE)&lt;&gt;"",IF(VLOOKUP(A49,Schlußkurse!A$5:AU$105,45,FALSE)&gt;0,VLOOKUP(A49,Schlußkurse!A$5:AU$105,45,FALSE)/VLOOKUP(A49,Buchwert_je_Aktie!A$3:AJ$103,16,FALSE),""),"")</f>
        <v/>
      </c>
      <c r="N49" s="70" t="str">
        <f>IF(VLOOKUP(A49,Buchwert_je_Aktie!A$3:AJ$103,17,FALSE)&lt;&gt;"",IF(VLOOKUP(A49,Schlußkurse!A$5:AU$105,46,FALSE)&gt;0,VLOOKUP(A49,Schlußkurse!A$5:AU$105,46,FALSE)/VLOOKUP(A49,Buchwert_je_Aktie!A$3:AJ$103,17,FALSE),""),"")</f>
        <v/>
      </c>
      <c r="O49" s="70" t="str">
        <f>IF(VLOOKUP(A49,Buchwert_je_Aktie!A$3:AJ$103,18,FALSE)&lt;&gt;"",IF(VLOOKUP(A49,Schlußkurse!A$5:AU$105,47,FALSE)&gt;0,VLOOKUP(A49,Schlußkurse!A$5:AU$105,47,FALSE)/VLOOKUP(A49,Buchwert_je_Aktie!A$3:AJ$103,18,FALSE),""),"")</f>
        <v/>
      </c>
      <c r="P49" s="70">
        <f t="shared" si="2"/>
        <v>7.1658914728682168</v>
      </c>
      <c r="Q49" s="3">
        <f ca="1">VLOOKUP(A49,Schlußkurse!A$5:AU$105,35,FALSE)/VLOOKUP(A49,Buchwert_je_Aktie!A$3:AK$103,23,FALSE)</f>
        <v>7.5198155353797373</v>
      </c>
      <c r="R49" s="5">
        <f t="shared" ca="1" si="3"/>
        <v>4.9390095266103495E-2</v>
      </c>
    </row>
    <row r="50" spans="1:18">
      <c r="A50" t="s">
        <v>260</v>
      </c>
      <c r="B50" s="38" t="s">
        <v>265</v>
      </c>
      <c r="C50" s="70">
        <f>IF(VLOOKUP(A50,Buchwert_je_Aktie!A$3:AJ$103,6,FALSE)&lt;&gt;"",IF(VLOOKUP(A50,Schlußkurse!A$5:AU$105,35,FALSE)&gt;0,VLOOKUP(A50,Schlußkurse!A$5:AU$105,35,FALSE) /VLOOKUP(A50,Buchwert_je_Aktie!A$3:AJ$103,6,FALSE),""),"")</f>
        <v>3.9409090909090909</v>
      </c>
      <c r="D50" s="70">
        <f>IF(VLOOKUP(A50,Buchwert_je_Aktie!A$3:AJ$103,7,FALSE)&lt;&gt;"",IF(VLOOKUP(A50,Schlußkurse!A$5:AU$105,36,FALSE)&gt;0,VLOOKUP(A50,Schlußkurse!A$5:AU$105,36,FALSE)/VLOOKUP(A50,Buchwert_je_Aktie!A$3:AJ$103,7,FALSE),""),"")</f>
        <v>4.8768750000000001</v>
      </c>
      <c r="E50" s="70">
        <f>IF(VLOOKUP(A50,Buchwert_je_Aktie!A$3:AJ$103,8,FALSE)&lt;&gt;"",IF(VLOOKUP(A50,Schlußkurse!A$5:AU$105,37,FALSE)&gt;0,VLOOKUP(A50,Schlußkurse!A$5:AU$105,37,FALSE)/VLOOKUP(A50,Buchwert_je_Aktie!A$3:AJ$103,8,FALSE),""),"")</f>
        <v>5.1985074626865666</v>
      </c>
      <c r="F50" s="70">
        <f>IF(VLOOKUP(A50,Buchwert_je_Aktie!A$3:AJ$103,9,FALSE)&lt;&gt;"",IF(VLOOKUP(A50,Schlußkurse!A$5:AU$105,38,FALSE)&gt;0,VLOOKUP(A50,Schlußkurse!A$5:AU$105,38,FALSE)/VLOOKUP(A50,Buchwert_je_Aktie!A$3:AJ$103,9,FALSE),""),"")</f>
        <v>3.9600965107646622</v>
      </c>
      <c r="G50" s="70">
        <f>IF(VLOOKUP(A50,Buchwert_je_Aktie!A$3:AJ$103,10,FALSE)&lt;&gt;"",IF(VLOOKUP(A50,Schlußkurse!A$5:AU$105,39,FALSE)&gt;0,VLOOKUP(A50,Schlußkurse!A$5:AU$105,39,FALSE)/VLOOKUP(A50,Buchwert_je_Aktie!A$3:AJ$103,10,FALSE),""),"")</f>
        <v>5.4351535836177476</v>
      </c>
      <c r="H50" s="70">
        <f>IF(VLOOKUP(A50,Buchwert_je_Aktie!A$3:AJ$103,11,FALSE)&lt;&gt;"",IF(VLOOKUP(A50,Schlußkurse!A$5:AU$105,40,FALSE)&gt;0,VLOOKUP(A50,Schlußkurse!A$5:AU$105,40,FALSE)/VLOOKUP(A50,Buchwert_je_Aktie!A$3:AJ$103,11,FALSE),""),"")</f>
        <v>3.8989547038327528</v>
      </c>
      <c r="I50" s="70">
        <f>IF(VLOOKUP(A50,Buchwert_je_Aktie!A$3:AJ$103,12,FALSE)&lt;&gt;"",IF(VLOOKUP(A50,Schlußkurse!A$5:AU$105,41,FALSE)&gt;0,VLOOKUP(A50,Schlußkurse!A$5:AU$105,41,FALSE)/VLOOKUP(A50,Buchwert_je_Aktie!A$3:AJ$103,12,FALSE),""),"")</f>
        <v>2.5152582159624415</v>
      </c>
      <c r="J50" s="70">
        <f>IF(VLOOKUP(A50,Buchwert_je_Aktie!A$3:AJ$103,13,FALSE)&lt;&gt;"",IF(VLOOKUP(A50,Schlußkurse!A$5:AU$105,42,FALSE)&gt;0,VLOOKUP(A50,Schlußkurse!A$5:AU$105,42,FALSE)/VLOOKUP(A50,Buchwert_je_Aktie!A$3:AJ$103,13,FALSE),""),"")</f>
        <v>2.3148379052369079</v>
      </c>
      <c r="K50" s="70">
        <f>IF(VLOOKUP(A50,Buchwert_je_Aktie!A$3:AJ$103,14,FALSE)&lt;&gt;"",IF(VLOOKUP(A50,Schlußkurse!A$5:AU$105,43,FALSE)&gt;0,VLOOKUP(A50,Schlußkurse!A$5:AU$105,43,FALSE)/VLOOKUP(A50,Buchwert_je_Aktie!A$3:AJ$103,14,FALSE),""),"")</f>
        <v>2.3067423230974633</v>
      </c>
      <c r="L50" s="70" t="str">
        <f>IF(VLOOKUP(A50,Buchwert_je_Aktie!A$3:AJ$103,15,FALSE)&lt;&gt;"",IF(VLOOKUP(A50,Schlußkurse!A$5:AU$105,44,FALSE)&gt;0,VLOOKUP(A50,Schlußkurse!A$5:AU$105,44,FALSE)/VLOOKUP(A50,Buchwert_je_Aktie!A$3:AJ$103,15,FALSE),""),"")</f>
        <v/>
      </c>
      <c r="M50" s="70" t="str">
        <f>IF(VLOOKUP(A50,Buchwert_je_Aktie!A$3:AJ$103,16,FALSE)&lt;&gt;"",IF(VLOOKUP(A50,Schlußkurse!A$5:AU$105,45,FALSE)&gt;0,VLOOKUP(A50,Schlußkurse!A$5:AU$105,45,FALSE)/VLOOKUP(A50,Buchwert_je_Aktie!A$3:AJ$103,16,FALSE),""),"")</f>
        <v/>
      </c>
      <c r="N50" s="70" t="str">
        <f>IF(VLOOKUP(A50,Buchwert_je_Aktie!A$3:AJ$103,17,FALSE)&lt;&gt;"",IF(VLOOKUP(A50,Schlußkurse!A$5:AU$105,46,FALSE)&gt;0,VLOOKUP(A50,Schlußkurse!A$5:AU$105,46,FALSE)/VLOOKUP(A50,Buchwert_je_Aktie!A$3:AJ$103,17,FALSE),""),"")</f>
        <v/>
      </c>
      <c r="O50" s="70" t="str">
        <f>IF(VLOOKUP(A50,Buchwert_je_Aktie!A$3:AJ$103,18,FALSE)&lt;&gt;"",IF(VLOOKUP(A50,Schlußkurse!A$5:AU$105,47,FALSE)&gt;0,VLOOKUP(A50,Schlußkurse!A$5:AU$105,47,FALSE)/VLOOKUP(A50,Buchwert_je_Aktie!A$3:AJ$103,18,FALSE),""),"")</f>
        <v/>
      </c>
      <c r="P50" s="70">
        <f t="shared" si="2"/>
        <v>3.9409090909090909</v>
      </c>
      <c r="Q50" s="3">
        <f ca="1">VLOOKUP(A50,Schlußkurse!A$5:AU$105,35,FALSE)/VLOOKUP(A50,Buchwert_je_Aktie!A$3:AK$103,23,FALSE)</f>
        <v>5.2590706556333542</v>
      </c>
      <c r="R50" s="5">
        <f t="shared" ca="1" si="3"/>
        <v>0.33448159658516485</v>
      </c>
    </row>
    <row r="51" spans="1:18">
      <c r="A51" t="s">
        <v>72</v>
      </c>
      <c r="B51" s="38" t="s">
        <v>73</v>
      </c>
      <c r="C51" s="70">
        <f>IF(VLOOKUP(A51,Buchwert_je_Aktie!A$3:AJ$103,6,FALSE)&lt;&gt;"",IF(VLOOKUP(A51,Schlußkurse!A$5:AU$105,35,FALSE)&gt;0,VLOOKUP(A51,Schlußkurse!A$5:AU$105,35,FALSE) /VLOOKUP(A51,Buchwert_je_Aktie!A$3:AJ$103,6,FALSE),""),"")</f>
        <v>2.5301115241635688</v>
      </c>
      <c r="D51" s="70">
        <f>IF(VLOOKUP(A51,Buchwert_je_Aktie!A$3:AJ$103,7,FALSE)&lt;&gt;"",IF(VLOOKUP(A51,Schlußkurse!A$5:AU$105,36,FALSE)&gt;0,VLOOKUP(A51,Schlußkurse!A$5:AU$105,36,FALSE)/VLOOKUP(A51,Buchwert_je_Aktie!A$3:AJ$103,7,FALSE),""),"")</f>
        <v>2.5041509433962266</v>
      </c>
      <c r="E51" s="70">
        <f>IF(VLOOKUP(A51,Buchwert_je_Aktie!A$3:AJ$103,8,FALSE)&lt;&gt;"",IF(VLOOKUP(A51,Schlußkurse!A$5:AU$105,37,FALSE)&gt;0,VLOOKUP(A51,Schlußkurse!A$5:AU$105,37,FALSE)/VLOOKUP(A51,Buchwert_je_Aktie!A$3:AJ$103,8,FALSE),""),"")</f>
        <v>3.385657370517928</v>
      </c>
      <c r="F51" s="70">
        <f>IF(VLOOKUP(A51,Buchwert_je_Aktie!A$3:AJ$103,9,FALSE)&lt;&gt;"",IF(VLOOKUP(A51,Schlußkurse!A$5:AU$105,38,FALSE)&gt;0,VLOOKUP(A51,Schlußkurse!A$5:AU$105,38,FALSE)/VLOOKUP(A51,Buchwert_je_Aktie!A$3:AJ$103,9,FALSE),""),"")</f>
        <v>2.9623165410551371</v>
      </c>
      <c r="G51" s="70">
        <f>IF(VLOOKUP(A51,Buchwert_je_Aktie!A$3:AJ$103,10,FALSE)&lt;&gt;"",IF(VLOOKUP(A51,Schlußkurse!A$5:AU$105,39,FALSE)&gt;0,VLOOKUP(A51,Schlußkurse!A$5:AU$105,39,FALSE)/VLOOKUP(A51,Buchwert_je_Aktie!A$3:AJ$103,10,FALSE),""),"")</f>
        <v>2.9652395082662149</v>
      </c>
      <c r="H51" s="70">
        <f>IF(VLOOKUP(A51,Buchwert_je_Aktie!A$3:AJ$103,11,FALSE)&lt;&gt;"",IF(VLOOKUP(A51,Schlußkurse!A$5:AU$105,40,FALSE)&gt;0,VLOOKUP(A51,Schlußkurse!A$5:AU$105,40,FALSE)/VLOOKUP(A51,Buchwert_je_Aktie!A$3:AJ$103,11,FALSE),""),"")</f>
        <v>2.6631944444444446</v>
      </c>
      <c r="I51" s="70">
        <f>IF(VLOOKUP(A51,Buchwert_je_Aktie!A$3:AJ$103,12,FALSE)&lt;&gt;"",IF(VLOOKUP(A51,Schlußkurse!A$5:AU$105,41,FALSE)&gt;0,VLOOKUP(A51,Schlußkurse!A$5:AU$105,41,FALSE)/VLOOKUP(A51,Buchwert_je_Aktie!A$3:AJ$103,12,FALSE),""),"")</f>
        <v>2.6879194630872485</v>
      </c>
      <c r="J51" s="70">
        <f>IF(VLOOKUP(A51,Buchwert_je_Aktie!A$3:AJ$103,13,FALSE)&lt;&gt;"",IF(VLOOKUP(A51,Schlußkurse!A$5:AU$105,42,FALSE)&gt;0,VLOOKUP(A51,Schlußkurse!A$5:AU$105,42,FALSE)/VLOOKUP(A51,Buchwert_je_Aktie!A$3:AJ$103,13,FALSE),""),"")</f>
        <v>2.7414058491534123</v>
      </c>
      <c r="K51" s="70">
        <f>IF(VLOOKUP(A51,Buchwert_je_Aktie!A$3:AJ$103,14,FALSE)&lt;&gt;"",IF(VLOOKUP(A51,Schlußkurse!A$5:AU$105,43,FALSE)&gt;0,VLOOKUP(A51,Schlußkurse!A$5:AU$105,43,FALSE)/VLOOKUP(A51,Buchwert_je_Aktie!A$3:AJ$103,14,FALSE),""),"")</f>
        <v>2.5037194473963869</v>
      </c>
      <c r="L51" s="70">
        <f>IF(VLOOKUP(A51,Buchwert_je_Aktie!A$3:AJ$103,15,FALSE)&lt;&gt;"",IF(VLOOKUP(A51,Schlußkurse!A$5:AU$105,44,FALSE)&gt;0,VLOOKUP(A51,Schlußkurse!A$5:AU$105,44,FALSE)/VLOOKUP(A51,Buchwert_je_Aktie!A$3:AJ$103,15,FALSE),""),"")</f>
        <v>3.0529164161154543</v>
      </c>
      <c r="M51" s="70">
        <f>IF(VLOOKUP(A51,Buchwert_je_Aktie!A$3:AJ$103,16,FALSE)&lt;&gt;"",IF(VLOOKUP(A51,Schlußkurse!A$5:AU$105,45,FALSE)&gt;0,VLOOKUP(A51,Schlußkurse!A$5:AU$105,45,FALSE)/VLOOKUP(A51,Buchwert_je_Aktie!A$3:AJ$103,16,FALSE),""),"")</f>
        <v>2.9317343173431731</v>
      </c>
      <c r="N51" s="70">
        <f>IF(VLOOKUP(A51,Buchwert_je_Aktie!A$3:AJ$103,17,FALSE)&lt;&gt;"",IF(VLOOKUP(A51,Schlußkurse!A$5:AU$105,46,FALSE)&gt;0,VLOOKUP(A51,Schlußkurse!A$5:AU$105,46,FALSE)/VLOOKUP(A51,Buchwert_je_Aktie!A$3:AJ$103,17,FALSE),""),"")</f>
        <v>3.0925553319919517</v>
      </c>
      <c r="O51" s="70">
        <f>IF(VLOOKUP(A51,Buchwert_je_Aktie!A$3:AJ$103,18,FALSE)&lt;&gt;"",IF(VLOOKUP(A51,Schlußkurse!A$5:AU$105,47,FALSE)&gt;0,VLOOKUP(A51,Schlußkurse!A$5:AU$105,47,FALSE)/VLOOKUP(A51,Buchwert_je_Aktie!A$3:AJ$103,18,FALSE),""),"")</f>
        <v>4.1033672670321062</v>
      </c>
      <c r="P51" s="70">
        <f t="shared" si="2"/>
        <v>2.9317343173431731</v>
      </c>
      <c r="Q51" s="3">
        <f ca="1">VLOOKUP(A51,Schlußkurse!A$5:AU$105,35,FALSE)/VLOOKUP(A51,Buchwert_je_Aktie!A$3:AK$103,23,FALSE)</f>
        <v>2.5599297893681046</v>
      </c>
      <c r="R51" s="5">
        <f t="shared" ca="1" si="3"/>
        <v>-0.12682067599904789</v>
      </c>
    </row>
    <row r="52" spans="1:18">
      <c r="A52" t="s">
        <v>74</v>
      </c>
      <c r="B52" s="38" t="s">
        <v>75</v>
      </c>
      <c r="C52" s="70">
        <f>IF(VLOOKUP(A52,Buchwert_je_Aktie!A$3:AJ$103,6,FALSE)&lt;&gt;"",IF(VLOOKUP(A52,Schlußkurse!A$5:AU$105,35,FALSE)&gt;0,VLOOKUP(A52,Schlußkurse!A$5:AU$105,35,FALSE) /VLOOKUP(A52,Buchwert_je_Aktie!A$3:AJ$103,6,FALSE),""),"")</f>
        <v>4.1855825429553262</v>
      </c>
      <c r="D52" s="70">
        <f>IF(VLOOKUP(A52,Buchwert_je_Aktie!A$3:AJ$103,7,FALSE)&lt;&gt;"",IF(VLOOKUP(A52,Schlußkurse!A$5:AU$105,36,FALSE)&gt;0,VLOOKUP(A52,Schlußkurse!A$5:AU$105,36,FALSE)/VLOOKUP(A52,Buchwert_je_Aktie!A$3:AJ$103,7,FALSE),""),"")</f>
        <v>4.3656075985663083</v>
      </c>
      <c r="E52" s="70">
        <f>IF(VLOOKUP(A52,Buchwert_je_Aktie!A$3:AJ$103,8,FALSE)&lt;&gt;"",IF(VLOOKUP(A52,Schlußkurse!A$5:AU$105,37,FALSE)&gt;0,VLOOKUP(A52,Schlußkurse!A$5:AU$105,37,FALSE)/VLOOKUP(A52,Buchwert_je_Aktie!A$3:AJ$103,8,FALSE),""),"")</f>
        <v>4.185229629629629</v>
      </c>
      <c r="F52" s="70">
        <f>IF(VLOOKUP(A52,Buchwert_je_Aktie!A$3:AJ$103,9,FALSE)&lt;&gt;"",IF(VLOOKUP(A52,Schlußkurse!A$5:AU$105,38,FALSE)&gt;0,VLOOKUP(A52,Schlußkurse!A$5:AU$105,38,FALSE)/VLOOKUP(A52,Buchwert_je_Aktie!A$3:AJ$103,9,FALSE),""),"")</f>
        <v>4.3347557251908402</v>
      </c>
      <c r="G52" s="70">
        <f>IF(VLOOKUP(A52,Buchwert_je_Aktie!A$3:AJ$103,10,FALSE)&lt;&gt;"",IF(VLOOKUP(A52,Schlußkurse!A$5:AU$105,39,FALSE)&gt;0,VLOOKUP(A52,Schlußkurse!A$5:AU$105,39,FALSE)/VLOOKUP(A52,Buchwert_je_Aktie!A$3:AJ$103,10,FALSE),""),"")</f>
        <v>3.4252430501930502</v>
      </c>
      <c r="H52" s="70">
        <f>IF(VLOOKUP(A52,Buchwert_je_Aktie!A$3:AJ$103,11,FALSE)&lt;&gt;"",IF(VLOOKUP(A52,Schlußkurse!A$5:AU$105,40,FALSE)&gt;0,VLOOKUP(A52,Schlußkurse!A$5:AU$105,40,FALSE)/VLOOKUP(A52,Buchwert_je_Aktie!A$3:AJ$103,11,FALSE),""),"")</f>
        <v>2.7675028735632181</v>
      </c>
      <c r="I52" s="70">
        <f>IF(VLOOKUP(A52,Buchwert_je_Aktie!A$3:AJ$103,12,FALSE)&lt;&gt;"",IF(VLOOKUP(A52,Schlußkurse!A$5:AU$105,41,FALSE)&gt;0,VLOOKUP(A52,Schlußkurse!A$5:AU$105,41,FALSE)/VLOOKUP(A52,Buchwert_je_Aktie!A$3:AJ$103,12,FALSE),""),"")</f>
        <v>2.3953699804687498</v>
      </c>
      <c r="J52" s="70">
        <f>IF(VLOOKUP(A52,Buchwert_je_Aktie!A$3:AJ$103,13,FALSE)&lt;&gt;"",IF(VLOOKUP(A52,Schlußkurse!A$5:AU$105,42,FALSE)&gt;0,VLOOKUP(A52,Schlußkurse!A$5:AU$105,42,FALSE)/VLOOKUP(A52,Buchwert_je_Aktie!A$3:AJ$103,13,FALSE),""),"")</f>
        <v>2.455773778920308</v>
      </c>
      <c r="K52" s="70">
        <f>IF(VLOOKUP(A52,Buchwert_je_Aktie!A$3:AJ$103,14,FALSE)&lt;&gt;"",IF(VLOOKUP(A52,Schlußkurse!A$5:AU$105,43,FALSE)&gt;0,VLOOKUP(A52,Schlußkurse!A$5:AU$105,43,FALSE)/VLOOKUP(A52,Buchwert_je_Aktie!A$3:AJ$103,14,FALSE),""),"")</f>
        <v>2.3745376877560309</v>
      </c>
      <c r="L52" s="70">
        <f>IF(VLOOKUP(A52,Buchwert_je_Aktie!A$3:AJ$103,15,FALSE)&lt;&gt;"",IF(VLOOKUP(A52,Schlußkurse!A$5:AU$105,44,FALSE)&gt;0,VLOOKUP(A52,Schlußkurse!A$5:AU$105,44,FALSE)/VLOOKUP(A52,Buchwert_je_Aktie!A$3:AJ$103,15,FALSE),""),"")</f>
        <v>1.244026349206349</v>
      </c>
      <c r="M52" s="70" t="str">
        <f>IF(VLOOKUP(A52,Buchwert_je_Aktie!A$3:AJ$103,16,FALSE)&lt;&gt;"",IF(VLOOKUP(A52,Schlußkurse!A$5:AU$105,45,FALSE)&gt;0,VLOOKUP(A52,Schlußkurse!A$5:AU$105,45,FALSE)/VLOOKUP(A52,Buchwert_je_Aktie!A$3:AJ$103,16,FALSE),""),"")</f>
        <v/>
      </c>
      <c r="N52" s="70" t="str">
        <f>IF(VLOOKUP(A52,Buchwert_je_Aktie!A$3:AJ$103,17,FALSE)&lt;&gt;"",IF(VLOOKUP(A52,Schlußkurse!A$5:AU$105,46,FALSE)&gt;0,VLOOKUP(A52,Schlußkurse!A$5:AU$105,46,FALSE)/VLOOKUP(A52,Buchwert_je_Aktie!A$3:AJ$103,17,FALSE),""),"")</f>
        <v/>
      </c>
      <c r="O52" s="70" t="str">
        <f>IF(VLOOKUP(A52,Buchwert_je_Aktie!A$3:AJ$103,18,FALSE)&lt;&gt;"",IF(VLOOKUP(A52,Schlußkurse!A$5:AU$105,47,FALSE)&gt;0,VLOOKUP(A52,Schlußkurse!A$5:AU$105,47,FALSE)/VLOOKUP(A52,Buchwert_je_Aktie!A$3:AJ$103,18,FALSE),""),"")</f>
        <v/>
      </c>
      <c r="P52" s="70">
        <f t="shared" si="2"/>
        <v>3.0963729618781342</v>
      </c>
      <c r="Q52" s="3">
        <f ca="1">VLOOKUP(A52,Schlußkurse!A$5:AU$105,35,FALSE)/VLOOKUP(A52,Buchwert_je_Aktie!A$3:AK$103,23,FALSE)</f>
        <v>4.1769702331961582</v>
      </c>
      <c r="R52" s="5">
        <f t="shared" ca="1" si="3"/>
        <v>0.34898808529272829</v>
      </c>
    </row>
    <row r="53" spans="1:18">
      <c r="A53" t="s">
        <v>76</v>
      </c>
      <c r="B53" s="38" t="s">
        <v>77</v>
      </c>
      <c r="C53" s="70">
        <f>IF(VLOOKUP(A53,Buchwert_je_Aktie!A$3:AJ$103,6,FALSE)&lt;&gt;"",IF(VLOOKUP(A53,Schlußkurse!A$5:AU$105,35,FALSE)&gt;0,VLOOKUP(A53,Schlußkurse!A$5:AU$105,35,FALSE) /VLOOKUP(A53,Buchwert_je_Aktie!A$3:AJ$103,6,FALSE),""),"")</f>
        <v>5.831128217464518</v>
      </c>
      <c r="D53" s="70">
        <f>IF(VLOOKUP(A53,Buchwert_je_Aktie!A$3:AJ$103,7,FALSE)&lt;&gt;"",IF(VLOOKUP(A53,Schlußkurse!A$5:AU$105,36,FALSE)&gt;0,VLOOKUP(A53,Schlußkurse!A$5:AU$105,36,FALSE)/VLOOKUP(A53,Buchwert_je_Aktie!A$3:AJ$103,7,FALSE),""),"")</f>
        <v>4.5011141371626637</v>
      </c>
      <c r="E53" s="70">
        <f>IF(VLOOKUP(A53,Buchwert_je_Aktie!A$3:AJ$103,8,FALSE)&lt;&gt;"",IF(VLOOKUP(A53,Schlußkurse!A$5:AU$105,37,FALSE)&gt;0,VLOOKUP(A53,Schlußkurse!A$5:AU$105,37,FALSE)/VLOOKUP(A53,Buchwert_je_Aktie!A$3:AJ$103,8,FALSE),""),"")</f>
        <v>4.9195675105485233</v>
      </c>
      <c r="F53" s="70">
        <f>IF(VLOOKUP(A53,Buchwert_je_Aktie!A$3:AJ$103,9,FALSE)&lt;&gt;"",IF(VLOOKUP(A53,Schlußkurse!A$5:AU$105,38,FALSE)&gt;0,VLOOKUP(A53,Schlußkurse!A$5:AU$105,38,FALSE)/VLOOKUP(A53,Buchwert_je_Aktie!A$3:AJ$103,9,FALSE),""),"")</f>
        <v>2.2275915822291505</v>
      </c>
      <c r="G53" s="70">
        <f>IF(VLOOKUP(A53,Buchwert_je_Aktie!A$3:AJ$103,10,FALSE)&lt;&gt;"",IF(VLOOKUP(A53,Schlußkurse!A$5:AU$105,39,FALSE)&gt;0,VLOOKUP(A53,Schlußkurse!A$5:AU$105,39,FALSE)/VLOOKUP(A53,Buchwert_je_Aktie!A$3:AJ$103,10,FALSE),""),"")</f>
        <v>2.1793303429840063</v>
      </c>
      <c r="H53" s="70">
        <f>IF(VLOOKUP(A53,Buchwert_je_Aktie!A$3:AJ$103,11,FALSE)&lt;&gt;"",IF(VLOOKUP(A53,Schlußkurse!A$5:AU$105,40,FALSE)&gt;0,VLOOKUP(A53,Schlußkurse!A$5:AU$105,40,FALSE)/VLOOKUP(A53,Buchwert_je_Aktie!A$3:AJ$103,11,FALSE),""),"")</f>
        <v>1.7816032622722346</v>
      </c>
      <c r="I53" s="70">
        <f>IF(VLOOKUP(A53,Buchwert_je_Aktie!A$3:AJ$103,12,FALSE)&lt;&gt;"",IF(VLOOKUP(A53,Schlußkurse!A$5:AU$105,41,FALSE)&gt;0,VLOOKUP(A53,Schlußkurse!A$5:AU$105,41,FALSE)/VLOOKUP(A53,Buchwert_je_Aktie!A$3:AJ$103,12,FALSE),""),"")</f>
        <v>2.4898865709526454</v>
      </c>
      <c r="J53" s="70">
        <f>IF(VLOOKUP(A53,Buchwert_je_Aktie!A$3:AJ$103,13,FALSE)&lt;&gt;"",IF(VLOOKUP(A53,Schlußkurse!A$5:AU$105,42,FALSE)&gt;0,VLOOKUP(A53,Schlußkurse!A$5:AU$105,42,FALSE)/VLOOKUP(A53,Buchwert_je_Aktie!A$3:AJ$103,13,FALSE),""),"")</f>
        <v>2.6026805015131864</v>
      </c>
      <c r="K53" s="70">
        <f>IF(VLOOKUP(A53,Buchwert_je_Aktie!A$3:AJ$103,14,FALSE)&lt;&gt;"",IF(VLOOKUP(A53,Schlußkurse!A$5:AU$105,43,FALSE)&gt;0,VLOOKUP(A53,Schlußkurse!A$5:AU$105,43,FALSE)/VLOOKUP(A53,Buchwert_je_Aktie!A$3:AJ$103,14,FALSE),""),"")</f>
        <v>2.126653273062113</v>
      </c>
      <c r="L53" s="70">
        <f>IF(VLOOKUP(A53,Buchwert_je_Aktie!A$3:AJ$103,15,FALSE)&lt;&gt;"",IF(VLOOKUP(A53,Schlußkurse!A$5:AU$105,44,FALSE)&gt;0,VLOOKUP(A53,Schlußkurse!A$5:AU$105,44,FALSE)/VLOOKUP(A53,Buchwert_je_Aktie!A$3:AJ$103,15,FALSE),""),"")</f>
        <v>1.3970451876120418</v>
      </c>
      <c r="M53" s="70">
        <f>IF(VLOOKUP(A53,Buchwert_je_Aktie!A$3:AJ$103,16,FALSE)&lt;&gt;"",IF(VLOOKUP(A53,Schlußkurse!A$5:AU$105,45,FALSE)&gt;0,VLOOKUP(A53,Schlußkurse!A$5:AU$105,45,FALSE)/VLOOKUP(A53,Buchwert_je_Aktie!A$3:AJ$103,16,FALSE),""),"")</f>
        <v>2.688979039891819</v>
      </c>
      <c r="N53" s="70">
        <f>IF(VLOOKUP(A53,Buchwert_je_Aktie!A$3:AJ$103,17,FALSE)&lt;&gt;"",IF(VLOOKUP(A53,Schlußkurse!A$5:AU$105,46,FALSE)&gt;0,VLOOKUP(A53,Schlußkurse!A$5:AU$105,46,FALSE)/VLOOKUP(A53,Buchwert_je_Aktie!A$3:AJ$103,17,FALSE),""),"")</f>
        <v>2.2095868720310925</v>
      </c>
      <c r="O53" s="70">
        <f>IF(VLOOKUP(A53,Buchwert_je_Aktie!A$3:AJ$103,18,FALSE)&lt;&gt;"",IF(VLOOKUP(A53,Schlußkurse!A$5:AU$105,47,FALSE)&gt;0,VLOOKUP(A53,Schlußkurse!A$5:AU$105,47,FALSE)/VLOOKUP(A53,Buchwert_je_Aktie!A$3:AJ$103,18,FALSE),""),"")</f>
        <v>1.8991174943761897</v>
      </c>
      <c r="P53" s="70">
        <f t="shared" si="2"/>
        <v>2.2275915822291505</v>
      </c>
      <c r="Q53" s="3">
        <f ca="1">VLOOKUP(A53,Schlußkurse!A$5:AU$105,35,FALSE)/VLOOKUP(A53,Buchwert_je_Aktie!A$3:AK$103,23,FALSE)</f>
        <v>4.7024132847055169</v>
      </c>
      <c r="R53" s="5">
        <f t="shared" ca="1" si="3"/>
        <v>1.1109853898800481</v>
      </c>
    </row>
    <row r="54" spans="1:18">
      <c r="A54" t="s">
        <v>79</v>
      </c>
      <c r="B54" s="38" t="s">
        <v>80</v>
      </c>
      <c r="C54" s="70">
        <f>IF(VLOOKUP(A54,Buchwert_je_Aktie!A$3:AJ$103,6,FALSE)&lt;&gt;"",IF(VLOOKUP(A54,Schlußkurse!A$5:AU$105,35,FALSE)&gt;0,VLOOKUP(A54,Schlußkurse!A$5:AU$105,35,FALSE) /VLOOKUP(A54,Buchwert_je_Aktie!A$3:AJ$103,6,FALSE),""),"")</f>
        <v>2.4105392156862746</v>
      </c>
      <c r="D54" s="70">
        <f>IF(VLOOKUP(A54,Buchwert_je_Aktie!A$3:AJ$103,7,FALSE)&lt;&gt;"",IF(VLOOKUP(A54,Schlußkurse!A$5:AU$105,36,FALSE)&gt;0,VLOOKUP(A54,Schlußkurse!A$5:AU$105,36,FALSE)/VLOOKUP(A54,Buchwert_je_Aktie!A$3:AJ$103,7,FALSE),""),"")</f>
        <v>2.4835858585858586</v>
      </c>
      <c r="E54" s="70">
        <f>IF(VLOOKUP(A54,Buchwert_je_Aktie!A$3:AJ$103,8,FALSE)&lt;&gt;"",IF(VLOOKUP(A54,Schlußkurse!A$5:AU$105,37,FALSE)&gt;0,VLOOKUP(A54,Schlußkurse!A$5:AU$105,37,FALSE)/VLOOKUP(A54,Buchwert_je_Aktie!A$3:AJ$103,8,FALSE),""),"")</f>
        <v>2.8429752066115705</v>
      </c>
      <c r="F54" s="70">
        <f>IF(VLOOKUP(A54,Buchwert_je_Aktie!A$3:AJ$103,9,FALSE)&lt;&gt;"",IF(VLOOKUP(A54,Schlußkurse!A$5:AU$105,38,FALSE)&gt;0,VLOOKUP(A54,Schlußkurse!A$5:AU$105,38,FALSE)/VLOOKUP(A54,Buchwert_je_Aktie!A$3:AJ$103,9,FALSE),""),"")</f>
        <v>2.8360291785601013</v>
      </c>
      <c r="G54" s="70">
        <f>IF(VLOOKUP(A54,Buchwert_je_Aktie!A$3:AJ$103,10,FALSE)&lt;&gt;"",IF(VLOOKUP(A54,Schlußkurse!A$5:AU$105,39,FALSE)&gt;0,VLOOKUP(A54,Schlußkurse!A$5:AU$105,39,FALSE)/VLOOKUP(A54,Buchwert_je_Aktie!A$3:AJ$103,10,FALSE),""),"")</f>
        <v>3.1707408800300865</v>
      </c>
      <c r="H54" s="70">
        <f>IF(VLOOKUP(A54,Buchwert_je_Aktie!A$3:AJ$103,11,FALSE)&lt;&gt;"",IF(VLOOKUP(A54,Schlußkurse!A$5:AU$105,40,FALSE)&gt;0,VLOOKUP(A54,Schlußkurse!A$5:AU$105,40,FALSE)/VLOOKUP(A54,Buchwert_je_Aktie!A$3:AJ$103,11,FALSE),""),"")</f>
        <v>2.6821905993962916</v>
      </c>
      <c r="I54" s="70">
        <f>IF(VLOOKUP(A54,Buchwert_je_Aktie!A$3:AJ$103,12,FALSE)&lt;&gt;"",IF(VLOOKUP(A54,Schlußkurse!A$5:AU$105,41,FALSE)&gt;0,VLOOKUP(A54,Schlußkurse!A$5:AU$105,41,FALSE)/VLOOKUP(A54,Buchwert_je_Aktie!A$3:AJ$103,12,FALSE),""),"")</f>
        <v>2.0529465930018418</v>
      </c>
      <c r="J54" s="70">
        <f>IF(VLOOKUP(A54,Buchwert_je_Aktie!A$3:AJ$103,13,FALSE)&lt;&gt;"",IF(VLOOKUP(A54,Schlußkurse!A$5:AU$105,42,FALSE)&gt;0,VLOOKUP(A54,Schlußkurse!A$5:AU$105,42,FALSE)/VLOOKUP(A54,Buchwert_je_Aktie!A$3:AJ$103,13,FALSE),""),"")</f>
        <v>2.3267499999999997</v>
      </c>
      <c r="K54" s="70">
        <f>IF(VLOOKUP(A54,Buchwert_je_Aktie!A$3:AJ$103,14,FALSE)&lt;&gt;"",IF(VLOOKUP(A54,Schlußkurse!A$5:AU$105,43,FALSE)&gt;0,VLOOKUP(A54,Schlußkurse!A$5:AU$105,43,FALSE)/VLOOKUP(A54,Buchwert_je_Aktie!A$3:AJ$103,14,FALSE),""),"")</f>
        <v>2.0071625344352619</v>
      </c>
      <c r="L54" s="70">
        <f>IF(VLOOKUP(A54,Buchwert_je_Aktie!A$3:AJ$103,15,FALSE)&lt;&gt;"",IF(VLOOKUP(A54,Schlußkurse!A$5:AU$105,44,FALSE)&gt;0,VLOOKUP(A54,Schlußkurse!A$5:AU$105,44,FALSE)/VLOOKUP(A54,Buchwert_je_Aktie!A$3:AJ$103,15,FALSE),""),"")</f>
        <v>1.5120481927710845</v>
      </c>
      <c r="M54" s="70">
        <f>IF(VLOOKUP(A54,Buchwert_je_Aktie!A$3:AJ$103,16,FALSE)&lt;&gt;"",IF(VLOOKUP(A54,Schlußkurse!A$5:AU$105,45,FALSE)&gt;0,VLOOKUP(A54,Schlußkurse!A$5:AU$105,45,FALSE)/VLOOKUP(A54,Buchwert_je_Aktie!A$3:AJ$103,16,FALSE),""),"")</f>
        <v>2.5757372654155497</v>
      </c>
      <c r="N54" s="70">
        <f>IF(VLOOKUP(A54,Buchwert_je_Aktie!A$3:AJ$103,17,FALSE)&lt;&gt;"",IF(VLOOKUP(A54,Schlußkurse!A$5:AU$105,46,FALSE)&gt;0,VLOOKUP(A54,Schlußkurse!A$5:AU$105,46,FALSE)/VLOOKUP(A54,Buchwert_je_Aktie!A$3:AJ$103,17,FALSE),""),"")</f>
        <v>2.8518802762854949</v>
      </c>
      <c r="O54" s="70">
        <f>IF(VLOOKUP(A54,Buchwert_je_Aktie!A$3:AJ$103,18,FALSE)&lt;&gt;"",IF(VLOOKUP(A54,Schlußkurse!A$5:AU$105,47,FALSE)&gt;0,VLOOKUP(A54,Schlußkurse!A$5:AU$105,47,FALSE)/VLOOKUP(A54,Buchwert_je_Aktie!A$3:AJ$103,18,FALSE),""),"")</f>
        <v>2.2380173775671408</v>
      </c>
      <c r="P54" s="70">
        <f t="shared" si="2"/>
        <v>2.4835858585858586</v>
      </c>
      <c r="Q54" s="3">
        <f ca="1">VLOOKUP(A54,Schlußkurse!A$5:AU$105,35,FALSE)/VLOOKUP(A54,Buchwert_je_Aktie!A$3:AK$103,23,FALSE)</f>
        <v>2.6374363100026814</v>
      </c>
      <c r="R54" s="5">
        <f t="shared" ca="1" si="3"/>
        <v>6.1946902654867131E-2</v>
      </c>
    </row>
    <row r="55" spans="1:18">
      <c r="A55" t="s">
        <v>266</v>
      </c>
      <c r="B55" s="38" t="s">
        <v>270</v>
      </c>
      <c r="C55" s="70">
        <f>IF(VLOOKUP(A55,Buchwert_je_Aktie!A$3:AJ$103,6,FALSE)&lt;&gt;"",IF(VLOOKUP(A55,Schlußkurse!A$5:AU$105,35,FALSE)&gt;0,VLOOKUP(A55,Schlußkurse!A$5:AU$105,35,FALSE) /VLOOKUP(A55,Buchwert_je_Aktie!A$3:AJ$103,6,FALSE),""),"")</f>
        <v>1.3539576365663322</v>
      </c>
      <c r="D55" s="70">
        <f>IF(VLOOKUP(A55,Buchwert_je_Aktie!A$3:AJ$103,7,FALSE)&lt;&gt;"",IF(VLOOKUP(A55,Schlußkurse!A$5:AU$105,36,FALSE)&gt;0,VLOOKUP(A55,Schlußkurse!A$5:AU$105,36,FALSE)/VLOOKUP(A55,Buchwert_je_Aktie!A$3:AJ$103,7,FALSE),""),"")</f>
        <v>1.5049566294919454</v>
      </c>
      <c r="E55" s="70">
        <f>IF(VLOOKUP(A55,Buchwert_je_Aktie!A$3:AJ$103,8,FALSE)&lt;&gt;"",IF(VLOOKUP(A55,Schlußkurse!A$5:AU$105,37,FALSE)&gt;0,VLOOKUP(A55,Schlußkurse!A$5:AU$105,37,FALSE)/VLOOKUP(A55,Buchwert_je_Aktie!A$3:AJ$103,8,FALSE),""),"")</f>
        <v>1.7255154639175261</v>
      </c>
      <c r="F55" s="70">
        <f>IF(VLOOKUP(A55,Buchwert_je_Aktie!A$3:AJ$103,9,FALSE)&lt;&gt;"",IF(VLOOKUP(A55,Schlußkurse!A$5:AU$105,38,FALSE)&gt;0,VLOOKUP(A55,Schlußkurse!A$5:AU$105,38,FALSE)/VLOOKUP(A55,Buchwert_je_Aktie!A$3:AJ$103,9,FALSE),""),"")</f>
        <v>1.8538110122625628</v>
      </c>
      <c r="G55" s="70">
        <f>IF(VLOOKUP(A55,Buchwert_je_Aktie!A$3:AJ$103,10,FALSE)&lt;&gt;"",IF(VLOOKUP(A55,Schlußkurse!A$5:AU$105,39,FALSE)&gt;0,VLOOKUP(A55,Schlußkurse!A$5:AU$105,39,FALSE)/VLOOKUP(A55,Buchwert_je_Aktie!A$3:AJ$103,10,FALSE),""),"")</f>
        <v>1.9795599531311028</v>
      </c>
      <c r="H55" s="70">
        <f>IF(VLOOKUP(A55,Buchwert_je_Aktie!A$3:AJ$103,11,FALSE)&lt;&gt;"",IF(VLOOKUP(A55,Schlußkurse!A$5:AU$105,40,FALSE)&gt;0,VLOOKUP(A55,Schlußkurse!A$5:AU$105,40,FALSE)/VLOOKUP(A55,Buchwert_je_Aktie!A$3:AJ$103,11,FALSE),""),"")</f>
        <v>1.8037715222738451</v>
      </c>
      <c r="I55" s="70">
        <f>IF(VLOOKUP(A55,Buchwert_je_Aktie!A$3:AJ$103,12,FALSE)&lt;&gt;"",IF(VLOOKUP(A55,Schlußkurse!A$5:AU$105,41,FALSE)&gt;0,VLOOKUP(A55,Schlußkurse!A$5:AU$105,41,FALSE)/VLOOKUP(A55,Buchwert_je_Aktie!A$3:AJ$103,12,FALSE),""),"")</f>
        <v>1.5588554380254951</v>
      </c>
      <c r="J55" s="70">
        <f>IF(VLOOKUP(A55,Buchwert_je_Aktie!A$3:AJ$103,13,FALSE)&lt;&gt;"",IF(VLOOKUP(A55,Schlußkurse!A$5:AU$105,42,FALSE)&gt;0,VLOOKUP(A55,Schlußkurse!A$5:AU$105,42,FALSE)/VLOOKUP(A55,Buchwert_je_Aktie!A$3:AJ$103,13,FALSE),""),"")</f>
        <v>1.5997464074387151</v>
      </c>
      <c r="K55" s="70">
        <f>IF(VLOOKUP(A55,Buchwert_je_Aktie!A$3:AJ$103,14,FALSE)&lt;&gt;"",IF(VLOOKUP(A55,Schlußkurse!A$5:AU$105,43,FALSE)&gt;0,VLOOKUP(A55,Schlußkurse!A$5:AU$105,43,FALSE)/VLOOKUP(A55,Buchwert_je_Aktie!A$3:AJ$103,14,FALSE),""),"")</f>
        <v>1.2613908872901678</v>
      </c>
      <c r="L55" s="70">
        <f>IF(VLOOKUP(A55,Buchwert_je_Aktie!A$3:AJ$103,15,FALSE)&lt;&gt;"",IF(VLOOKUP(A55,Schlußkurse!A$5:AU$105,44,FALSE)&gt;0,VLOOKUP(A55,Schlußkurse!A$5:AU$105,44,FALSE)/VLOOKUP(A55,Buchwert_je_Aktie!A$3:AJ$103,15,FALSE),""),"")</f>
        <v>1.1003861003861004</v>
      </c>
      <c r="M55" s="70">
        <f>IF(VLOOKUP(A55,Buchwert_je_Aktie!A$3:AJ$103,16,FALSE)&lt;&gt;"",IF(VLOOKUP(A55,Schlußkurse!A$5:AU$105,45,FALSE)&gt;0,VLOOKUP(A55,Schlußkurse!A$5:AU$105,45,FALSE)/VLOOKUP(A55,Buchwert_je_Aktie!A$3:AJ$103,16,FALSE),""),"")</f>
        <v>1.8474264705882353</v>
      </c>
      <c r="N55" s="70">
        <f>IF(VLOOKUP(A55,Buchwert_je_Aktie!A$3:AJ$103,17,FALSE)&lt;&gt;"",IF(VLOOKUP(A55,Schlußkurse!A$5:AU$105,46,FALSE)&gt;0,VLOOKUP(A55,Schlußkurse!A$5:AU$105,46,FALSE)/VLOOKUP(A55,Buchwert_je_Aktie!A$3:AJ$103,17,FALSE),""),"")</f>
        <v>1.4131455399061033</v>
      </c>
      <c r="O55" s="70">
        <f>IF(VLOOKUP(A55,Buchwert_je_Aktie!A$3:AJ$103,18,FALSE)&lt;&gt;"",IF(VLOOKUP(A55,Schlußkurse!A$5:AU$105,47,FALSE)&gt;0,VLOOKUP(A55,Schlußkurse!A$5:AU$105,47,FALSE)/VLOOKUP(A55,Buchwert_je_Aktie!A$3:AJ$103,18,FALSE),""),"")</f>
        <v>1.2850722938647909</v>
      </c>
      <c r="P55" s="70">
        <f t="shared" si="2"/>
        <v>1.5588554380254951</v>
      </c>
      <c r="Q55" s="3">
        <f ca="1">VLOOKUP(A55,Schlußkurse!A$5:AU$105,35,FALSE)/VLOOKUP(A55,Buchwert_je_Aktie!A$3:AK$103,23,FALSE)</f>
        <v>1.546542722526423</v>
      </c>
      <c r="R55" s="5">
        <f t="shared" ca="1" si="3"/>
        <v>-7.8985614693481976E-3</v>
      </c>
    </row>
    <row r="56" spans="1:18">
      <c r="A56" t="s">
        <v>320</v>
      </c>
      <c r="B56" s="38" t="s">
        <v>321</v>
      </c>
      <c r="C56" s="70">
        <f>IF(VLOOKUP(A56,Buchwert_je_Aktie!A$3:AJ$103,6,FALSE)&lt;&gt;"",IF(VLOOKUP(A56,Schlußkurse!A$5:AU$105,35,FALSE)&gt;0,VLOOKUP(A56,Schlußkurse!A$5:AU$105,35,FALSE) /VLOOKUP(A56,Buchwert_je_Aktie!A$3:AJ$103,6,FALSE),""),"")</f>
        <v>3.1115511551155115</v>
      </c>
      <c r="D56" s="70">
        <f>IF(VLOOKUP(A56,Buchwert_je_Aktie!A$3:AJ$103,7,FALSE)&lt;&gt;"",IF(VLOOKUP(A56,Schlußkurse!A$5:AU$105,36,FALSE)&gt;0,VLOOKUP(A56,Schlußkurse!A$5:AU$105,36,FALSE)/VLOOKUP(A56,Buchwert_je_Aktie!A$3:AJ$103,7,FALSE),""),"")</f>
        <v>3.3913669064748202</v>
      </c>
      <c r="E56" s="70">
        <f>IF(VLOOKUP(A56,Buchwert_je_Aktie!A$3:AJ$103,8,FALSE)&lt;&gt;"",IF(VLOOKUP(A56,Schlußkurse!A$5:AU$105,37,FALSE)&gt;0,VLOOKUP(A56,Schlußkurse!A$5:AU$105,37,FALSE)/VLOOKUP(A56,Buchwert_je_Aktie!A$3:AJ$103,8,FALSE),""),"")</f>
        <v>3.1</v>
      </c>
      <c r="F56" s="70">
        <f>IF(VLOOKUP(A56,Buchwert_je_Aktie!A$3:AJ$103,9,FALSE)&lt;&gt;"",IF(VLOOKUP(A56,Schlußkurse!A$5:AU$105,38,FALSE)&gt;0,VLOOKUP(A56,Schlußkurse!A$5:AU$105,38,FALSE)/VLOOKUP(A56,Buchwert_je_Aktie!A$3:AJ$103,9,FALSE),""),"")</f>
        <v>3.1753494282083863</v>
      </c>
      <c r="G56" s="70">
        <f>IF(VLOOKUP(A56,Buchwert_je_Aktie!A$3:AJ$103,10,FALSE)&lt;&gt;"",IF(VLOOKUP(A56,Schlußkurse!A$5:AU$105,39,FALSE)&gt;0,VLOOKUP(A56,Schlußkurse!A$5:AU$105,39,FALSE)/VLOOKUP(A56,Buchwert_je_Aktie!A$3:AJ$103,10,FALSE),""),"")</f>
        <v>3.2891625615763544</v>
      </c>
      <c r="H56" s="70">
        <f>IF(VLOOKUP(A56,Buchwert_je_Aktie!A$3:AJ$103,11,FALSE)&lt;&gt;"",IF(VLOOKUP(A56,Schlußkurse!A$5:AU$105,40,FALSE)&gt;0,VLOOKUP(A56,Schlußkurse!A$5:AU$105,40,FALSE)/VLOOKUP(A56,Buchwert_je_Aktie!A$3:AJ$103,11,FALSE),""),"")</f>
        <v>3.3441489361702126</v>
      </c>
      <c r="I56" s="70">
        <f>IF(VLOOKUP(A56,Buchwert_je_Aktie!A$3:AJ$103,12,FALSE)&lt;&gt;"",IF(VLOOKUP(A56,Schlußkurse!A$5:AU$105,41,FALSE)&gt;0,VLOOKUP(A56,Schlußkurse!A$5:AU$105,41,FALSE)/VLOOKUP(A56,Buchwert_je_Aktie!A$3:AJ$103,12,FALSE),""),"")</f>
        <v>2.6835836354220612</v>
      </c>
      <c r="J56" s="70">
        <f>IF(VLOOKUP(A56,Buchwert_je_Aktie!A$3:AJ$103,13,FALSE)&lt;&gt;"",IF(VLOOKUP(A56,Schlußkurse!A$5:AU$105,42,FALSE)&gt;0,VLOOKUP(A56,Schlußkurse!A$5:AU$105,42,FALSE)/VLOOKUP(A56,Buchwert_je_Aktie!A$3:AJ$103,13,FALSE),""),"")</f>
        <v>2.8094795539033455</v>
      </c>
      <c r="K56" s="70">
        <f>IF(VLOOKUP(A56,Buchwert_je_Aktie!A$3:AJ$103,14,FALSE)&lt;&gt;"",IF(VLOOKUP(A56,Schlußkurse!A$5:AU$105,43,FALSE)&gt;0,VLOOKUP(A56,Schlußkurse!A$5:AU$105,43,FALSE)/VLOOKUP(A56,Buchwert_je_Aktie!A$3:AJ$103,14,FALSE),""),"")</f>
        <v>2.3319791062100985</v>
      </c>
      <c r="L56" s="70">
        <f>IF(VLOOKUP(A56,Buchwert_je_Aktie!A$3:AJ$103,15,FALSE)&lt;&gt;"",IF(VLOOKUP(A56,Schlußkurse!A$5:AU$105,44,FALSE)&gt;0,VLOOKUP(A56,Schlußkurse!A$5:AU$105,44,FALSE)/VLOOKUP(A56,Buchwert_je_Aktie!A$3:AJ$103,15,FALSE),""),"")</f>
        <v>3.1881461061337006</v>
      </c>
      <c r="M56" s="70">
        <f>IF(VLOOKUP(A56,Buchwert_je_Aktie!A$3:AJ$103,16,FALSE)&lt;&gt;"",IF(VLOOKUP(A56,Schlußkurse!A$5:AU$105,45,FALSE)&gt;0,VLOOKUP(A56,Schlußkurse!A$5:AU$105,45,FALSE)/VLOOKUP(A56,Buchwert_je_Aktie!A$3:AJ$103,16,FALSE),""),"")</f>
        <v>3.7856025039123633</v>
      </c>
      <c r="N56" s="70">
        <f>IF(VLOOKUP(A56,Buchwert_je_Aktie!A$3:AJ$103,17,FALSE)&lt;&gt;"",IF(VLOOKUP(A56,Schlußkurse!A$5:AU$105,46,FALSE)&gt;0,VLOOKUP(A56,Schlußkurse!A$5:AU$105,46,FALSE)/VLOOKUP(A56,Buchwert_je_Aktie!A$3:AJ$103,17,FALSE),""),"")</f>
        <v>2.85195339273475</v>
      </c>
      <c r="O56" s="70">
        <f>IF(VLOOKUP(A56,Buchwert_je_Aktie!A$3:AJ$103,18,FALSE)&lt;&gt;"",IF(VLOOKUP(A56,Schlußkurse!A$5:AU$105,47,FALSE)&gt;0,VLOOKUP(A56,Schlußkurse!A$5:AU$105,47,FALSE)/VLOOKUP(A56,Buchwert_je_Aktie!A$3:AJ$103,18,FALSE),""),"")</f>
        <v>2.0781710914454274</v>
      </c>
      <c r="P56" s="70">
        <f t="shared" si="2"/>
        <v>3.1115511551155115</v>
      </c>
      <c r="Q56" s="3">
        <f ca="1">VLOOKUP(A56,Schlußkurse!A$5:AU$105,35,FALSE)/VLOOKUP(A56,Buchwert_je_Aktie!A$3:AK$103,23,FALSE)</f>
        <v>3.5070055796652202</v>
      </c>
      <c r="R56" s="5">
        <f t="shared" ca="1" si="3"/>
        <v>0.12709237445753252</v>
      </c>
    </row>
    <row r="57" spans="1:18">
      <c r="A57" t="s">
        <v>83</v>
      </c>
      <c r="B57" s="38" t="s">
        <v>84</v>
      </c>
      <c r="C57" s="70">
        <f>IF(VLOOKUP(A57,Buchwert_je_Aktie!A$3:AJ$103,6,FALSE)&lt;&gt;"",IF(VLOOKUP(A57,Schlußkurse!A$5:AU$105,35,FALSE)&gt;0,VLOOKUP(A57,Schlußkurse!A$5:AU$105,35,FALSE) /VLOOKUP(A57,Buchwert_je_Aktie!A$3:AJ$103,6,FALSE),""),"")</f>
        <v>4.7680798004987537</v>
      </c>
      <c r="D57" s="70">
        <f>IF(VLOOKUP(A57,Buchwert_je_Aktie!A$3:AJ$103,7,FALSE)&lt;&gt;"",IF(VLOOKUP(A57,Schlußkurse!A$5:AU$105,36,FALSE)&gt;0,VLOOKUP(A57,Schlußkurse!A$5:AU$105,36,FALSE)/VLOOKUP(A57,Buchwert_je_Aktie!A$3:AJ$103,7,FALSE),""),"")</f>
        <v>5.0716180371352788</v>
      </c>
      <c r="E57" s="70">
        <f>IF(VLOOKUP(A57,Buchwert_je_Aktie!A$3:AJ$103,8,FALSE)&lt;&gt;"",IF(VLOOKUP(A57,Schlußkurse!A$5:AU$105,37,FALSE)&gt;0,VLOOKUP(A57,Schlußkurse!A$5:AU$105,37,FALSE)/VLOOKUP(A57,Buchwert_je_Aktie!A$3:AJ$103,8,FALSE),""),"")</f>
        <v>5.5119760479041915</v>
      </c>
      <c r="F57" s="70">
        <f>IF(VLOOKUP(A57,Buchwert_je_Aktie!A$3:AJ$103,9,FALSE)&lt;&gt;"",IF(VLOOKUP(A57,Schlußkurse!A$5:AU$105,38,FALSE)&gt;0,VLOOKUP(A57,Schlußkurse!A$5:AU$105,38,FALSE)/VLOOKUP(A57,Buchwert_je_Aktie!A$3:AJ$103,9,FALSE),""),"")</f>
        <v>6.6170212765957448</v>
      </c>
      <c r="G57" s="70">
        <f>IF(VLOOKUP(A57,Buchwert_je_Aktie!A$3:AJ$103,10,FALSE)&lt;&gt;"",IF(VLOOKUP(A57,Schlußkurse!A$5:AU$105,39,FALSE)&gt;0,VLOOKUP(A57,Schlußkurse!A$5:AU$105,39,FALSE)/VLOOKUP(A57,Buchwert_je_Aktie!A$3:AJ$103,10,FALSE),""),"")</f>
        <v>7.580645161290323</v>
      </c>
      <c r="H57" s="70">
        <f>IF(VLOOKUP(A57,Buchwert_je_Aktie!A$3:AJ$103,11,FALSE)&lt;&gt;"",IF(VLOOKUP(A57,Schlußkurse!A$5:AU$105,40,FALSE)&gt;0,VLOOKUP(A57,Schlußkurse!A$5:AU$105,40,FALSE)/VLOOKUP(A57,Buchwert_je_Aktie!A$3:AJ$103,11,FALSE),""),"")</f>
        <v>6.4392156862745109</v>
      </c>
      <c r="I57" s="70">
        <f>IF(VLOOKUP(A57,Buchwert_je_Aktie!A$3:AJ$103,12,FALSE)&lt;&gt;"",IF(VLOOKUP(A57,Schlußkurse!A$5:AU$105,41,FALSE)&gt;0,VLOOKUP(A57,Schlußkurse!A$5:AU$105,41,FALSE)/VLOOKUP(A57,Buchwert_je_Aktie!A$3:AJ$103,12,FALSE),""),"")</f>
        <v>6.2709359605911335</v>
      </c>
      <c r="J57" s="70">
        <f>IF(VLOOKUP(A57,Buchwert_je_Aktie!A$3:AJ$103,13,FALSE)&lt;&gt;"",IF(VLOOKUP(A57,Schlußkurse!A$5:AU$105,42,FALSE)&gt;0,VLOOKUP(A57,Schlußkurse!A$5:AU$105,42,FALSE)/VLOOKUP(A57,Buchwert_je_Aktie!A$3:AJ$103,13,FALSE),""),"")</f>
        <v>5.5789473684210531</v>
      </c>
      <c r="K57" s="70">
        <f>IF(VLOOKUP(A57,Buchwert_je_Aktie!A$3:AJ$103,14,FALSE)&lt;&gt;"",IF(VLOOKUP(A57,Schlußkurse!A$5:AU$105,43,FALSE)&gt;0,VLOOKUP(A57,Schlußkurse!A$5:AU$105,43,FALSE)/VLOOKUP(A57,Buchwert_je_Aktie!A$3:AJ$103,14,FALSE),""),"")</f>
        <v>6.0103448275862066</v>
      </c>
      <c r="L57" s="70">
        <f>IF(VLOOKUP(A57,Buchwert_je_Aktie!A$3:AJ$103,15,FALSE)&lt;&gt;"",IF(VLOOKUP(A57,Schlußkurse!A$5:AU$105,44,FALSE)&gt;0,VLOOKUP(A57,Schlußkurse!A$5:AU$105,44,FALSE)/VLOOKUP(A57,Buchwert_je_Aktie!A$3:AJ$103,15,FALSE),""),"")</f>
        <v>8.1052631578947381</v>
      </c>
      <c r="M57" s="70">
        <f>IF(VLOOKUP(A57,Buchwert_je_Aktie!A$3:AJ$103,16,FALSE)&lt;&gt;"",IF(VLOOKUP(A57,Schlußkurse!A$5:AU$105,45,FALSE)&gt;0,VLOOKUP(A57,Schlußkurse!A$5:AU$105,45,FALSE)/VLOOKUP(A57,Buchwert_je_Aktie!A$3:AJ$103,16,FALSE),""),"")</f>
        <v>8.2959999999999994</v>
      </c>
      <c r="N57" s="70">
        <f>IF(VLOOKUP(A57,Buchwert_je_Aktie!A$3:AJ$103,17,FALSE)&lt;&gt;"",IF(VLOOKUP(A57,Schlußkurse!A$5:AU$105,46,FALSE)&gt;0,VLOOKUP(A57,Schlußkurse!A$5:AU$105,46,FALSE)/VLOOKUP(A57,Buchwert_je_Aktie!A$3:AJ$103,17,FALSE),""),"")</f>
        <v>6.6875</v>
      </c>
      <c r="O57" s="70">
        <f>IF(VLOOKUP(A57,Buchwert_je_Aktie!A$3:AJ$103,18,FALSE)&lt;&gt;"",IF(VLOOKUP(A57,Schlußkurse!A$5:AU$105,47,FALSE)&gt;0,VLOOKUP(A57,Schlußkurse!A$5:AU$105,47,FALSE)/VLOOKUP(A57,Buchwert_je_Aktie!A$3:AJ$103,18,FALSE),""),"")</f>
        <v>5.5608108108108114</v>
      </c>
      <c r="P57" s="70">
        <f t="shared" si="2"/>
        <v>6.2709359605911335</v>
      </c>
      <c r="Q57" s="3">
        <f ca="1">VLOOKUP(A57,Schlußkurse!A$5:AU$105,35,FALSE)/VLOOKUP(A57,Buchwert_je_Aktie!A$3:AK$103,23,FALSE)</f>
        <v>5.1883286725410231</v>
      </c>
      <c r="R57" s="5">
        <f t="shared" ca="1" si="3"/>
        <v>-0.17263886840076381</v>
      </c>
    </row>
    <row r="58" spans="1:18">
      <c r="A58" t="s">
        <v>85</v>
      </c>
      <c r="B58" s="38" t="s">
        <v>86</v>
      </c>
      <c r="C58" s="70">
        <f>IF(VLOOKUP(A58,Buchwert_je_Aktie!A$3:AJ$103,6,FALSE)&lt;&gt;"",IF(VLOOKUP(A58,Schlußkurse!A$5:AU$105,35,FALSE)&gt;0,VLOOKUP(A58,Schlußkurse!A$5:AU$105,35,FALSE) /VLOOKUP(A58,Buchwert_je_Aktie!A$3:AJ$103,6,FALSE),""),"")</f>
        <v>3.4633338372093028</v>
      </c>
      <c r="D58" s="70">
        <f>IF(VLOOKUP(A58,Buchwert_je_Aktie!A$3:AJ$103,7,FALSE)&lt;&gt;"",IF(VLOOKUP(A58,Schlußkurse!A$5:AU$105,36,FALSE)&gt;0,VLOOKUP(A58,Schlußkurse!A$5:AU$105,36,FALSE)/VLOOKUP(A58,Buchwert_je_Aktie!A$3:AJ$103,7,FALSE),""),"")</f>
        <v>3.7744414814814822</v>
      </c>
      <c r="E58" s="70">
        <f>IF(VLOOKUP(A58,Buchwert_je_Aktie!A$3:AJ$103,8,FALSE)&lt;&gt;"",IF(VLOOKUP(A58,Schlußkurse!A$5:AU$105,37,FALSE)&gt;0,VLOOKUP(A58,Schlußkurse!A$5:AU$105,37,FALSE)/VLOOKUP(A58,Buchwert_je_Aktie!A$3:AJ$103,8,FALSE),""),"")</f>
        <v>3.4577881578947367</v>
      </c>
      <c r="F58" s="70">
        <f>IF(VLOOKUP(A58,Buchwert_je_Aktie!A$3:AJ$103,9,FALSE)&lt;&gt;"",IF(VLOOKUP(A58,Schlußkurse!A$5:AU$105,38,FALSE)&gt;0,VLOOKUP(A58,Schlußkurse!A$5:AU$105,38,FALSE)/VLOOKUP(A58,Buchwert_je_Aktie!A$3:AJ$103,9,FALSE),""),"")</f>
        <v>3.6035285610990599</v>
      </c>
      <c r="G58" s="70">
        <f>IF(VLOOKUP(A58,Buchwert_je_Aktie!A$3:AJ$103,10,FALSE)&lt;&gt;"",IF(VLOOKUP(A58,Schlußkurse!A$5:AU$105,39,FALSE)&gt;0,VLOOKUP(A58,Schlußkurse!A$5:AU$105,39,FALSE)/VLOOKUP(A58,Buchwert_je_Aktie!A$3:AJ$103,10,FALSE),""),"")</f>
        <v>3.3447186785260485</v>
      </c>
      <c r="H58" s="70">
        <f>IF(VLOOKUP(A58,Buchwert_je_Aktie!A$3:AJ$103,11,FALSE)&lt;&gt;"",IF(VLOOKUP(A58,Schlußkurse!A$5:AU$105,40,FALSE)&gt;0,VLOOKUP(A58,Schlußkurse!A$5:AU$105,40,FALSE)/VLOOKUP(A58,Buchwert_je_Aktie!A$3:AJ$103,11,FALSE),""),"")</f>
        <v>2.5446234642178593</v>
      </c>
      <c r="I58" s="70">
        <f>IF(VLOOKUP(A58,Buchwert_je_Aktie!A$3:AJ$103,12,FALSE)&lt;&gt;"",IF(VLOOKUP(A58,Schlußkurse!A$5:AU$105,41,FALSE)&gt;0,VLOOKUP(A58,Schlußkurse!A$5:AU$105,41,FALSE)/VLOOKUP(A58,Buchwert_je_Aktie!A$3:AJ$103,12,FALSE),""),"")</f>
        <v>2.3485632050431318</v>
      </c>
      <c r="J58" s="70">
        <f>IF(VLOOKUP(A58,Buchwert_je_Aktie!A$3:AJ$103,13,FALSE)&lt;&gt;"",IF(VLOOKUP(A58,Schlußkurse!A$5:AU$105,42,FALSE)&gt;0,VLOOKUP(A58,Schlußkurse!A$5:AU$105,42,FALSE)/VLOOKUP(A58,Buchwert_je_Aktie!A$3:AJ$103,13,FALSE),""),"")</f>
        <v>2.2103710625470989</v>
      </c>
      <c r="K58" s="70">
        <f>IF(VLOOKUP(A58,Buchwert_je_Aktie!A$3:AJ$103,14,FALSE)&lt;&gt;"",IF(VLOOKUP(A58,Schlußkurse!A$5:AU$105,43,FALSE)&gt;0,VLOOKUP(A58,Schlußkurse!A$5:AU$105,43,FALSE)/VLOOKUP(A58,Buchwert_je_Aktie!A$3:AJ$103,14,FALSE),""),"")</f>
        <v>1.2260195383347072</v>
      </c>
      <c r="L58" s="70">
        <f>IF(VLOOKUP(A58,Buchwert_je_Aktie!A$3:AJ$103,15,FALSE)&lt;&gt;"",IF(VLOOKUP(A58,Schlußkurse!A$5:AU$105,44,FALSE)&gt;0,VLOOKUP(A58,Schlußkurse!A$5:AU$105,44,FALSE)/VLOOKUP(A58,Buchwert_je_Aktie!A$3:AJ$103,15,FALSE),""),"")</f>
        <v>2.2589888659793815</v>
      </c>
      <c r="M58" s="70">
        <f>IF(VLOOKUP(A58,Buchwert_je_Aktie!A$3:AJ$103,16,FALSE)&lt;&gt;"",IF(VLOOKUP(A58,Schlußkurse!A$5:AU$105,45,FALSE)&gt;0,VLOOKUP(A58,Schlußkurse!A$5:AU$105,45,FALSE)/VLOOKUP(A58,Buchwert_je_Aktie!A$3:AJ$103,16,FALSE),""),"")</f>
        <v>1.8834407725321887</v>
      </c>
      <c r="N58" s="70">
        <f>IF(VLOOKUP(A58,Buchwert_je_Aktie!A$3:AJ$103,17,FALSE)&lt;&gt;"",IF(VLOOKUP(A58,Schlußkurse!A$5:AU$105,46,FALSE)&gt;0,VLOOKUP(A58,Schlußkurse!A$5:AU$105,46,FALSE)/VLOOKUP(A58,Buchwert_je_Aktie!A$3:AJ$103,17,FALSE),""),"")</f>
        <v>2.062368234064786</v>
      </c>
      <c r="O58" s="70" t="str">
        <f>IF(VLOOKUP(A58,Buchwert_je_Aktie!A$3:AJ$103,18,FALSE)&lt;&gt;"",IF(VLOOKUP(A58,Schlußkurse!A$5:AU$105,47,FALSE)&gt;0,VLOOKUP(A58,Schlußkurse!A$5:AU$105,47,FALSE)/VLOOKUP(A58,Buchwert_je_Aktie!A$3:AJ$103,18,FALSE),""),"")</f>
        <v/>
      </c>
      <c r="P58" s="70">
        <f t="shared" si="2"/>
        <v>2.4465933346304958</v>
      </c>
      <c r="Q58" s="3">
        <f ca="1">VLOOKUP(A58,Schlußkurse!A$5:AU$105,35,FALSE)/VLOOKUP(A58,Buchwert_je_Aktie!A$3:AK$103,23,FALSE)</f>
        <v>3.665805661538462</v>
      </c>
      <c r="R58" s="5">
        <f t="shared" ca="1" si="3"/>
        <v>0.49833060102409754</v>
      </c>
    </row>
    <row r="59" spans="1:18">
      <c r="A59" t="s">
        <v>87</v>
      </c>
      <c r="B59" s="38" t="s">
        <v>88</v>
      </c>
      <c r="C59" s="70">
        <f>IF(VLOOKUP(A59,Buchwert_je_Aktie!A$3:AJ$103,6,FALSE)&lt;&gt;"",IF(VLOOKUP(A59,Schlußkurse!A$5:AU$105,35,FALSE)&gt;0,VLOOKUP(A59,Schlußkurse!A$5:AU$105,35,FALSE) /VLOOKUP(A59,Buchwert_je_Aktie!A$3:AJ$103,6,FALSE),""),"")</f>
        <v>5.5557377049180321</v>
      </c>
      <c r="D59" s="70">
        <f>IF(VLOOKUP(A59,Buchwert_je_Aktie!A$3:AJ$103,7,FALSE)&lt;&gt;"",IF(VLOOKUP(A59,Schlußkurse!A$5:AU$105,36,FALSE)&gt;0,VLOOKUP(A59,Schlußkurse!A$5:AU$105,36,FALSE)/VLOOKUP(A59,Buchwert_je_Aktie!A$3:AJ$103,7,FALSE),""),"")</f>
        <v>5.977072310405644</v>
      </c>
      <c r="E59" s="70">
        <f>IF(VLOOKUP(A59,Buchwert_je_Aktie!A$3:AJ$103,8,FALSE)&lt;&gt;"",IF(VLOOKUP(A59,Schlußkurse!A$5:AU$105,37,FALSE)&gt;0,VLOOKUP(A59,Schlußkurse!A$5:AU$105,37,FALSE)/VLOOKUP(A59,Buchwert_je_Aktie!A$3:AJ$103,8,FALSE),""),"")</f>
        <v>6.0803484995159733</v>
      </c>
      <c r="F59" s="70">
        <f>IF(VLOOKUP(A59,Buchwert_je_Aktie!A$3:AJ$103,9,FALSE)&lt;&gt;"",IF(VLOOKUP(A59,Schlußkurse!A$5:AU$105,38,FALSE)&gt;0,VLOOKUP(A59,Schlußkurse!A$5:AU$105,38,FALSE)/VLOOKUP(A59,Buchwert_je_Aktie!A$3:AJ$103,9,FALSE),""),"")</f>
        <v>5.5602988260405555</v>
      </c>
      <c r="G59" s="70">
        <f>IF(VLOOKUP(A59,Buchwert_je_Aktie!A$3:AJ$103,10,FALSE)&lt;&gt;"",IF(VLOOKUP(A59,Schlußkurse!A$5:AU$105,39,FALSE)&gt;0,VLOOKUP(A59,Schlußkurse!A$5:AU$105,39,FALSE)/VLOOKUP(A59,Buchwert_je_Aktie!A$3:AJ$103,10,FALSE),""),"")</f>
        <v>5.0200571120689652</v>
      </c>
      <c r="H59" s="70">
        <f>IF(VLOOKUP(A59,Buchwert_je_Aktie!A$3:AJ$103,11,FALSE)&lt;&gt;"",IF(VLOOKUP(A59,Schlußkurse!A$5:AU$105,40,FALSE)&gt;0,VLOOKUP(A59,Schlußkurse!A$5:AU$105,40,FALSE)/VLOOKUP(A59,Buchwert_je_Aktie!A$3:AJ$103,11,FALSE),""),"")</f>
        <v>4.3839999999999995</v>
      </c>
      <c r="I59" s="70">
        <f>IF(VLOOKUP(A59,Buchwert_je_Aktie!A$3:AJ$103,12,FALSE)&lt;&gt;"",IF(VLOOKUP(A59,Schlußkurse!A$5:AU$105,41,FALSE)&gt;0,VLOOKUP(A59,Schlußkurse!A$5:AU$105,41,FALSE)/VLOOKUP(A59,Buchwert_je_Aktie!A$3:AJ$103,12,FALSE),""),"")</f>
        <v>3.834787841191067</v>
      </c>
      <c r="J59" s="70">
        <f>IF(VLOOKUP(A59,Buchwert_je_Aktie!A$3:AJ$103,13,FALSE)&lt;&gt;"",IF(VLOOKUP(A59,Schlußkurse!A$5:AU$105,42,FALSE)&gt;0,VLOOKUP(A59,Schlußkurse!A$5:AU$105,42,FALSE)/VLOOKUP(A59,Buchwert_je_Aktie!A$3:AJ$103,13,FALSE),""),"")</f>
        <v>4.3701096938775512</v>
      </c>
      <c r="K59" s="70">
        <f>IF(VLOOKUP(A59,Buchwert_je_Aktie!A$3:AJ$103,14,FALSE)&lt;&gt;"",IF(VLOOKUP(A59,Schlußkurse!A$5:AU$105,43,FALSE)&gt;0,VLOOKUP(A59,Schlußkurse!A$5:AU$105,43,FALSE)/VLOOKUP(A59,Buchwert_je_Aktie!A$3:AJ$103,14,FALSE),""),"")</f>
        <v>4.6799196556671445</v>
      </c>
      <c r="L59" s="70">
        <f>IF(VLOOKUP(A59,Buchwert_je_Aktie!A$3:AJ$103,15,FALSE)&lt;&gt;"",IF(VLOOKUP(A59,Schlußkurse!A$5:AU$105,44,FALSE)&gt;0,VLOOKUP(A59,Schlußkurse!A$5:AU$105,44,FALSE)/VLOOKUP(A59,Buchwert_je_Aktie!A$3:AJ$103,15,FALSE),""),"")</f>
        <v>4.5148072072072072</v>
      </c>
      <c r="M59" s="70">
        <f>IF(VLOOKUP(A59,Buchwert_je_Aktie!A$3:AJ$103,16,FALSE)&lt;&gt;"",IF(VLOOKUP(A59,Schlußkurse!A$5:AU$105,45,FALSE)&gt;0,VLOOKUP(A59,Schlußkurse!A$5:AU$105,45,FALSE)/VLOOKUP(A59,Buchwert_je_Aktie!A$3:AJ$103,16,FALSE),""),"")</f>
        <v>6.2111776315789484</v>
      </c>
      <c r="N59" s="70">
        <f>IF(VLOOKUP(A59,Buchwert_je_Aktie!A$3:AJ$103,17,FALSE)&lt;&gt;"",IF(VLOOKUP(A59,Schlußkurse!A$5:AU$105,46,FALSE)&gt;0,VLOOKUP(A59,Schlußkurse!A$5:AU$105,46,FALSE)/VLOOKUP(A59,Buchwert_je_Aktie!A$3:AJ$103,17,FALSE),""),"")</f>
        <v>6.8744212121212129</v>
      </c>
      <c r="O59" s="70">
        <f>IF(VLOOKUP(A59,Buchwert_je_Aktie!A$3:AJ$103,18,FALSE)&lt;&gt;"",IF(VLOOKUP(A59,Schlußkurse!A$5:AU$105,47,FALSE)&gt;0,VLOOKUP(A59,Schlußkurse!A$5:AU$105,47,FALSE)/VLOOKUP(A59,Buchwert_je_Aktie!A$3:AJ$103,18,FALSE),""),"")</f>
        <v>7.2052779922779928</v>
      </c>
      <c r="P59" s="70">
        <f t="shared" si="2"/>
        <v>5.5557377049180321</v>
      </c>
      <c r="Q59" s="3">
        <f ca="1">VLOOKUP(A59,Schlußkurse!A$5:AU$105,35,FALSE)/VLOOKUP(A59,Buchwert_je_Aktie!A$3:AK$103,23,FALSE)</f>
        <v>6.374494498260133</v>
      </c>
      <c r="R59" s="5">
        <f t="shared" ca="1" si="3"/>
        <v>0.14737139095269458</v>
      </c>
    </row>
    <row r="60" spans="1:18">
      <c r="A60" t="s">
        <v>252</v>
      </c>
      <c r="B60" s="38" t="s">
        <v>253</v>
      </c>
      <c r="C60" s="70">
        <f>IF(VLOOKUP(A60,Buchwert_je_Aktie!A$3:AJ$103,6,FALSE)&lt;&gt;"",IF(VLOOKUP(A60,Schlußkurse!A$5:AU$105,35,FALSE)&gt;0,VLOOKUP(A60,Schlußkurse!A$5:AU$105,35,FALSE) /VLOOKUP(A60,Buchwert_je_Aktie!A$3:AJ$103,6,FALSE),""),"")</f>
        <v>1.8950372208436728</v>
      </c>
      <c r="D60" s="70">
        <f>IF(VLOOKUP(A60,Buchwert_je_Aktie!A$3:AJ$103,7,FALSE)&lt;&gt;"",IF(VLOOKUP(A60,Schlußkurse!A$5:AU$105,36,FALSE)&gt;0,VLOOKUP(A60,Schlußkurse!A$5:AU$105,36,FALSE)/VLOOKUP(A60,Buchwert_je_Aktie!A$3:AJ$103,7,FALSE),""),"")</f>
        <v>1.9836363636363639</v>
      </c>
      <c r="E60" s="70">
        <f>IF(VLOOKUP(A60,Buchwert_je_Aktie!A$3:AJ$103,8,FALSE)&lt;&gt;"",IF(VLOOKUP(A60,Schlußkurse!A$5:AU$105,37,FALSE)&gt;0,VLOOKUP(A60,Schlußkurse!A$5:AU$105,37,FALSE)/VLOOKUP(A60,Buchwert_je_Aktie!A$3:AJ$103,8,FALSE),""),"")</f>
        <v>2.0013440860215055</v>
      </c>
      <c r="F60" s="70">
        <f>IF(VLOOKUP(A60,Buchwert_je_Aktie!A$3:AJ$103,9,FALSE)&lt;&gt;"",IF(VLOOKUP(A60,Schlußkurse!A$5:AU$105,38,FALSE)&gt;0,VLOOKUP(A60,Schlußkurse!A$5:AU$105,38,FALSE)/VLOOKUP(A60,Buchwert_je_Aktie!A$3:AJ$103,9,FALSE),""),"")</f>
        <v>1.5710470085470087</v>
      </c>
      <c r="G60" s="70">
        <f>IF(VLOOKUP(A60,Buchwert_je_Aktie!A$3:AJ$103,10,FALSE)&lt;&gt;"",IF(VLOOKUP(A60,Schlußkurse!A$5:AU$105,39,FALSE)&gt;0,VLOOKUP(A60,Schlußkurse!A$5:AU$105,39,FALSE)/VLOOKUP(A60,Buchwert_je_Aktie!A$3:AJ$103,10,FALSE),""),"")</f>
        <v>2.3997944501541624</v>
      </c>
      <c r="H60" s="70">
        <f>IF(VLOOKUP(A60,Buchwert_je_Aktie!A$3:AJ$103,11,FALSE)&lt;&gt;"",IF(VLOOKUP(A60,Schlußkurse!A$5:AU$105,40,FALSE)&gt;0,VLOOKUP(A60,Schlußkurse!A$5:AU$105,40,FALSE)/VLOOKUP(A60,Buchwert_je_Aktie!A$3:AJ$103,11,FALSE),""),"")</f>
        <v>2.0783460282916217</v>
      </c>
      <c r="I60" s="70">
        <f>IF(VLOOKUP(A60,Buchwert_je_Aktie!A$3:AJ$103,12,FALSE)&lt;&gt;"",IF(VLOOKUP(A60,Schlußkurse!A$5:AU$105,41,FALSE)&gt;0,VLOOKUP(A60,Schlußkurse!A$5:AU$105,41,FALSE)/VLOOKUP(A60,Buchwert_je_Aktie!A$3:AJ$103,12,FALSE),""),"")</f>
        <v>2.5303030303030303</v>
      </c>
      <c r="J60" s="70">
        <f>IF(VLOOKUP(A60,Buchwert_je_Aktie!A$3:AJ$103,13,FALSE)&lt;&gt;"",IF(VLOOKUP(A60,Schlußkurse!A$5:AU$105,42,FALSE)&gt;0,VLOOKUP(A60,Schlußkurse!A$5:AU$105,42,FALSE)/VLOOKUP(A60,Buchwert_je_Aktie!A$3:AJ$103,13,FALSE),""),"")</f>
        <v>2.9282841823056298</v>
      </c>
      <c r="K60" s="70">
        <f>IF(VLOOKUP(A60,Buchwert_je_Aktie!A$3:AJ$103,14,FALSE)&lt;&gt;"",IF(VLOOKUP(A60,Schlußkurse!A$5:AU$105,43,FALSE)&gt;0,VLOOKUP(A60,Schlußkurse!A$5:AU$105,43,FALSE)/VLOOKUP(A60,Buchwert_je_Aktie!A$3:AJ$103,14,FALSE),""),"")</f>
        <v>2.4006001500375094</v>
      </c>
      <c r="L60" s="70">
        <f>IF(VLOOKUP(A60,Buchwert_je_Aktie!A$3:AJ$103,15,FALSE)&lt;&gt;"",IF(VLOOKUP(A60,Schlußkurse!A$5:AU$105,44,FALSE)&gt;0,VLOOKUP(A60,Schlußkurse!A$5:AU$105,44,FALSE)/VLOOKUP(A60,Buchwert_je_Aktie!A$3:AJ$103,15,FALSE),""),"")</f>
        <v>4.1324278438030566</v>
      </c>
      <c r="M60" s="70">
        <f>IF(VLOOKUP(A60,Buchwert_je_Aktie!A$3:AJ$103,16,FALSE)&lt;&gt;"",IF(VLOOKUP(A60,Schlußkurse!A$5:AU$105,45,FALSE)&gt;0,VLOOKUP(A60,Schlußkurse!A$5:AU$105,45,FALSE)/VLOOKUP(A60,Buchwert_je_Aktie!A$3:AJ$103,16,FALSE),""),"")</f>
        <v>5.162768031189084</v>
      </c>
      <c r="N60" s="70">
        <f>IF(VLOOKUP(A60,Buchwert_je_Aktie!A$3:AJ$103,17,FALSE)&lt;&gt;"",IF(VLOOKUP(A60,Schlußkurse!A$5:AU$105,46,FALSE)&gt;0,VLOOKUP(A60,Schlußkurse!A$5:AU$105,46,FALSE)/VLOOKUP(A60,Buchwert_je_Aktie!A$3:AJ$103,17,FALSE),""),"")</f>
        <v>5.2208333333333332</v>
      </c>
      <c r="O60" s="70">
        <f>IF(VLOOKUP(A60,Buchwert_je_Aktie!A$3:AJ$103,18,FALSE)&lt;&gt;"",IF(VLOOKUP(A60,Schlußkurse!A$5:AU$105,47,FALSE)&gt;0,VLOOKUP(A60,Schlußkurse!A$5:AU$105,47,FALSE)/VLOOKUP(A60,Buchwert_je_Aktie!A$3:AJ$103,18,FALSE),""),"")</f>
        <v>4.9753694581280792</v>
      </c>
      <c r="P60" s="70">
        <f t="shared" si="2"/>
        <v>2.4006001500375094</v>
      </c>
      <c r="Q60" s="3">
        <f ca="1">VLOOKUP(A60,Schlußkurse!A$5:AU$105,35,FALSE)/VLOOKUP(A60,Buchwert_je_Aktie!A$3:AK$103,23,FALSE)</f>
        <v>1.985685086344497</v>
      </c>
      <c r="R60" s="5">
        <f t="shared" ca="1" si="3"/>
        <v>-0.17283805621962045</v>
      </c>
    </row>
    <row r="61" spans="1:18">
      <c r="A61" t="s">
        <v>89</v>
      </c>
      <c r="B61" s="38" t="s">
        <v>90</v>
      </c>
      <c r="C61" s="70">
        <f>IF(VLOOKUP(A61,Buchwert_je_Aktie!A$3:AJ$103,6,FALSE)&lt;&gt;"",IF(VLOOKUP(A61,Schlußkurse!A$5:AU$105,35,FALSE)&gt;0,VLOOKUP(A61,Schlußkurse!A$5:AU$105,35,FALSE) /VLOOKUP(A61,Buchwert_je_Aktie!A$3:AJ$103,6,FALSE),""),"")</f>
        <v>47.611940298507456</v>
      </c>
      <c r="D61" s="70">
        <f>IF(VLOOKUP(A61,Buchwert_je_Aktie!A$3:AJ$103,7,FALSE)&lt;&gt;"",IF(VLOOKUP(A61,Schlußkurse!A$5:AU$105,36,FALSE)&gt;0,VLOOKUP(A61,Schlußkurse!A$5:AU$105,36,FALSE)/VLOOKUP(A61,Buchwert_je_Aktie!A$3:AJ$103,7,FALSE),""),"")</f>
        <v>41.973684210526315</v>
      </c>
      <c r="E61" s="70">
        <f>IF(VLOOKUP(A61,Buchwert_je_Aktie!A$3:AJ$103,8,FALSE)&lt;&gt;"",IF(VLOOKUP(A61,Schlußkurse!A$5:AU$105,37,FALSE)&gt;0,VLOOKUP(A61,Schlußkurse!A$5:AU$105,37,FALSE)/VLOOKUP(A61,Buchwert_je_Aktie!A$3:AJ$103,8,FALSE),""),"")</f>
        <v>35.278787878787881</v>
      </c>
      <c r="F61" s="70">
        <f>IF(VLOOKUP(A61,Buchwert_je_Aktie!A$3:AJ$103,9,FALSE)&lt;&gt;"",IF(VLOOKUP(A61,Schlußkurse!A$5:AU$105,38,FALSE)&gt;0,VLOOKUP(A61,Schlußkurse!A$5:AU$105,38,FALSE)/VLOOKUP(A61,Buchwert_je_Aktie!A$3:AJ$103,9,FALSE),""),"")</f>
        <v>33.517006802721092</v>
      </c>
      <c r="G61" s="70">
        <f>IF(VLOOKUP(A61,Buchwert_je_Aktie!A$3:AJ$103,10,FALSE)&lt;&gt;"",IF(VLOOKUP(A61,Schlußkurse!A$5:AU$105,39,FALSE)&gt;0,VLOOKUP(A61,Schlußkurse!A$5:AU$105,39,FALSE)/VLOOKUP(A61,Buchwert_je_Aktie!A$3:AJ$103,10,FALSE),""),"")</f>
        <v>25.091503267973856</v>
      </c>
      <c r="H61" s="70">
        <f>IF(VLOOKUP(A61,Buchwert_je_Aktie!A$3:AJ$103,11,FALSE)&lt;&gt;"",IF(VLOOKUP(A61,Schlußkurse!A$5:AU$105,40,FALSE)&gt;0,VLOOKUP(A61,Schlußkurse!A$5:AU$105,40,FALSE)/VLOOKUP(A61,Buchwert_je_Aktie!A$3:AJ$103,11,FALSE),""),"")</f>
        <v>15.188405797101451</v>
      </c>
      <c r="I61" s="70">
        <f>IF(VLOOKUP(A61,Buchwert_je_Aktie!A$3:AJ$103,12,FALSE)&lt;&gt;"",IF(VLOOKUP(A61,Schlußkurse!A$5:AU$105,41,FALSE)&gt;0,VLOOKUP(A61,Schlußkurse!A$5:AU$105,41,FALSE)/VLOOKUP(A61,Buchwert_je_Aktie!A$3:AJ$103,12,FALSE),""),"")</f>
        <v>18.765822784810126</v>
      </c>
      <c r="J61" s="70">
        <f>IF(VLOOKUP(A61,Buchwert_je_Aktie!A$3:AJ$103,13,FALSE)&lt;&gt;"",IF(VLOOKUP(A61,Schlußkurse!A$5:AU$105,42,FALSE)&gt;0,VLOOKUP(A61,Schlußkurse!A$5:AU$105,42,FALSE)/VLOOKUP(A61,Buchwert_je_Aktie!A$3:AJ$103,13,FALSE),""),"")</f>
        <v>13.677777777777777</v>
      </c>
      <c r="K61" s="70">
        <f>IF(VLOOKUP(A61,Buchwert_je_Aktie!A$3:AJ$103,14,FALSE)&lt;&gt;"",IF(VLOOKUP(A61,Schlußkurse!A$5:AU$105,43,FALSE)&gt;0,VLOOKUP(A61,Schlußkurse!A$5:AU$105,43,FALSE)/VLOOKUP(A61,Buchwert_je_Aktie!A$3:AJ$103,14,FALSE),""),"")</f>
        <v>7.8835341365461833</v>
      </c>
      <c r="L61" s="70">
        <f>IF(VLOOKUP(A61,Buchwert_je_Aktie!A$3:AJ$103,15,FALSE)&lt;&gt;"",IF(VLOOKUP(A61,Schlußkurse!A$5:AU$105,44,FALSE)&gt;0,VLOOKUP(A61,Schlußkurse!A$5:AU$105,44,FALSE)/VLOOKUP(A61,Buchwert_je_Aktie!A$3:AJ$103,15,FALSE),""),"")</f>
        <v>4.7571428571428571</v>
      </c>
      <c r="M61" s="70" t="str">
        <f>IF(VLOOKUP(A61,Buchwert_je_Aktie!A$3:AJ$103,16,FALSE)&lt;&gt;"",IF(VLOOKUP(A61,Schlußkurse!A$5:AU$105,45,FALSE)&gt;0,VLOOKUP(A61,Schlußkurse!A$5:AU$105,45,FALSE)/VLOOKUP(A61,Buchwert_je_Aktie!A$3:AJ$103,16,FALSE),""),"")</f>
        <v/>
      </c>
      <c r="N61" s="70" t="str">
        <f>IF(VLOOKUP(A61,Buchwert_je_Aktie!A$3:AJ$103,17,FALSE)&lt;&gt;"",IF(VLOOKUP(A61,Schlußkurse!A$5:AU$105,46,FALSE)&gt;0,VLOOKUP(A61,Schlußkurse!A$5:AU$105,46,FALSE)/VLOOKUP(A61,Buchwert_je_Aktie!A$3:AJ$103,17,FALSE),""),"")</f>
        <v/>
      </c>
      <c r="O61" s="70" t="str">
        <f>IF(VLOOKUP(A61,Buchwert_je_Aktie!A$3:AJ$103,18,FALSE)&lt;&gt;"",IF(VLOOKUP(A61,Schlußkurse!A$5:AU$105,47,FALSE)&gt;0,VLOOKUP(A61,Schlußkurse!A$5:AU$105,47,FALSE)/VLOOKUP(A61,Buchwert_je_Aktie!A$3:AJ$103,18,FALSE),""),"")</f>
        <v/>
      </c>
      <c r="P61" s="70">
        <f t="shared" si="2"/>
        <v>21.928663026391991</v>
      </c>
      <c r="Q61" s="3">
        <f ca="1">VLOOKUP(A61,Schlußkurse!A$5:AU$105,35,FALSE)/VLOOKUP(A61,Buchwert_je_Aktie!A$3:AK$103,23,FALSE)</f>
        <v>39.602731222842948</v>
      </c>
      <c r="R61" s="5">
        <f t="shared" ca="1" si="3"/>
        <v>0.80598019930259923</v>
      </c>
    </row>
    <row r="62" spans="1:18">
      <c r="A62" t="s">
        <v>92</v>
      </c>
      <c r="B62" s="38" t="s">
        <v>93</v>
      </c>
      <c r="C62" s="70">
        <f>IF(VLOOKUP(A62,Buchwert_je_Aktie!A$3:AJ$103,6,FALSE)&lt;&gt;"",IF(VLOOKUP(A62,Schlußkurse!A$5:AU$105,35,FALSE)&gt;0,VLOOKUP(A62,Schlußkurse!A$5:AU$105,35,FALSE) /VLOOKUP(A62,Buchwert_je_Aktie!A$3:AJ$103,6,FALSE),""),"")</f>
        <v>7.0489977728285069</v>
      </c>
      <c r="D62" s="70">
        <f>IF(VLOOKUP(A62,Buchwert_je_Aktie!A$3:AJ$103,7,FALSE)&lt;&gt;"",IF(VLOOKUP(A62,Schlußkurse!A$5:AU$105,36,FALSE)&gt;0,VLOOKUP(A62,Schlußkurse!A$5:AU$105,36,FALSE)/VLOOKUP(A62,Buchwert_je_Aktie!A$3:AJ$103,7,FALSE),""),"")</f>
        <v>7.1364148816234501</v>
      </c>
      <c r="E62" s="70">
        <f>IF(VLOOKUP(A62,Buchwert_je_Aktie!A$3:AJ$103,8,FALSE)&lt;&gt;"",IF(VLOOKUP(A62,Schlußkurse!A$5:AU$105,37,FALSE)&gt;0,VLOOKUP(A62,Schlußkurse!A$5:AU$105,37,FALSE)/VLOOKUP(A62,Buchwert_je_Aktie!A$3:AJ$103,8,FALSE),""),"")</f>
        <v>6.5981198589894241</v>
      </c>
      <c r="F62" s="70">
        <f>IF(VLOOKUP(A62,Buchwert_je_Aktie!A$3:AJ$103,9,FALSE)&lt;&gt;"",IF(VLOOKUP(A62,Schlußkurse!A$5:AU$105,38,FALSE)&gt;0,VLOOKUP(A62,Schlußkurse!A$5:AU$105,38,FALSE)/VLOOKUP(A62,Buchwert_je_Aktie!A$3:AJ$103,9,FALSE),""),"")</f>
        <v>6.5784431137724555</v>
      </c>
      <c r="G62" s="70">
        <f>IF(VLOOKUP(A62,Buchwert_je_Aktie!A$3:AJ$103,10,FALSE)&lt;&gt;"",IF(VLOOKUP(A62,Schlußkurse!A$5:AU$105,39,FALSE)&gt;0,VLOOKUP(A62,Schlußkurse!A$5:AU$105,39,FALSE)/VLOOKUP(A62,Buchwert_je_Aktie!A$3:AJ$103,10,FALSE),""),"")</f>
        <v>4.4123711340206189</v>
      </c>
      <c r="H62" s="70">
        <f>IF(VLOOKUP(A62,Buchwert_je_Aktie!A$3:AJ$103,11,FALSE)&lt;&gt;"",IF(VLOOKUP(A62,Schlußkurse!A$5:AU$105,40,FALSE)&gt;0,VLOOKUP(A62,Schlußkurse!A$5:AU$105,40,FALSE)/VLOOKUP(A62,Buchwert_je_Aktie!A$3:AJ$103,11,FALSE),""),"")</f>
        <v>3.6815561959654182</v>
      </c>
      <c r="I62" s="70">
        <f>IF(VLOOKUP(A62,Buchwert_je_Aktie!A$3:AJ$103,12,FALSE)&lt;&gt;"",IF(VLOOKUP(A62,Schlußkurse!A$5:AU$105,41,FALSE)&gt;0,VLOOKUP(A62,Schlußkurse!A$5:AU$105,41,FALSE)/VLOOKUP(A62,Buchwert_je_Aktie!A$3:AJ$103,12,FALSE),""),"")</f>
        <v>4.0171717171717169</v>
      </c>
      <c r="J62" s="70">
        <f>IF(VLOOKUP(A62,Buchwert_je_Aktie!A$3:AJ$103,13,FALSE)&lt;&gt;"",IF(VLOOKUP(A62,Schlußkurse!A$5:AU$105,42,FALSE)&gt;0,VLOOKUP(A62,Schlußkurse!A$5:AU$105,42,FALSE)/VLOOKUP(A62,Buchwert_je_Aktie!A$3:AJ$103,13,FALSE),""),"")</f>
        <v>3.6084093211752792</v>
      </c>
      <c r="K62" s="70">
        <f>IF(VLOOKUP(A62,Buchwert_je_Aktie!A$3:AJ$103,14,FALSE)&lt;&gt;"",IF(VLOOKUP(A62,Schlußkurse!A$5:AU$105,43,FALSE)&gt;0,VLOOKUP(A62,Schlußkurse!A$5:AU$105,43,FALSE)/VLOOKUP(A62,Buchwert_je_Aktie!A$3:AJ$103,14,FALSE),""),"")</f>
        <v>3.0831325301204817</v>
      </c>
      <c r="L62" s="70">
        <f>IF(VLOOKUP(A62,Buchwert_je_Aktie!A$3:AJ$103,15,FALSE)&lt;&gt;"",IF(VLOOKUP(A62,Schlußkurse!A$5:AU$105,44,FALSE)&gt;0,VLOOKUP(A62,Schlußkurse!A$5:AU$105,44,FALSE)/VLOOKUP(A62,Buchwert_je_Aktie!A$3:AJ$103,15,FALSE),""),"")</f>
        <v>3.9748427672955975</v>
      </c>
      <c r="M62" s="70">
        <f>IF(VLOOKUP(A62,Buchwert_je_Aktie!A$3:AJ$103,16,FALSE)&lt;&gt;"",IF(VLOOKUP(A62,Schlußkurse!A$5:AU$105,45,FALSE)&gt;0,VLOOKUP(A62,Schlußkurse!A$5:AU$105,45,FALSE)/VLOOKUP(A62,Buchwert_je_Aktie!A$3:AJ$103,16,FALSE),""),"")</f>
        <v>2.9282296650717705</v>
      </c>
      <c r="N62" s="70">
        <f>IF(VLOOKUP(A62,Buchwert_je_Aktie!A$3:AJ$103,17,FALSE)&lt;&gt;"",IF(VLOOKUP(A62,Schlußkurse!A$5:AU$105,46,FALSE)&gt;0,VLOOKUP(A62,Schlußkurse!A$5:AU$105,46,FALSE)/VLOOKUP(A62,Buchwert_je_Aktie!A$3:AJ$103,17,FALSE),""),"")</f>
        <v>3.3177749360613809</v>
      </c>
      <c r="O62" s="70">
        <f>IF(VLOOKUP(A62,Buchwert_je_Aktie!A$3:AJ$103,18,FALSE)&lt;&gt;"",IF(VLOOKUP(A62,Schlußkurse!A$5:AU$105,47,FALSE)&gt;0,VLOOKUP(A62,Schlußkurse!A$5:AU$105,47,FALSE)/VLOOKUP(A62,Buchwert_je_Aktie!A$3:AJ$103,18,FALSE),""),"")</f>
        <v>3.051787916152898</v>
      </c>
      <c r="P62" s="70">
        <f t="shared" si="2"/>
        <v>3.9748427672955975</v>
      </c>
      <c r="Q62" s="3">
        <f ca="1">VLOOKUP(A62,Schlußkurse!A$5:AU$105,35,FALSE)/VLOOKUP(A62,Buchwert_je_Aktie!A$3:AK$103,23,FALSE)</f>
        <v>7.1703670140462163</v>
      </c>
      <c r="R62" s="5">
        <f t="shared" ca="1" si="3"/>
        <v>0.80393727093884237</v>
      </c>
    </row>
    <row r="63" spans="1:18">
      <c r="A63" t="s">
        <v>323</v>
      </c>
      <c r="B63" s="38" t="s">
        <v>324</v>
      </c>
      <c r="C63" s="70">
        <f>IF(VLOOKUP(A63,Buchwert_je_Aktie!A$3:AJ$103,6,FALSE)&lt;&gt;"",IF(VLOOKUP(A63,Schlußkurse!A$5:AU$105,35,FALSE)&gt;0,VLOOKUP(A63,Schlußkurse!A$5:AU$105,35,FALSE) /VLOOKUP(A63,Buchwert_je_Aktie!A$3:AJ$103,6,FALSE),""),"")</f>
        <v>13.13447782546495</v>
      </c>
      <c r="D63" s="70">
        <f>IF(VLOOKUP(A63,Buchwert_je_Aktie!A$3:AJ$103,7,FALSE)&lt;&gt;"",IF(VLOOKUP(A63,Schlußkurse!A$5:AU$105,36,FALSE)&gt;0,VLOOKUP(A63,Schlußkurse!A$5:AU$105,36,FALSE)/VLOOKUP(A63,Buchwert_je_Aktie!A$3:AJ$103,7,FALSE),""),"")</f>
        <v>15.100328947368421</v>
      </c>
      <c r="E63" s="70">
        <f>IF(VLOOKUP(A63,Buchwert_je_Aktie!A$3:AJ$103,8,FALSE)&lt;&gt;"",IF(VLOOKUP(A63,Schlußkurse!A$5:AU$105,37,FALSE)&gt;0,VLOOKUP(A63,Schlußkurse!A$5:AU$105,37,FALSE)/VLOOKUP(A63,Buchwert_je_Aktie!A$3:AJ$103,8,FALSE),""),"")</f>
        <v>13.670750382848391</v>
      </c>
      <c r="F63" s="70">
        <f>IF(VLOOKUP(A63,Buchwert_je_Aktie!A$3:AJ$103,9,FALSE)&lt;&gt;"",IF(VLOOKUP(A63,Schlußkurse!A$5:AU$105,38,FALSE)&gt;0,VLOOKUP(A63,Schlußkurse!A$5:AU$105,38,FALSE)/VLOOKUP(A63,Buchwert_je_Aktie!A$3:AJ$103,9,FALSE),""),"")</f>
        <v>22.593478260869567</v>
      </c>
      <c r="G63" s="70">
        <f>IF(VLOOKUP(A63,Buchwert_je_Aktie!A$3:AJ$103,10,FALSE)&lt;&gt;"",IF(VLOOKUP(A63,Schlußkurse!A$5:AU$105,39,FALSE)&gt;0,VLOOKUP(A63,Schlußkurse!A$5:AU$105,39,FALSE)/VLOOKUP(A63,Buchwert_je_Aktie!A$3:AJ$103,10,FALSE),""),"")</f>
        <v>14.776595744680851</v>
      </c>
      <c r="H63" s="70">
        <f>IF(VLOOKUP(A63,Buchwert_je_Aktie!A$3:AJ$103,11,FALSE)&lt;&gt;"",IF(VLOOKUP(A63,Schlußkurse!A$5:AU$105,40,FALSE)&gt;0,VLOOKUP(A63,Schlußkurse!A$5:AU$105,40,FALSE)/VLOOKUP(A63,Buchwert_je_Aktie!A$3:AJ$103,11,FALSE),""),"")</f>
        <v>10.072524407252441</v>
      </c>
      <c r="I63" s="70">
        <f>IF(VLOOKUP(A63,Buchwert_je_Aktie!A$3:AJ$103,12,FALSE)&lt;&gt;"",IF(VLOOKUP(A63,Schlußkurse!A$5:AU$105,41,FALSE)&gt;0,VLOOKUP(A63,Schlußkurse!A$5:AU$105,41,FALSE)/VLOOKUP(A63,Buchwert_je_Aktie!A$3:AJ$103,12,FALSE),""),"")</f>
        <v>13.34341252699784</v>
      </c>
      <c r="J63" s="70">
        <f>IF(VLOOKUP(A63,Buchwert_je_Aktie!A$3:AJ$103,13,FALSE)&lt;&gt;"",IF(VLOOKUP(A63,Schlußkurse!A$5:AU$105,42,FALSE)&gt;0,VLOOKUP(A63,Schlußkurse!A$5:AU$105,42,FALSE)/VLOOKUP(A63,Buchwert_je_Aktie!A$3:AJ$103,13,FALSE),""),"")</f>
        <v>12.506631299734748</v>
      </c>
      <c r="K63" s="70">
        <f>IF(VLOOKUP(A63,Buchwert_je_Aktie!A$3:AJ$103,14,FALSE)&lt;&gt;"",IF(VLOOKUP(A63,Schlußkurse!A$5:AU$105,43,FALSE)&gt;0,VLOOKUP(A63,Schlußkurse!A$5:AU$105,43,FALSE)/VLOOKUP(A63,Buchwert_je_Aktie!A$3:AJ$103,14,FALSE),""),"")</f>
        <v>9.0151133501259437</v>
      </c>
      <c r="L63" s="70">
        <f>IF(VLOOKUP(A63,Buchwert_je_Aktie!A$3:AJ$103,15,FALSE)&lt;&gt;"",IF(VLOOKUP(A63,Schlußkurse!A$5:AU$105,44,FALSE)&gt;0,VLOOKUP(A63,Schlußkurse!A$5:AU$105,44,FALSE)/VLOOKUP(A63,Buchwert_je_Aktie!A$3:AJ$103,15,FALSE),""),"")</f>
        <v>10.99367088607595</v>
      </c>
      <c r="M63" s="70">
        <f>IF(VLOOKUP(A63,Buchwert_je_Aktie!A$3:AJ$103,16,FALSE)&lt;&gt;"",IF(VLOOKUP(A63,Schlußkurse!A$5:AU$105,45,FALSE)&gt;0,VLOOKUP(A63,Schlußkurse!A$5:AU$105,45,FALSE)/VLOOKUP(A63,Buchwert_je_Aktie!A$3:AJ$103,16,FALSE),""),"")</f>
        <v>28.142857142857142</v>
      </c>
      <c r="N63" s="70">
        <f>IF(VLOOKUP(A63,Buchwert_je_Aktie!A$3:AJ$103,17,FALSE)&lt;&gt;"",IF(VLOOKUP(A63,Schlußkurse!A$5:AU$105,46,FALSE)&gt;0,VLOOKUP(A63,Schlußkurse!A$5:AU$105,46,FALSE)/VLOOKUP(A63,Buchwert_je_Aktie!A$3:AJ$103,17,FALSE),""),"")</f>
        <v>19.130268199233718</v>
      </c>
      <c r="O63" s="70">
        <f>IF(VLOOKUP(A63,Buchwert_je_Aktie!A$3:AJ$103,18,FALSE)&lt;&gt;"",IF(VLOOKUP(A63,Schlußkurse!A$5:AU$105,47,FALSE)&gt;0,VLOOKUP(A63,Schlußkurse!A$5:AU$105,47,FALSE)/VLOOKUP(A63,Buchwert_je_Aktie!A$3:AJ$103,18,FALSE),""),"")</f>
        <v>18.8989898989899</v>
      </c>
      <c r="P63" s="70">
        <f t="shared" si="2"/>
        <v>13.670750382848391</v>
      </c>
      <c r="Q63" s="3">
        <f ca="1">VLOOKUP(A63,Schlußkurse!A$5:AU$105,35,FALSE)/VLOOKUP(A63,Buchwert_je_Aktie!A$3:AK$103,23,FALSE)</f>
        <v>14.356528537920251</v>
      </c>
      <c r="R63" s="5">
        <f t="shared" ca="1" si="3"/>
        <v>5.0163899995734784E-2</v>
      </c>
    </row>
    <row r="64" spans="1:18">
      <c r="A64" t="s">
        <v>254</v>
      </c>
      <c r="B64" s="38" t="s">
        <v>255</v>
      </c>
      <c r="C64" s="70">
        <f>IF(VLOOKUP(A64,Buchwert_je_Aktie!A$3:AJ$103,6,FALSE)&lt;&gt;"",IF(VLOOKUP(A64,Schlußkurse!A$5:AU$105,35,FALSE)&gt;0,VLOOKUP(A64,Schlußkurse!A$5:AU$105,35,FALSE) /VLOOKUP(A64,Buchwert_je_Aktie!A$3:AJ$103,6,FALSE),""),"")</f>
        <v>13.969258589511753</v>
      </c>
      <c r="D64" s="70">
        <f>IF(VLOOKUP(A64,Buchwert_je_Aktie!A$3:AJ$103,7,FALSE)&lt;&gt;"",IF(VLOOKUP(A64,Schlußkurse!A$5:AU$105,36,FALSE)&gt;0,VLOOKUP(A64,Schlußkurse!A$5:AU$105,36,FALSE)/VLOOKUP(A64,Buchwert_je_Aktie!A$3:AJ$103,7,FALSE),""),"")</f>
        <v>16.026970954356845</v>
      </c>
      <c r="E64" s="70">
        <f>IF(VLOOKUP(A64,Buchwert_je_Aktie!A$3:AJ$103,8,FALSE)&lt;&gt;"",IF(VLOOKUP(A64,Schlußkurse!A$5:AU$105,37,FALSE)&gt;0,VLOOKUP(A64,Schlußkurse!A$5:AU$105,37,FALSE)/VLOOKUP(A64,Buchwert_je_Aktie!A$3:AJ$103,8,FALSE),""),"")</f>
        <v>12.31175468483816</v>
      </c>
      <c r="F64" s="70">
        <f>IF(VLOOKUP(A64,Buchwert_je_Aktie!A$3:AJ$103,9,FALSE)&lt;&gt;"",IF(VLOOKUP(A64,Schlußkurse!A$5:AU$105,38,FALSE)&gt;0,VLOOKUP(A64,Schlußkurse!A$5:AU$105,38,FALSE)/VLOOKUP(A64,Buchwert_je_Aktie!A$3:AJ$103,9,FALSE),""),"")</f>
        <v>10.763157894736842</v>
      </c>
      <c r="G64" s="70">
        <f>IF(VLOOKUP(A64,Buchwert_je_Aktie!A$3:AJ$103,10,FALSE)&lt;&gt;"",IF(VLOOKUP(A64,Schlußkurse!A$5:AU$105,39,FALSE)&gt;0,VLOOKUP(A64,Schlußkurse!A$5:AU$105,39,FALSE)/VLOOKUP(A64,Buchwert_je_Aktie!A$3:AJ$103,10,FALSE),""),"")</f>
        <v>7.7994891443167305</v>
      </c>
      <c r="H64" s="70">
        <f>IF(VLOOKUP(A64,Buchwert_je_Aktie!A$3:AJ$103,11,FALSE)&lt;&gt;"",IF(VLOOKUP(A64,Schlußkurse!A$5:AU$105,40,FALSE)&gt;0,VLOOKUP(A64,Schlußkurse!A$5:AU$105,40,FALSE)/VLOOKUP(A64,Buchwert_je_Aktie!A$3:AJ$103,11,FALSE),""),"")</f>
        <v>5.7164790174002054</v>
      </c>
      <c r="I64" s="70">
        <f>IF(VLOOKUP(A64,Buchwert_je_Aktie!A$3:AJ$103,12,FALSE)&lt;&gt;"",IF(VLOOKUP(A64,Schlußkurse!A$5:AU$105,41,FALSE)&gt;0,VLOOKUP(A64,Schlußkurse!A$5:AU$105,41,FALSE)/VLOOKUP(A64,Buchwert_je_Aktie!A$3:AJ$103,12,FALSE),""),"")</f>
        <v>7.5477611940298504</v>
      </c>
      <c r="J64" s="70">
        <f>IF(VLOOKUP(A64,Buchwert_je_Aktie!A$3:AJ$103,13,FALSE)&lt;&gt;"",IF(VLOOKUP(A64,Schlußkurse!A$5:AU$105,42,FALSE)&gt;0,VLOOKUP(A64,Schlußkurse!A$5:AU$105,42,FALSE)/VLOOKUP(A64,Buchwert_je_Aktie!A$3:AJ$103,13,FALSE),""),"")</f>
        <v>10.361054766734281</v>
      </c>
      <c r="K64" s="70">
        <f>IF(VLOOKUP(A64,Buchwert_je_Aktie!A$3:AJ$103,14,FALSE)&lt;&gt;"",IF(VLOOKUP(A64,Schlußkurse!A$5:AU$105,43,FALSE)&gt;0,VLOOKUP(A64,Schlußkurse!A$5:AU$105,43,FALSE)/VLOOKUP(A64,Buchwert_je_Aktie!A$3:AJ$103,14,FALSE),""),"")</f>
        <v>9.0016920473773272</v>
      </c>
      <c r="L64" s="70">
        <f>IF(VLOOKUP(A64,Buchwert_je_Aktie!A$3:AJ$103,15,FALSE)&lt;&gt;"",IF(VLOOKUP(A64,Schlußkurse!A$5:AU$105,44,FALSE)&gt;0,VLOOKUP(A64,Schlußkurse!A$5:AU$105,44,FALSE)/VLOOKUP(A64,Buchwert_je_Aktie!A$3:AJ$103,15,FALSE),""),"")</f>
        <v>7.3450586264656623</v>
      </c>
      <c r="M64" s="70">
        <f>IF(VLOOKUP(A64,Buchwert_je_Aktie!A$3:AJ$103,16,FALSE)&lt;&gt;"",IF(VLOOKUP(A64,Schlußkurse!A$5:AU$105,45,FALSE)&gt;0,VLOOKUP(A64,Schlußkurse!A$5:AU$105,45,FALSE)/VLOOKUP(A64,Buchwert_je_Aktie!A$3:AJ$103,16,FALSE),""),"")</f>
        <v>13.83377308707124</v>
      </c>
      <c r="N64" s="70">
        <f>IF(VLOOKUP(A64,Buchwert_je_Aktie!A$3:AJ$103,17,FALSE)&lt;&gt;"",IF(VLOOKUP(A64,Schlußkurse!A$5:AU$105,46,FALSE)&gt;0,VLOOKUP(A64,Schlußkurse!A$5:AU$105,46,FALSE)/VLOOKUP(A64,Buchwert_je_Aktie!A$3:AJ$103,17,FALSE),""),"")</f>
        <v>7.7376543209876543</v>
      </c>
      <c r="O64" s="70">
        <f>IF(VLOOKUP(A64,Buchwert_je_Aktie!A$3:AJ$103,18,FALSE)&lt;&gt;"",IF(VLOOKUP(A64,Schlußkurse!A$5:AU$105,47,FALSE)&gt;0,VLOOKUP(A64,Schlußkurse!A$5:AU$105,47,FALSE)/VLOOKUP(A64,Buchwert_je_Aktie!A$3:AJ$103,18,FALSE),""),"")</f>
        <v>8.417307692307693</v>
      </c>
      <c r="P64" s="70">
        <f t="shared" si="2"/>
        <v>9.0016920473773272</v>
      </c>
      <c r="Q64" s="3">
        <f ca="1">VLOOKUP(A64,Schlußkurse!A$5:AU$105,35,FALSE)/VLOOKUP(A64,Buchwert_je_Aktie!A$3:AK$103,23,FALSE)</f>
        <v>13.906390639063908</v>
      </c>
      <c r="R64" s="5">
        <f t="shared" ca="1" si="3"/>
        <v>0.54486407287345284</v>
      </c>
    </row>
    <row r="65" spans="1:18">
      <c r="A65" t="s">
        <v>94</v>
      </c>
      <c r="B65" s="38" t="s">
        <v>95</v>
      </c>
      <c r="C65" s="70">
        <f>IF(VLOOKUP(A65,Buchwert_je_Aktie!A$3:AJ$103,6,FALSE)&lt;&gt;"",IF(VLOOKUP(A65,Schlußkurse!A$5:AU$105,35,FALSE)&gt;0,VLOOKUP(A65,Schlußkurse!A$5:AU$105,35,FALSE) /VLOOKUP(A65,Buchwert_je_Aktie!A$3:AJ$103,6,FALSE),""),"")</f>
        <v>134.79411764705884</v>
      </c>
      <c r="D65" s="70">
        <f>IF(VLOOKUP(A65,Buchwert_je_Aktie!A$3:AJ$103,7,FALSE)&lt;&gt;"",IF(VLOOKUP(A65,Schlußkurse!A$5:AU$105,36,FALSE)&gt;0,VLOOKUP(A65,Schlußkurse!A$5:AU$105,36,FALSE)/VLOOKUP(A65,Buchwert_je_Aktie!A$3:AJ$103,7,FALSE),""),"")</f>
        <v>109.11904761904762</v>
      </c>
      <c r="E65" s="70">
        <f>IF(VLOOKUP(A65,Buchwert_je_Aktie!A$3:AJ$103,8,FALSE)&lt;&gt;"",IF(VLOOKUP(A65,Schlußkurse!A$5:AU$105,37,FALSE)&gt;0,VLOOKUP(A65,Schlußkurse!A$5:AU$105,37,FALSE)/VLOOKUP(A65,Buchwert_je_Aktie!A$3:AJ$103,8,FALSE),""),"")</f>
        <v>205.32258064516128</v>
      </c>
      <c r="F65" s="70">
        <f>IF(VLOOKUP(A65,Buchwert_je_Aktie!A$3:AJ$103,9,FALSE)&lt;&gt;"",IF(VLOOKUP(A65,Schlußkurse!A$5:AU$105,38,FALSE)&gt;0,VLOOKUP(A65,Schlußkurse!A$5:AU$105,38,FALSE)/VLOOKUP(A65,Buchwert_je_Aktie!A$3:AJ$103,9,FALSE),""),"")</f>
        <v>-240.70833333333334</v>
      </c>
      <c r="G65" s="70">
        <f>IF(VLOOKUP(A65,Buchwert_je_Aktie!A$3:AJ$103,10,FALSE)&lt;&gt;"",IF(VLOOKUP(A65,Schlußkurse!A$5:AU$105,39,FALSE)&gt;0,VLOOKUP(A65,Schlußkurse!A$5:AU$105,39,FALSE)/VLOOKUP(A65,Buchwert_je_Aktie!A$3:AJ$103,10,FALSE),""),"")</f>
        <v>52.23</v>
      </c>
      <c r="H65" s="70" t="str">
        <f>IF(VLOOKUP(A65,Buchwert_je_Aktie!A$3:AJ$103,11,FALSE)&lt;&gt;"",IF(VLOOKUP(A65,Schlußkurse!A$5:AU$105,40,FALSE)&gt;0,VLOOKUP(A65,Schlußkurse!A$5:AU$105,40,FALSE)/VLOOKUP(A65,Buchwert_je_Aktie!A$3:AJ$103,11,FALSE),""),"")</f>
        <v/>
      </c>
      <c r="I65" s="70" t="str">
        <f>IF(VLOOKUP(A65,Buchwert_je_Aktie!A$3:AJ$103,12,FALSE)&lt;&gt;"",IF(VLOOKUP(A65,Schlußkurse!A$5:AU$105,41,FALSE)&gt;0,VLOOKUP(A65,Schlußkurse!A$5:AU$105,41,FALSE)/VLOOKUP(A65,Buchwert_je_Aktie!A$3:AJ$103,12,FALSE),""),"")</f>
        <v/>
      </c>
      <c r="J65" s="70" t="str">
        <f>IF(VLOOKUP(A65,Buchwert_je_Aktie!A$3:AJ$103,13,FALSE)&lt;&gt;"",IF(VLOOKUP(A65,Schlußkurse!A$5:AU$105,42,FALSE)&gt;0,VLOOKUP(A65,Schlußkurse!A$5:AU$105,42,FALSE)/VLOOKUP(A65,Buchwert_je_Aktie!A$3:AJ$103,13,FALSE),""),"")</f>
        <v/>
      </c>
      <c r="K65" s="70" t="str">
        <f>IF(VLOOKUP(A65,Buchwert_je_Aktie!A$3:AJ$103,14,FALSE)&lt;&gt;"",IF(VLOOKUP(A65,Schlußkurse!A$5:AU$105,43,FALSE)&gt;0,VLOOKUP(A65,Schlußkurse!A$5:AU$105,43,FALSE)/VLOOKUP(A65,Buchwert_je_Aktie!A$3:AJ$103,14,FALSE),""),"")</f>
        <v/>
      </c>
      <c r="L65" s="70" t="str">
        <f>IF(VLOOKUP(A65,Buchwert_je_Aktie!A$3:AJ$103,15,FALSE)&lt;&gt;"",IF(VLOOKUP(A65,Schlußkurse!A$5:AU$105,44,FALSE)&gt;0,VLOOKUP(A65,Schlußkurse!A$5:AU$105,44,FALSE)/VLOOKUP(A65,Buchwert_je_Aktie!A$3:AJ$103,15,FALSE),""),"")</f>
        <v/>
      </c>
      <c r="M65" s="70" t="str">
        <f>IF(VLOOKUP(A65,Buchwert_je_Aktie!A$3:AJ$103,16,FALSE)&lt;&gt;"",IF(VLOOKUP(A65,Schlußkurse!A$5:AU$105,45,FALSE)&gt;0,VLOOKUP(A65,Schlußkurse!A$5:AU$105,45,FALSE)/VLOOKUP(A65,Buchwert_je_Aktie!A$3:AJ$103,16,FALSE),""),"")</f>
        <v/>
      </c>
      <c r="N65" s="70" t="str">
        <f>IF(VLOOKUP(A65,Buchwert_je_Aktie!A$3:AJ$103,17,FALSE)&lt;&gt;"",IF(VLOOKUP(A65,Schlußkurse!A$5:AU$105,46,FALSE)&gt;0,VLOOKUP(A65,Schlußkurse!A$5:AU$105,46,FALSE)/VLOOKUP(A65,Buchwert_je_Aktie!A$3:AJ$103,17,FALSE),""),"")</f>
        <v/>
      </c>
      <c r="O65" s="70" t="str">
        <f>IF(VLOOKUP(A65,Buchwert_je_Aktie!A$3:AJ$103,18,FALSE)&lt;&gt;"",IF(VLOOKUP(A65,Schlußkurse!A$5:AU$105,47,FALSE)&gt;0,VLOOKUP(A65,Schlußkurse!A$5:AU$105,47,FALSE)/VLOOKUP(A65,Buchwert_je_Aktie!A$3:AJ$103,18,FALSE),""),"")</f>
        <v/>
      </c>
      <c r="P65" s="70">
        <f t="shared" si="2"/>
        <v>109.11904761904762</v>
      </c>
      <c r="Q65" s="3">
        <f ca="1">VLOOKUP(A65,Schlußkurse!A$5:AU$105,35,FALSE)/VLOOKUP(A65,Buchwert_je_Aktie!A$3:AK$103,23,FALSE)</f>
        <v>169.32266009852216</v>
      </c>
      <c r="R65" s="5">
        <f t="shared" ca="1" si="3"/>
        <v>0.55172413793103448</v>
      </c>
    </row>
    <row r="66" spans="1:18">
      <c r="A66" t="s">
        <v>256</v>
      </c>
      <c r="B66" s="38" t="s">
        <v>257</v>
      </c>
      <c r="C66" s="70">
        <f>IF(VLOOKUP(A66,Buchwert_je_Aktie!A$3:AJ$103,6,FALSE)&lt;&gt;"",IF(VLOOKUP(A66,Schlußkurse!A$5:AU$105,35,FALSE)&gt;0,VLOOKUP(A66,Schlußkurse!A$5:AU$105,35,FALSE) /VLOOKUP(A66,Buchwert_je_Aktie!A$3:AJ$103,6,FALSE),""),"")</f>
        <v>8.3741071428571434</v>
      </c>
      <c r="D66" s="70">
        <f>IF(VLOOKUP(A66,Buchwert_je_Aktie!A$3:AJ$103,7,FALSE)&lt;&gt;"",IF(VLOOKUP(A66,Schlußkurse!A$5:AU$105,36,FALSE)&gt;0,VLOOKUP(A66,Schlußkurse!A$5:AU$105,36,FALSE)/VLOOKUP(A66,Buchwert_je_Aktie!A$3:AJ$103,7,FALSE),""),"")</f>
        <v>11.382281553398059</v>
      </c>
      <c r="E66" s="70">
        <f>IF(VLOOKUP(A66,Buchwert_je_Aktie!A$3:AJ$103,8,FALSE)&lt;&gt;"",IF(VLOOKUP(A66,Schlußkurse!A$5:AU$105,37,FALSE)&gt;0,VLOOKUP(A66,Schlußkurse!A$5:AU$105,37,FALSE)/VLOOKUP(A66,Buchwert_je_Aktie!A$3:AJ$103,8,FALSE),""),"")</f>
        <v>14.402366863905327</v>
      </c>
      <c r="F66" s="70">
        <f>IF(VLOOKUP(A66,Buchwert_je_Aktie!A$3:AJ$103,9,FALSE)&lt;&gt;"",IF(VLOOKUP(A66,Schlußkurse!A$5:AU$105,38,FALSE)&gt;0,VLOOKUP(A66,Schlußkurse!A$5:AU$105,38,FALSE)/VLOOKUP(A66,Buchwert_je_Aktie!A$3:AJ$103,9,FALSE),""),"")</f>
        <v>15.955555555555554</v>
      </c>
      <c r="G66" s="70">
        <f>IF(VLOOKUP(A66,Buchwert_je_Aktie!A$3:AJ$103,10,FALSE)&lt;&gt;"",IF(VLOOKUP(A66,Schlußkurse!A$5:AU$105,39,FALSE)&gt;0,VLOOKUP(A66,Schlußkurse!A$5:AU$105,39,FALSE)/VLOOKUP(A66,Buchwert_je_Aktie!A$3:AJ$103,10,FALSE),""),"")</f>
        <v>14.184380305602719</v>
      </c>
      <c r="H66" s="70">
        <f>IF(VLOOKUP(A66,Buchwert_je_Aktie!A$3:AJ$103,11,FALSE)&lt;&gt;"",IF(VLOOKUP(A66,Schlußkurse!A$5:AU$105,40,FALSE)&gt;0,VLOOKUP(A66,Schlußkurse!A$5:AU$105,40,FALSE)/VLOOKUP(A66,Buchwert_je_Aktie!A$3:AJ$103,11,FALSE),""),"")</f>
        <v>7.8354066985645936</v>
      </c>
      <c r="I66" s="70">
        <f>IF(VLOOKUP(A66,Buchwert_je_Aktie!A$3:AJ$103,12,FALSE)&lt;&gt;"",IF(VLOOKUP(A66,Schlußkurse!A$5:AU$105,41,FALSE)&gt;0,VLOOKUP(A66,Schlußkurse!A$5:AU$105,41,FALSE)/VLOOKUP(A66,Buchwert_je_Aktie!A$3:AJ$103,12,FALSE),""),"")</f>
        <v>6.645632798573974</v>
      </c>
      <c r="J66" s="70">
        <f>IF(VLOOKUP(A66,Buchwert_je_Aktie!A$3:AJ$103,13,FALSE)&lt;&gt;"",IF(VLOOKUP(A66,Schlußkurse!A$5:AU$105,42,FALSE)&gt;0,VLOOKUP(A66,Schlußkurse!A$5:AU$105,42,FALSE)/VLOOKUP(A66,Buchwert_je_Aktie!A$3:AJ$103,13,FALSE),""),"")</f>
        <v>4.8403887688984888</v>
      </c>
      <c r="K66" s="70">
        <f>IF(VLOOKUP(A66,Buchwert_je_Aktie!A$3:AJ$103,14,FALSE)&lt;&gt;"",IF(VLOOKUP(A66,Schlußkurse!A$5:AU$105,43,FALSE)&gt;0,VLOOKUP(A66,Schlußkurse!A$5:AU$105,43,FALSE)/VLOOKUP(A66,Buchwert_je_Aktie!A$3:AJ$103,14,FALSE),""),"")</f>
        <v>6.4316582914572864</v>
      </c>
      <c r="L66" s="70">
        <f>IF(VLOOKUP(A66,Buchwert_je_Aktie!A$3:AJ$103,15,FALSE)&lt;&gt;"",IF(VLOOKUP(A66,Schlußkurse!A$5:AU$105,44,FALSE)&gt;0,VLOOKUP(A66,Schlußkurse!A$5:AU$105,44,FALSE)/VLOOKUP(A66,Buchwert_je_Aktie!A$3:AJ$103,15,FALSE),""),"")</f>
        <v>5.2937037037037031</v>
      </c>
      <c r="M66" s="70" t="str">
        <f>IF(VLOOKUP(A66,Buchwert_je_Aktie!A$3:AJ$103,16,FALSE)&lt;&gt;"",IF(VLOOKUP(A66,Schlußkurse!A$5:AU$105,45,FALSE)&gt;0,VLOOKUP(A66,Schlußkurse!A$5:AU$105,45,FALSE)/VLOOKUP(A66,Buchwert_je_Aktie!A$3:AJ$103,16,FALSE),""),"")</f>
        <v/>
      </c>
      <c r="N66" s="70" t="str">
        <f>IF(VLOOKUP(A66,Buchwert_je_Aktie!A$3:AJ$103,17,FALSE)&lt;&gt;"",IF(VLOOKUP(A66,Schlußkurse!A$5:AU$105,46,FALSE)&gt;0,VLOOKUP(A66,Schlußkurse!A$5:AU$105,46,FALSE)/VLOOKUP(A66,Buchwert_je_Aktie!A$3:AJ$103,17,FALSE),""),"")</f>
        <v/>
      </c>
      <c r="O66" s="70" t="str">
        <f>IF(VLOOKUP(A66,Buchwert_je_Aktie!A$3:AJ$103,18,FALSE)&lt;&gt;"",IF(VLOOKUP(A66,Schlußkurse!A$5:AU$105,47,FALSE)&gt;0,VLOOKUP(A66,Schlußkurse!A$5:AU$105,47,FALSE)/VLOOKUP(A66,Buchwert_je_Aktie!A$3:AJ$103,18,FALSE),""),"")</f>
        <v/>
      </c>
      <c r="P66" s="70">
        <f t="shared" si="2"/>
        <v>8.1047569207108694</v>
      </c>
      <c r="Q66" s="3">
        <f ca="1">VLOOKUP(A66,Schlußkurse!A$5:AU$105,35,FALSE)/VLOOKUP(A66,Buchwert_je_Aktie!A$3:AK$103,23,FALSE)</f>
        <v>13.019156024430872</v>
      </c>
      <c r="R66" s="5">
        <f t="shared" ca="1" si="3"/>
        <v>0.60635983926448955</v>
      </c>
    </row>
    <row r="67" spans="1:18">
      <c r="A67" t="s">
        <v>258</v>
      </c>
      <c r="B67" s="38" t="s">
        <v>259</v>
      </c>
      <c r="C67" s="70">
        <f>IF(VLOOKUP(A67,Buchwert_je_Aktie!A$3:AJ$103,6,FALSE)&lt;&gt;"",IF(VLOOKUP(A67,Schlußkurse!A$5:AU$105,35,FALSE)&gt;0,VLOOKUP(A67,Schlußkurse!A$5:AU$105,35,FALSE) /VLOOKUP(A67,Buchwert_je_Aktie!A$3:AJ$103,6,FALSE),""),"")</f>
        <v>-14.51166407465008</v>
      </c>
      <c r="D67" s="70">
        <f>IF(VLOOKUP(A67,Buchwert_je_Aktie!A$3:AJ$103,7,FALSE)&lt;&gt;"",IF(VLOOKUP(A67,Schlußkurse!A$5:AU$105,36,FALSE)&gt;0,VLOOKUP(A67,Schlußkurse!A$5:AU$105,36,FALSE)/VLOOKUP(A67,Buchwert_je_Aktie!A$3:AJ$103,7,FALSE),""),"")</f>
        <v>-17.247689463955638</v>
      </c>
      <c r="E67" s="70">
        <f>IF(VLOOKUP(A67,Buchwert_je_Aktie!A$3:AJ$103,8,FALSE)&lt;&gt;"",IF(VLOOKUP(A67,Schlußkurse!A$5:AU$105,37,FALSE)&gt;0,VLOOKUP(A67,Schlußkurse!A$5:AU$105,37,FALSE)/VLOOKUP(A67,Buchwert_je_Aktie!A$3:AJ$103,8,FALSE),""),"")</f>
        <v>-24.836633663366339</v>
      </c>
      <c r="F67" s="70">
        <f>IF(VLOOKUP(A67,Buchwert_je_Aktie!A$3:AJ$103,9,FALSE)&lt;&gt;"",IF(VLOOKUP(A67,Schlußkurse!A$5:AU$105,38,FALSE)&gt;0,VLOOKUP(A67,Schlußkurse!A$5:AU$105,38,FALSE)/VLOOKUP(A67,Buchwert_je_Aktie!A$3:AJ$103,9,FALSE),""),"")</f>
        <v>-33.267361111111114</v>
      </c>
      <c r="G67" s="70">
        <f>IF(VLOOKUP(A67,Buchwert_je_Aktie!A$3:AJ$103,10,FALSE)&lt;&gt;"",IF(VLOOKUP(A67,Schlußkurse!A$5:AU$105,39,FALSE)&gt;0,VLOOKUP(A67,Schlußkurse!A$5:AU$105,39,FALSE)/VLOOKUP(A67,Buchwert_je_Aktie!A$3:AJ$103,10,FALSE),""),"")</f>
        <v>-85.293478260869563</v>
      </c>
      <c r="H67" s="70">
        <f>IF(VLOOKUP(A67,Buchwert_je_Aktie!A$3:AJ$103,11,FALSE)&lt;&gt;"",IF(VLOOKUP(A67,Schlußkurse!A$5:AU$105,40,FALSE)&gt;0,VLOOKUP(A67,Schlußkurse!A$5:AU$105,40,FALSE)/VLOOKUP(A67,Buchwert_je_Aktie!A$3:AJ$103,11,FALSE),""),"")</f>
        <v>31.848101265822784</v>
      </c>
      <c r="I67" s="70">
        <f>IF(VLOOKUP(A67,Buchwert_je_Aktie!A$3:AJ$103,12,FALSE)&lt;&gt;"",IF(VLOOKUP(A67,Schlußkurse!A$5:AU$105,41,FALSE)&gt;0,VLOOKUP(A67,Schlußkurse!A$5:AU$105,41,FALSE)/VLOOKUP(A67,Buchwert_je_Aktie!A$3:AJ$103,12,FALSE),""),"")</f>
        <v>19.468208092485551</v>
      </c>
      <c r="J67" s="70">
        <f>IF(VLOOKUP(A67,Buchwert_je_Aktie!A$3:AJ$103,13,FALSE)&lt;&gt;"",IF(VLOOKUP(A67,Schlußkurse!A$5:AU$105,42,FALSE)&gt;0,VLOOKUP(A67,Schlußkurse!A$5:AU$105,42,FALSE)/VLOOKUP(A67,Buchwert_je_Aktie!A$3:AJ$103,13,FALSE),""),"")</f>
        <v>-34.921052631578945</v>
      </c>
      <c r="K67" s="70">
        <f>IF(VLOOKUP(A67,Buchwert_je_Aktie!A$3:AJ$103,14,FALSE)&lt;&gt;"",IF(VLOOKUP(A67,Schlußkurse!A$5:AU$105,43,FALSE)&gt;0,VLOOKUP(A67,Schlußkurse!A$5:AU$105,43,FALSE)/VLOOKUP(A67,Buchwert_je_Aktie!A$3:AJ$103,14,FALSE),""),"")</f>
        <v>-20</v>
      </c>
      <c r="L67" s="70">
        <f>IF(VLOOKUP(A67,Buchwert_je_Aktie!A$3:AJ$103,15,FALSE)&lt;&gt;"",IF(VLOOKUP(A67,Schlußkurse!A$5:AU$105,44,FALSE)&gt;0,VLOOKUP(A67,Schlußkurse!A$5:AU$105,44,FALSE)/VLOOKUP(A67,Buchwert_je_Aktie!A$3:AJ$103,15,FALSE),""),"")</f>
        <v>-7.84765625</v>
      </c>
      <c r="M67" s="70">
        <f>IF(VLOOKUP(A67,Buchwert_je_Aktie!A$3:AJ$103,16,FALSE)&lt;&gt;"",IF(VLOOKUP(A67,Schlußkurse!A$5:AU$105,45,FALSE)&gt;0,VLOOKUP(A67,Schlußkurse!A$5:AU$105,45,FALSE)/VLOOKUP(A67,Buchwert_je_Aktie!A$3:AJ$103,16,FALSE),""),"")</f>
        <v>-8.4397163120567367</v>
      </c>
      <c r="N67" s="70">
        <f>IF(VLOOKUP(A67,Buchwert_je_Aktie!A$3:AJ$103,17,FALSE)&lt;&gt;"",IF(VLOOKUP(A67,Schlußkurse!A$5:AU$105,46,FALSE)&gt;0,VLOOKUP(A67,Schlußkurse!A$5:AU$105,46,FALSE)/VLOOKUP(A67,Buchwert_je_Aktie!A$3:AJ$103,17,FALSE),""),"")</f>
        <v>-22.134615384615383</v>
      </c>
      <c r="O67" s="70">
        <f>IF(VLOOKUP(A67,Buchwert_je_Aktie!A$3:AJ$103,18,FALSE)&lt;&gt;"",IF(VLOOKUP(A67,Schlußkurse!A$5:AU$105,47,FALSE)&gt;0,VLOOKUP(A67,Schlußkurse!A$5:AU$105,47,FALSE)/VLOOKUP(A67,Buchwert_je_Aktie!A$3:AJ$103,18,FALSE),""),"")</f>
        <v>103.10000000000001</v>
      </c>
      <c r="P67" s="70">
        <f t="shared" si="2"/>
        <v>-17.247689463955638</v>
      </c>
      <c r="Q67" s="3">
        <f ca="1">VLOOKUP(A67,Schlußkurse!A$5:AU$105,35,FALSE)/VLOOKUP(A67,Buchwert_je_Aktie!A$3:AK$103,23,FALSE)</f>
        <v>-20.963828353179061</v>
      </c>
      <c r="R67" s="5">
        <f t="shared" ca="1" si="3"/>
        <v>-0.21545720062907203</v>
      </c>
    </row>
    <row r="68" spans="1:18">
      <c r="A68" t="s">
        <v>269</v>
      </c>
      <c r="B68" s="38" t="s">
        <v>271</v>
      </c>
      <c r="C68" s="70">
        <f>IF(VLOOKUP(A68,Buchwert_je_Aktie!A$3:AJ$103,6,FALSE)&lt;&gt;"",IF(VLOOKUP(A68,Schlußkurse!A$5:AU$105,35,FALSE)&gt;0,VLOOKUP(A68,Schlußkurse!A$5:AU$105,35,FALSE) /VLOOKUP(A68,Buchwert_je_Aktie!A$3:AJ$103,6,FALSE),""),"")</f>
        <v>2.5596741344195522</v>
      </c>
      <c r="D68" s="70">
        <f>IF(VLOOKUP(A68,Buchwert_je_Aktie!A$3:AJ$103,7,FALSE)&lt;&gt;"",IF(VLOOKUP(A68,Schlußkurse!A$5:AU$105,36,FALSE)&gt;0,VLOOKUP(A68,Schlußkurse!A$5:AU$105,36,FALSE)/VLOOKUP(A68,Buchwert_je_Aktie!A$3:AJ$103,7,FALSE),""),"")</f>
        <v>2.6969957081545064</v>
      </c>
      <c r="E68" s="70">
        <f>IF(VLOOKUP(A68,Buchwert_je_Aktie!A$3:AJ$103,8,FALSE)&lt;&gt;"",IF(VLOOKUP(A68,Schlußkurse!A$5:AU$105,37,FALSE)&gt;0,VLOOKUP(A68,Schlußkurse!A$5:AU$105,37,FALSE)/VLOOKUP(A68,Buchwert_je_Aktie!A$3:AJ$103,8,FALSE),""),"")</f>
        <v>2.8622871046228711</v>
      </c>
      <c r="F68" s="70">
        <f>IF(VLOOKUP(A68,Buchwert_je_Aktie!A$3:AJ$103,9,FALSE)&lt;&gt;"",IF(VLOOKUP(A68,Schlußkurse!A$5:AU$105,38,FALSE)&gt;0,VLOOKUP(A68,Schlußkurse!A$5:AU$105,38,FALSE)/VLOOKUP(A68,Buchwert_je_Aktie!A$3:AJ$103,9,FALSE),""),"")</f>
        <v>2.7167428110722924</v>
      </c>
      <c r="G68" s="70">
        <f>IF(VLOOKUP(A68,Buchwert_je_Aktie!A$3:AJ$103,10,FALSE)&lt;&gt;"",IF(VLOOKUP(A68,Schlußkurse!A$5:AU$105,39,FALSE)&gt;0,VLOOKUP(A68,Schlußkurse!A$5:AU$105,39,FALSE)/VLOOKUP(A68,Buchwert_je_Aktie!A$3:AJ$103,10,FALSE),""),"")</f>
        <v>2.1229207781223569</v>
      </c>
      <c r="H68" s="70">
        <f>IF(VLOOKUP(A68,Buchwert_je_Aktie!A$3:AJ$103,11,FALSE)&lt;&gt;"",IF(VLOOKUP(A68,Schlußkurse!A$5:AU$105,40,FALSE)&gt;0,VLOOKUP(A68,Schlußkurse!A$5:AU$105,40,FALSE)/VLOOKUP(A68,Buchwert_je_Aktie!A$3:AJ$103,11,FALSE),""),"")</f>
        <v>1.6080640379484141</v>
      </c>
      <c r="I68" s="70">
        <f>IF(VLOOKUP(A68,Buchwert_je_Aktie!A$3:AJ$103,12,FALSE)&lt;&gt;"",IF(VLOOKUP(A68,Schlußkurse!A$5:AU$105,41,FALSE)&gt;0,VLOOKUP(A68,Schlußkurse!A$5:AU$105,41,FALSE)/VLOOKUP(A68,Buchwert_je_Aktie!A$3:AJ$103,12,FALSE),""),"")</f>
        <v>1.5507955936352509</v>
      </c>
      <c r="J68" s="70">
        <f>IF(VLOOKUP(A68,Buchwert_je_Aktie!A$3:AJ$103,13,FALSE)&lt;&gt;"",IF(VLOOKUP(A68,Schlußkurse!A$5:AU$105,42,FALSE)&gt;0,VLOOKUP(A68,Schlußkurse!A$5:AU$105,42,FALSE)/VLOOKUP(A68,Buchwert_je_Aktie!A$3:AJ$103,13,FALSE),""),"")</f>
        <v>1.3261109070877708</v>
      </c>
      <c r="K68" s="70">
        <f>IF(VLOOKUP(A68,Buchwert_je_Aktie!A$3:AJ$103,14,FALSE)&lt;&gt;"",IF(VLOOKUP(A68,Schlußkurse!A$5:AU$105,43,FALSE)&gt;0,VLOOKUP(A68,Schlußkurse!A$5:AU$105,43,FALSE)/VLOOKUP(A68,Buchwert_je_Aktie!A$3:AJ$103,14,FALSE),""),"")</f>
        <v>1.2817493692178301</v>
      </c>
      <c r="L68" s="70">
        <f>IF(VLOOKUP(A68,Buchwert_je_Aktie!A$3:AJ$103,15,FALSE)&lt;&gt;"",IF(VLOOKUP(A68,Schlußkurse!A$5:AU$105,44,FALSE)&gt;0,VLOOKUP(A68,Schlußkurse!A$5:AU$105,44,FALSE)/VLOOKUP(A68,Buchwert_je_Aktie!A$3:AJ$103,15,FALSE),""),"")</f>
        <v>1.2925170068027212</v>
      </c>
      <c r="M68" s="70">
        <f>IF(VLOOKUP(A68,Buchwert_je_Aktie!A$3:AJ$103,16,FALSE)&lt;&gt;"",IF(VLOOKUP(A68,Schlußkurse!A$5:AU$105,45,FALSE)&gt;0,VLOOKUP(A68,Schlußkurse!A$5:AU$105,45,FALSE)/VLOOKUP(A68,Buchwert_je_Aktie!A$3:AJ$103,16,FALSE),""),"")</f>
        <v>3.3641618497109826</v>
      </c>
      <c r="N68" s="70">
        <f>IF(VLOOKUP(A68,Buchwert_je_Aktie!A$3:AJ$103,17,FALSE)&lt;&gt;"",IF(VLOOKUP(A68,Schlußkurse!A$5:AU$105,46,FALSE)&gt;0,VLOOKUP(A68,Schlußkurse!A$5:AU$105,46,FALSE)/VLOOKUP(A68,Buchwert_je_Aktie!A$3:AJ$103,17,FALSE),""),"")</f>
        <v>3.360399750156152</v>
      </c>
      <c r="O68" s="70">
        <f>IF(VLOOKUP(A68,Buchwert_je_Aktie!A$3:AJ$103,18,FALSE)&lt;&gt;"",IF(VLOOKUP(A68,Schlußkurse!A$5:AU$105,47,FALSE)&gt;0,VLOOKUP(A68,Schlußkurse!A$5:AU$105,47,FALSE)/VLOOKUP(A68,Buchwert_je_Aktie!A$3:AJ$103,18,FALSE),""),"")</f>
        <v>4.015513897866839</v>
      </c>
      <c r="P68" s="70">
        <f t="shared" ref="P68:P99" si="4">MEDIAN(C68:O68)</f>
        <v>2.5596741344195522</v>
      </c>
      <c r="Q68" s="3">
        <f ca="1">VLOOKUP(A68,Schlußkurse!A$5:AU$105,35,FALSE)/VLOOKUP(A68,Buchwert_je_Aktie!A$3:AK$103,23,FALSE)</f>
        <v>2.9398830409356727</v>
      </c>
      <c r="R68" s="5">
        <f t="shared" ref="R68:R99" ca="1" si="5">IF(Q68&lt;0,IF(P68&lt;0,((Q68/P68)-1)*-1,(Q68/P68)-1),IF(P68&lt;0,ABS((Q68/P68)-1),(Q68/P68)-1))</f>
        <v>0.1485380116959063</v>
      </c>
    </row>
    <row r="69" spans="1:18">
      <c r="B69" s="38"/>
      <c r="C69" s="70" t="e">
        <f>IF(VLOOKUP(A69,Buchwert_je_Aktie!A$3:AJ$103,6,FALSE)&lt;&gt;"",IF(VLOOKUP(A69,Schlußkurse!A$5:AU$105,35,FALSE)&gt;0,VLOOKUP(A69,Schlußkurse!A$5:AU$105,35,FALSE) /VLOOKUP(A69,Buchwert_je_Aktie!A$3:AJ$103,6,FALSE),""),"")</f>
        <v>#N/A</v>
      </c>
      <c r="D69" s="70" t="e">
        <f>IF(VLOOKUP(A69,Buchwert_je_Aktie!A$3:AJ$103,7,FALSE)&lt;&gt;"",IF(VLOOKUP(A69,Schlußkurse!A$5:AU$105,36,FALSE)&gt;0,VLOOKUP(A69,Schlußkurse!A$5:AU$105,36,FALSE)/VLOOKUP(A69,Buchwert_je_Aktie!A$3:AJ$103,7,FALSE),""),"")</f>
        <v>#N/A</v>
      </c>
      <c r="E69" s="70" t="e">
        <f>IF(VLOOKUP(A69,Buchwert_je_Aktie!A$3:AJ$103,8,FALSE)&lt;&gt;"",IF(VLOOKUP(A69,Schlußkurse!A$5:AU$105,37,FALSE)&gt;0,VLOOKUP(A69,Schlußkurse!A$5:AU$105,37,FALSE)/VLOOKUP(A69,Buchwert_je_Aktie!A$3:AJ$103,8,FALSE),""),"")</f>
        <v>#N/A</v>
      </c>
      <c r="F69" s="70" t="e">
        <f>IF(VLOOKUP(A69,Buchwert_je_Aktie!A$3:AJ$103,9,FALSE)&lt;&gt;"",IF(VLOOKUP(A69,Schlußkurse!A$5:AU$105,38,FALSE)&gt;0,VLOOKUP(A69,Schlußkurse!A$5:AU$105,38,FALSE)/VLOOKUP(A69,Buchwert_je_Aktie!A$3:AJ$103,9,FALSE),""),"")</f>
        <v>#N/A</v>
      </c>
      <c r="G69" s="70" t="e">
        <f>IF(VLOOKUP(A69,Buchwert_je_Aktie!A$3:AJ$103,10,FALSE)&lt;&gt;"",IF(VLOOKUP(A69,Schlußkurse!A$5:AU$105,39,FALSE)&gt;0,VLOOKUP(A69,Schlußkurse!A$5:AU$105,39,FALSE)/VLOOKUP(A69,Buchwert_je_Aktie!A$3:AJ$103,10,FALSE),""),"")</f>
        <v>#N/A</v>
      </c>
      <c r="H69" s="70" t="e">
        <f>IF(VLOOKUP(A69,Buchwert_je_Aktie!A$3:AJ$103,11,FALSE)&lt;&gt;"",IF(VLOOKUP(A69,Schlußkurse!A$5:AU$105,40,FALSE)&gt;0,VLOOKUP(A69,Schlußkurse!A$5:AU$105,40,FALSE)/VLOOKUP(A69,Buchwert_je_Aktie!A$3:AJ$103,11,FALSE),""),"")</f>
        <v>#N/A</v>
      </c>
      <c r="I69" s="70" t="e">
        <f>IF(VLOOKUP(A69,Buchwert_je_Aktie!A$3:AJ$103,12,FALSE)&lt;&gt;"",IF(VLOOKUP(A69,Schlußkurse!A$5:AU$105,41,FALSE)&gt;0,VLOOKUP(A69,Schlußkurse!A$5:AU$105,41,FALSE)/VLOOKUP(A69,Buchwert_je_Aktie!A$3:AJ$103,12,FALSE),""),"")</f>
        <v>#N/A</v>
      </c>
      <c r="J69" s="70" t="e">
        <f>IF(VLOOKUP(A69,Buchwert_je_Aktie!A$3:AJ$103,13,FALSE)&lt;&gt;"",IF(VLOOKUP(A69,Schlußkurse!A$5:AU$105,42,FALSE)&gt;0,VLOOKUP(A69,Schlußkurse!A$5:AU$105,42,FALSE)/VLOOKUP(A69,Buchwert_je_Aktie!A$3:AJ$103,13,FALSE),""),"")</f>
        <v>#N/A</v>
      </c>
      <c r="K69" s="70" t="e">
        <f>IF(VLOOKUP(A69,Buchwert_je_Aktie!A$3:AJ$103,14,FALSE)&lt;&gt;"",IF(VLOOKUP(A69,Schlußkurse!A$5:AU$105,43,FALSE)&gt;0,VLOOKUP(A69,Schlußkurse!A$5:AU$105,43,FALSE)/VLOOKUP(A69,Buchwert_je_Aktie!A$3:AJ$103,14,FALSE),""),"")</f>
        <v>#N/A</v>
      </c>
      <c r="L69" s="70" t="e">
        <f>IF(VLOOKUP(A69,Buchwert_je_Aktie!A$3:AJ$103,15,FALSE)&lt;&gt;"",IF(VLOOKUP(A69,Schlußkurse!A$5:AU$105,44,FALSE)&gt;0,VLOOKUP(A69,Schlußkurse!A$5:AU$105,44,FALSE)/VLOOKUP(A69,Buchwert_je_Aktie!A$3:AJ$103,15,FALSE),""),"")</f>
        <v>#N/A</v>
      </c>
      <c r="M69" s="70" t="e">
        <f>IF(VLOOKUP(A69,Buchwert_je_Aktie!A$3:AJ$103,16,FALSE)&lt;&gt;"",IF(VLOOKUP(A69,Schlußkurse!A$5:AU$105,45,FALSE)&gt;0,VLOOKUP(A69,Schlußkurse!A$5:AU$105,45,FALSE)/VLOOKUP(A69,Buchwert_je_Aktie!A$3:AJ$103,16,FALSE),""),"")</f>
        <v>#N/A</v>
      </c>
      <c r="N69" s="70" t="e">
        <f>IF(VLOOKUP(A69,Buchwert_je_Aktie!A$3:AJ$103,17,FALSE)&lt;&gt;"",IF(VLOOKUP(A69,Schlußkurse!A$5:AU$105,46,FALSE)&gt;0,VLOOKUP(A69,Schlußkurse!A$5:AU$105,46,FALSE)/VLOOKUP(A69,Buchwert_je_Aktie!A$3:AJ$103,17,FALSE),""),"")</f>
        <v>#N/A</v>
      </c>
      <c r="O69" s="70" t="e">
        <f>IF(VLOOKUP(A69,Buchwert_je_Aktie!A$3:AJ$103,18,FALSE)&lt;&gt;"",IF(VLOOKUP(A69,Schlußkurse!A$5:AU$105,47,FALSE)&gt;0,VLOOKUP(A69,Schlußkurse!A$5:AU$105,47,FALSE)/VLOOKUP(A69,Buchwert_je_Aktie!A$3:AJ$103,18,FALSE),""),"")</f>
        <v>#N/A</v>
      </c>
      <c r="P69" s="70" t="e">
        <f t="shared" si="4"/>
        <v>#N/A</v>
      </c>
      <c r="Q69" s="3" t="e">
        <f>VLOOKUP(A69,Schlußkurse!A$5:AU$105,35,FALSE)/VLOOKUP(A69,Buchwert_je_Aktie!A$3:AK$103,23,FALSE)</f>
        <v>#N/A</v>
      </c>
      <c r="R69" s="5" t="e">
        <f t="shared" si="5"/>
        <v>#N/A</v>
      </c>
    </row>
    <row r="70" spans="1:18">
      <c r="B70" s="38"/>
      <c r="C70" s="70" t="e">
        <f>IF(VLOOKUP(A70,Buchwert_je_Aktie!A$3:AJ$103,6,FALSE)&lt;&gt;"",IF(VLOOKUP(A70,Schlußkurse!A$5:AU$105,35,FALSE)&gt;0,VLOOKUP(A70,Schlußkurse!A$5:AU$105,35,FALSE) /VLOOKUP(A70,Buchwert_je_Aktie!A$3:AJ$103,6,FALSE),""),"")</f>
        <v>#N/A</v>
      </c>
      <c r="D70" s="70" t="e">
        <f>IF(VLOOKUP(A70,Buchwert_je_Aktie!A$3:AJ$103,7,FALSE)&lt;&gt;"",IF(VLOOKUP(A70,Schlußkurse!A$5:AU$105,36,FALSE)&gt;0,VLOOKUP(A70,Schlußkurse!A$5:AU$105,36,FALSE)/VLOOKUP(A70,Buchwert_je_Aktie!A$3:AJ$103,7,FALSE),""),"")</f>
        <v>#N/A</v>
      </c>
      <c r="E70" s="70" t="e">
        <f>IF(VLOOKUP(A70,Buchwert_je_Aktie!A$3:AJ$103,8,FALSE)&lt;&gt;"",IF(VLOOKUP(A70,Schlußkurse!A$5:AU$105,37,FALSE)&gt;0,VLOOKUP(A70,Schlußkurse!A$5:AU$105,37,FALSE)/VLOOKUP(A70,Buchwert_je_Aktie!A$3:AJ$103,8,FALSE),""),"")</f>
        <v>#N/A</v>
      </c>
      <c r="F70" s="70" t="e">
        <f>IF(VLOOKUP(A70,Buchwert_je_Aktie!A$3:AJ$103,9,FALSE)&lt;&gt;"",IF(VLOOKUP(A70,Schlußkurse!A$5:AU$105,38,FALSE)&gt;0,VLOOKUP(A70,Schlußkurse!A$5:AU$105,38,FALSE)/VLOOKUP(A70,Buchwert_je_Aktie!A$3:AJ$103,9,FALSE),""),"")</f>
        <v>#N/A</v>
      </c>
      <c r="G70" s="70" t="e">
        <f>IF(VLOOKUP(A70,Buchwert_je_Aktie!A$3:AJ$103,10,FALSE)&lt;&gt;"",IF(VLOOKUP(A70,Schlußkurse!A$5:AU$105,39,FALSE)&gt;0,VLOOKUP(A70,Schlußkurse!A$5:AU$105,39,FALSE)/VLOOKUP(A70,Buchwert_je_Aktie!A$3:AJ$103,10,FALSE),""),"")</f>
        <v>#N/A</v>
      </c>
      <c r="H70" s="70" t="e">
        <f>IF(VLOOKUP(A70,Buchwert_je_Aktie!A$3:AJ$103,11,FALSE)&lt;&gt;"",IF(VLOOKUP(A70,Schlußkurse!A$5:AU$105,40,FALSE)&gt;0,VLOOKUP(A70,Schlußkurse!A$5:AU$105,40,FALSE)/VLOOKUP(A70,Buchwert_je_Aktie!A$3:AJ$103,11,FALSE),""),"")</f>
        <v>#N/A</v>
      </c>
      <c r="I70" s="70" t="e">
        <f>IF(VLOOKUP(A70,Buchwert_je_Aktie!A$3:AJ$103,12,FALSE)&lt;&gt;"",IF(VLOOKUP(A70,Schlußkurse!A$5:AU$105,41,FALSE)&gt;0,VLOOKUP(A70,Schlußkurse!A$5:AU$105,41,FALSE)/VLOOKUP(A70,Buchwert_je_Aktie!A$3:AJ$103,12,FALSE),""),"")</f>
        <v>#N/A</v>
      </c>
      <c r="J70" s="70" t="e">
        <f>IF(VLOOKUP(A70,Buchwert_je_Aktie!A$3:AJ$103,13,FALSE)&lt;&gt;"",IF(VLOOKUP(A70,Schlußkurse!A$5:AU$105,42,FALSE)&gt;0,VLOOKUP(A70,Schlußkurse!A$5:AU$105,42,FALSE)/VLOOKUP(A70,Buchwert_je_Aktie!A$3:AJ$103,13,FALSE),""),"")</f>
        <v>#N/A</v>
      </c>
      <c r="K70" s="70" t="e">
        <f>IF(VLOOKUP(A70,Buchwert_je_Aktie!A$3:AJ$103,14,FALSE)&lt;&gt;"",IF(VLOOKUP(A70,Schlußkurse!A$5:AU$105,43,FALSE)&gt;0,VLOOKUP(A70,Schlußkurse!A$5:AU$105,43,FALSE)/VLOOKUP(A70,Buchwert_je_Aktie!A$3:AJ$103,14,FALSE),""),"")</f>
        <v>#N/A</v>
      </c>
      <c r="L70" s="70" t="e">
        <f>IF(VLOOKUP(A70,Buchwert_je_Aktie!A$3:AJ$103,15,FALSE)&lt;&gt;"",IF(VLOOKUP(A70,Schlußkurse!A$5:AU$105,44,FALSE)&gt;0,VLOOKUP(A70,Schlußkurse!A$5:AU$105,44,FALSE)/VLOOKUP(A70,Buchwert_je_Aktie!A$3:AJ$103,15,FALSE),""),"")</f>
        <v>#N/A</v>
      </c>
      <c r="M70" s="70" t="e">
        <f>IF(VLOOKUP(A70,Buchwert_je_Aktie!A$3:AJ$103,16,FALSE)&lt;&gt;"",IF(VLOOKUP(A70,Schlußkurse!A$5:AU$105,45,FALSE)&gt;0,VLOOKUP(A70,Schlußkurse!A$5:AU$105,45,FALSE)/VLOOKUP(A70,Buchwert_je_Aktie!A$3:AJ$103,16,FALSE),""),"")</f>
        <v>#N/A</v>
      </c>
      <c r="N70" s="70" t="e">
        <f>IF(VLOOKUP(A70,Buchwert_je_Aktie!A$3:AJ$103,17,FALSE)&lt;&gt;"",IF(VLOOKUP(A70,Schlußkurse!A$5:AU$105,46,FALSE)&gt;0,VLOOKUP(A70,Schlußkurse!A$5:AU$105,46,FALSE)/VLOOKUP(A70,Buchwert_je_Aktie!A$3:AJ$103,17,FALSE),""),"")</f>
        <v>#N/A</v>
      </c>
      <c r="O70" s="70" t="e">
        <f>IF(VLOOKUP(A70,Buchwert_je_Aktie!A$3:AJ$103,18,FALSE)&lt;&gt;"",IF(VLOOKUP(A70,Schlußkurse!A$5:AU$105,47,FALSE)&gt;0,VLOOKUP(A70,Schlußkurse!A$5:AU$105,47,FALSE)/VLOOKUP(A70,Buchwert_je_Aktie!A$3:AJ$103,18,FALSE),""),"")</f>
        <v>#N/A</v>
      </c>
      <c r="P70" s="70" t="e">
        <f t="shared" si="4"/>
        <v>#N/A</v>
      </c>
      <c r="Q70" s="3" t="e">
        <f>VLOOKUP(A70,Schlußkurse!A$5:AU$105,35,FALSE)/VLOOKUP(A70,Buchwert_je_Aktie!A$3:AK$103,23,FALSE)</f>
        <v>#N/A</v>
      </c>
      <c r="R70" s="5" t="e">
        <f t="shared" si="5"/>
        <v>#N/A</v>
      </c>
    </row>
    <row r="71" spans="1:18">
      <c r="B71" s="38"/>
      <c r="C71" s="70" t="e">
        <f>IF(VLOOKUP(A71,Buchwert_je_Aktie!A$3:AJ$103,6,FALSE)&lt;&gt;"",IF(VLOOKUP(A71,Schlußkurse!A$5:AU$105,35,FALSE)&gt;0,VLOOKUP(A71,Schlußkurse!A$5:AU$105,35,FALSE) /VLOOKUP(A71,Buchwert_je_Aktie!A$3:AJ$103,6,FALSE),""),"")</f>
        <v>#N/A</v>
      </c>
      <c r="D71" s="70" t="e">
        <f>IF(VLOOKUP(A71,Buchwert_je_Aktie!A$3:AJ$103,7,FALSE)&lt;&gt;"",IF(VLOOKUP(A71,Schlußkurse!A$5:AU$105,36,FALSE)&gt;0,VLOOKUP(A71,Schlußkurse!A$5:AU$105,36,FALSE)/VLOOKUP(A71,Buchwert_je_Aktie!A$3:AJ$103,7,FALSE),""),"")</f>
        <v>#N/A</v>
      </c>
      <c r="E71" s="70" t="e">
        <f>IF(VLOOKUP(A71,Buchwert_je_Aktie!A$3:AJ$103,8,FALSE)&lt;&gt;"",IF(VLOOKUP(A71,Schlußkurse!A$5:AU$105,37,FALSE)&gt;0,VLOOKUP(A71,Schlußkurse!A$5:AU$105,37,FALSE)/VLOOKUP(A71,Buchwert_je_Aktie!A$3:AJ$103,8,FALSE),""),"")</f>
        <v>#N/A</v>
      </c>
      <c r="F71" s="70" t="e">
        <f>IF(VLOOKUP(A71,Buchwert_je_Aktie!A$3:AJ$103,9,FALSE)&lt;&gt;"",IF(VLOOKUP(A71,Schlußkurse!A$5:AU$105,38,FALSE)&gt;0,VLOOKUP(A71,Schlußkurse!A$5:AU$105,38,FALSE)/VLOOKUP(A71,Buchwert_je_Aktie!A$3:AJ$103,9,FALSE),""),"")</f>
        <v>#N/A</v>
      </c>
      <c r="G71" s="70" t="e">
        <f>IF(VLOOKUP(A71,Buchwert_je_Aktie!A$3:AJ$103,10,FALSE)&lt;&gt;"",IF(VLOOKUP(A71,Schlußkurse!A$5:AU$105,39,FALSE)&gt;0,VLOOKUP(A71,Schlußkurse!A$5:AU$105,39,FALSE)/VLOOKUP(A71,Buchwert_je_Aktie!A$3:AJ$103,10,FALSE),""),"")</f>
        <v>#N/A</v>
      </c>
      <c r="H71" s="70" t="e">
        <f>IF(VLOOKUP(A71,Buchwert_je_Aktie!A$3:AJ$103,11,FALSE)&lt;&gt;"",IF(VLOOKUP(A71,Schlußkurse!A$5:AU$105,40,FALSE)&gt;0,VLOOKUP(A71,Schlußkurse!A$5:AU$105,40,FALSE)/VLOOKUP(A71,Buchwert_je_Aktie!A$3:AJ$103,11,FALSE),""),"")</f>
        <v>#N/A</v>
      </c>
      <c r="I71" s="70" t="e">
        <f>IF(VLOOKUP(A71,Buchwert_je_Aktie!A$3:AJ$103,12,FALSE)&lt;&gt;"",IF(VLOOKUP(A71,Schlußkurse!A$5:AU$105,41,FALSE)&gt;0,VLOOKUP(A71,Schlußkurse!A$5:AU$105,41,FALSE)/VLOOKUP(A71,Buchwert_je_Aktie!A$3:AJ$103,12,FALSE),""),"")</f>
        <v>#N/A</v>
      </c>
      <c r="J71" s="70" t="e">
        <f>IF(VLOOKUP(A71,Buchwert_je_Aktie!A$3:AJ$103,13,FALSE)&lt;&gt;"",IF(VLOOKUP(A71,Schlußkurse!A$5:AU$105,42,FALSE)&gt;0,VLOOKUP(A71,Schlußkurse!A$5:AU$105,42,FALSE)/VLOOKUP(A71,Buchwert_je_Aktie!A$3:AJ$103,13,FALSE),""),"")</f>
        <v>#N/A</v>
      </c>
      <c r="K71" s="70" t="e">
        <f>IF(VLOOKUP(A71,Buchwert_je_Aktie!A$3:AJ$103,14,FALSE)&lt;&gt;"",IF(VLOOKUP(A71,Schlußkurse!A$5:AU$105,43,FALSE)&gt;0,VLOOKUP(A71,Schlußkurse!A$5:AU$105,43,FALSE)/VLOOKUP(A71,Buchwert_je_Aktie!A$3:AJ$103,14,FALSE),""),"")</f>
        <v>#N/A</v>
      </c>
      <c r="L71" s="70" t="e">
        <f>IF(VLOOKUP(A71,Buchwert_je_Aktie!A$3:AJ$103,15,FALSE)&lt;&gt;"",IF(VLOOKUP(A71,Schlußkurse!A$5:AU$105,44,FALSE)&gt;0,VLOOKUP(A71,Schlußkurse!A$5:AU$105,44,FALSE)/VLOOKUP(A71,Buchwert_je_Aktie!A$3:AJ$103,15,FALSE),""),"")</f>
        <v>#N/A</v>
      </c>
      <c r="M71" s="70" t="e">
        <f>IF(VLOOKUP(A71,Buchwert_je_Aktie!A$3:AJ$103,16,FALSE)&lt;&gt;"",IF(VLOOKUP(A71,Schlußkurse!A$5:AU$105,45,FALSE)&gt;0,VLOOKUP(A71,Schlußkurse!A$5:AU$105,45,FALSE)/VLOOKUP(A71,Buchwert_je_Aktie!A$3:AJ$103,16,FALSE),""),"")</f>
        <v>#N/A</v>
      </c>
      <c r="N71" s="70" t="e">
        <f>IF(VLOOKUP(A71,Buchwert_je_Aktie!A$3:AJ$103,17,FALSE)&lt;&gt;"",IF(VLOOKUP(A71,Schlußkurse!A$5:AU$105,46,FALSE)&gt;0,VLOOKUP(A71,Schlußkurse!A$5:AU$105,46,FALSE)/VLOOKUP(A71,Buchwert_je_Aktie!A$3:AJ$103,17,FALSE),""),"")</f>
        <v>#N/A</v>
      </c>
      <c r="O71" s="70" t="e">
        <f>IF(VLOOKUP(A71,Buchwert_je_Aktie!A$3:AJ$103,18,FALSE)&lt;&gt;"",IF(VLOOKUP(A71,Schlußkurse!A$5:AU$105,47,FALSE)&gt;0,VLOOKUP(A71,Schlußkurse!A$5:AU$105,47,FALSE)/VLOOKUP(A71,Buchwert_je_Aktie!A$3:AJ$103,18,FALSE),""),"")</f>
        <v>#N/A</v>
      </c>
      <c r="P71" s="70" t="e">
        <f t="shared" si="4"/>
        <v>#N/A</v>
      </c>
      <c r="Q71" s="3" t="e">
        <f>VLOOKUP(A71,Schlußkurse!A$5:AU$105,35,FALSE)/VLOOKUP(A71,Buchwert_je_Aktie!A$3:AK$103,23,FALSE)</f>
        <v>#N/A</v>
      </c>
      <c r="R71" s="5" t="e">
        <f t="shared" si="5"/>
        <v>#N/A</v>
      </c>
    </row>
    <row r="72" spans="1:18">
      <c r="B72" s="38"/>
      <c r="C72" s="70" t="e">
        <f>IF(VLOOKUP(A72,Buchwert_je_Aktie!A$3:AJ$103,6,FALSE)&lt;&gt;"",IF(VLOOKUP(A72,Schlußkurse!A$5:AU$105,35,FALSE)&gt;0,VLOOKUP(A72,Schlußkurse!A$5:AU$105,35,FALSE) /VLOOKUP(A72,Buchwert_je_Aktie!A$3:AJ$103,6,FALSE),""),"")</f>
        <v>#N/A</v>
      </c>
      <c r="D72" s="70" t="e">
        <f>IF(VLOOKUP(A72,Buchwert_je_Aktie!A$3:AJ$103,7,FALSE)&lt;&gt;"",IF(VLOOKUP(A72,Schlußkurse!A$5:AU$105,36,FALSE)&gt;0,VLOOKUP(A72,Schlußkurse!A$5:AU$105,36,FALSE)/VLOOKUP(A72,Buchwert_je_Aktie!A$3:AJ$103,7,FALSE),""),"")</f>
        <v>#N/A</v>
      </c>
      <c r="E72" s="70" t="e">
        <f>IF(VLOOKUP(A72,Buchwert_je_Aktie!A$3:AJ$103,8,FALSE)&lt;&gt;"",IF(VLOOKUP(A72,Schlußkurse!A$5:AU$105,37,FALSE)&gt;0,VLOOKUP(A72,Schlußkurse!A$5:AU$105,37,FALSE)/VLOOKUP(A72,Buchwert_je_Aktie!A$3:AJ$103,8,FALSE),""),"")</f>
        <v>#N/A</v>
      </c>
      <c r="F72" s="70" t="e">
        <f>IF(VLOOKUP(A72,Buchwert_je_Aktie!A$3:AJ$103,9,FALSE)&lt;&gt;"",IF(VLOOKUP(A72,Schlußkurse!A$5:AU$105,38,FALSE)&gt;0,VLOOKUP(A72,Schlußkurse!A$5:AU$105,38,FALSE)/VLOOKUP(A72,Buchwert_je_Aktie!A$3:AJ$103,9,FALSE),""),"")</f>
        <v>#N/A</v>
      </c>
      <c r="G72" s="70" t="e">
        <f>IF(VLOOKUP(A72,Buchwert_je_Aktie!A$3:AJ$103,10,FALSE)&lt;&gt;"",IF(VLOOKUP(A72,Schlußkurse!A$5:AU$105,39,FALSE)&gt;0,VLOOKUP(A72,Schlußkurse!A$5:AU$105,39,FALSE)/VLOOKUP(A72,Buchwert_je_Aktie!A$3:AJ$103,10,FALSE),""),"")</f>
        <v>#N/A</v>
      </c>
      <c r="H72" s="70" t="e">
        <f>IF(VLOOKUP(A72,Buchwert_je_Aktie!A$3:AJ$103,11,FALSE)&lt;&gt;"",IF(VLOOKUP(A72,Schlußkurse!A$5:AU$105,40,FALSE)&gt;0,VLOOKUP(A72,Schlußkurse!A$5:AU$105,40,FALSE)/VLOOKUP(A72,Buchwert_je_Aktie!A$3:AJ$103,11,FALSE),""),"")</f>
        <v>#N/A</v>
      </c>
      <c r="I72" s="70" t="e">
        <f>IF(VLOOKUP(A72,Buchwert_je_Aktie!A$3:AJ$103,12,FALSE)&lt;&gt;"",IF(VLOOKUP(A72,Schlußkurse!A$5:AU$105,41,FALSE)&gt;0,VLOOKUP(A72,Schlußkurse!A$5:AU$105,41,FALSE)/VLOOKUP(A72,Buchwert_je_Aktie!A$3:AJ$103,12,FALSE),""),"")</f>
        <v>#N/A</v>
      </c>
      <c r="J72" s="70" t="e">
        <f>IF(VLOOKUP(A72,Buchwert_je_Aktie!A$3:AJ$103,13,FALSE)&lt;&gt;"",IF(VLOOKUP(A72,Schlußkurse!A$5:AU$105,42,FALSE)&gt;0,VLOOKUP(A72,Schlußkurse!A$5:AU$105,42,FALSE)/VLOOKUP(A72,Buchwert_je_Aktie!A$3:AJ$103,13,FALSE),""),"")</f>
        <v>#N/A</v>
      </c>
      <c r="K72" s="70" t="e">
        <f>IF(VLOOKUP(A72,Buchwert_je_Aktie!A$3:AJ$103,14,FALSE)&lt;&gt;"",IF(VLOOKUP(A72,Schlußkurse!A$5:AU$105,43,FALSE)&gt;0,VLOOKUP(A72,Schlußkurse!A$5:AU$105,43,FALSE)/VLOOKUP(A72,Buchwert_je_Aktie!A$3:AJ$103,14,FALSE),""),"")</f>
        <v>#N/A</v>
      </c>
      <c r="L72" s="70" t="e">
        <f>IF(VLOOKUP(A72,Buchwert_je_Aktie!A$3:AJ$103,15,FALSE)&lt;&gt;"",IF(VLOOKUP(A72,Schlußkurse!A$5:AU$105,44,FALSE)&gt;0,VLOOKUP(A72,Schlußkurse!A$5:AU$105,44,FALSE)/VLOOKUP(A72,Buchwert_je_Aktie!A$3:AJ$103,15,FALSE),""),"")</f>
        <v>#N/A</v>
      </c>
      <c r="M72" s="70" t="e">
        <f>IF(VLOOKUP(A72,Buchwert_je_Aktie!A$3:AJ$103,16,FALSE)&lt;&gt;"",IF(VLOOKUP(A72,Schlußkurse!A$5:AU$105,45,FALSE)&gt;0,VLOOKUP(A72,Schlußkurse!A$5:AU$105,45,FALSE)/VLOOKUP(A72,Buchwert_je_Aktie!A$3:AJ$103,16,FALSE),""),"")</f>
        <v>#N/A</v>
      </c>
      <c r="N72" s="70" t="e">
        <f>IF(VLOOKUP(A72,Buchwert_je_Aktie!A$3:AJ$103,17,FALSE)&lt;&gt;"",IF(VLOOKUP(A72,Schlußkurse!A$5:AU$105,46,FALSE)&gt;0,VLOOKUP(A72,Schlußkurse!A$5:AU$105,46,FALSE)/VLOOKUP(A72,Buchwert_je_Aktie!A$3:AJ$103,17,FALSE),""),"")</f>
        <v>#N/A</v>
      </c>
      <c r="O72" s="70" t="e">
        <f>IF(VLOOKUP(A72,Buchwert_je_Aktie!A$3:AJ$103,18,FALSE)&lt;&gt;"",IF(VLOOKUP(A72,Schlußkurse!A$5:AU$105,47,FALSE)&gt;0,VLOOKUP(A72,Schlußkurse!A$5:AU$105,47,FALSE)/VLOOKUP(A72,Buchwert_je_Aktie!A$3:AJ$103,18,FALSE),""),"")</f>
        <v>#N/A</v>
      </c>
      <c r="P72" s="70" t="e">
        <f t="shared" si="4"/>
        <v>#N/A</v>
      </c>
      <c r="Q72" s="3" t="e">
        <f>VLOOKUP(A72,Schlußkurse!A$5:AU$105,35,FALSE)/VLOOKUP(A72,Buchwert_je_Aktie!A$3:AK$103,23,FALSE)</f>
        <v>#N/A</v>
      </c>
      <c r="R72" s="5" t="e">
        <f t="shared" si="5"/>
        <v>#N/A</v>
      </c>
    </row>
    <row r="73" spans="1:18">
      <c r="B73" s="38"/>
      <c r="C73" s="70" t="e">
        <f>IF(VLOOKUP(A73,Buchwert_je_Aktie!A$3:AJ$103,6,FALSE)&lt;&gt;"",IF(VLOOKUP(A73,Schlußkurse!A$5:AU$105,35,FALSE)&gt;0,VLOOKUP(A73,Schlußkurse!A$5:AU$105,35,FALSE) /VLOOKUP(A73,Buchwert_je_Aktie!A$3:AJ$103,6,FALSE),""),"")</f>
        <v>#N/A</v>
      </c>
      <c r="D73" s="70" t="e">
        <f>IF(VLOOKUP(A73,Buchwert_je_Aktie!A$3:AJ$103,7,FALSE)&lt;&gt;"",IF(VLOOKUP(A73,Schlußkurse!A$5:AU$105,36,FALSE)&gt;0,VLOOKUP(A73,Schlußkurse!A$5:AU$105,36,FALSE)/VLOOKUP(A73,Buchwert_je_Aktie!A$3:AJ$103,7,FALSE),""),"")</f>
        <v>#N/A</v>
      </c>
      <c r="E73" s="70" t="e">
        <f>IF(VLOOKUP(A73,Buchwert_je_Aktie!A$3:AJ$103,8,FALSE)&lt;&gt;"",IF(VLOOKUP(A73,Schlußkurse!A$5:AU$105,37,FALSE)&gt;0,VLOOKUP(A73,Schlußkurse!A$5:AU$105,37,FALSE)/VLOOKUP(A73,Buchwert_je_Aktie!A$3:AJ$103,8,FALSE),""),"")</f>
        <v>#N/A</v>
      </c>
      <c r="F73" s="70" t="e">
        <f>IF(VLOOKUP(A73,Buchwert_je_Aktie!A$3:AJ$103,9,FALSE)&lt;&gt;"",IF(VLOOKUP(A73,Schlußkurse!A$5:AU$105,38,FALSE)&gt;0,VLOOKUP(A73,Schlußkurse!A$5:AU$105,38,FALSE)/VLOOKUP(A73,Buchwert_je_Aktie!A$3:AJ$103,9,FALSE),""),"")</f>
        <v>#N/A</v>
      </c>
      <c r="G73" s="70" t="e">
        <f>IF(VLOOKUP(A73,Buchwert_je_Aktie!A$3:AJ$103,10,FALSE)&lt;&gt;"",IF(VLOOKUP(A73,Schlußkurse!A$5:AU$105,39,FALSE)&gt;0,VLOOKUP(A73,Schlußkurse!A$5:AU$105,39,FALSE)/VLOOKUP(A73,Buchwert_je_Aktie!A$3:AJ$103,10,FALSE),""),"")</f>
        <v>#N/A</v>
      </c>
      <c r="H73" s="70" t="e">
        <f>IF(VLOOKUP(A73,Buchwert_je_Aktie!A$3:AJ$103,11,FALSE)&lt;&gt;"",IF(VLOOKUP(A73,Schlußkurse!A$5:AU$105,40,FALSE)&gt;0,VLOOKUP(A73,Schlußkurse!A$5:AU$105,40,FALSE)/VLOOKUP(A73,Buchwert_je_Aktie!A$3:AJ$103,11,FALSE),""),"")</f>
        <v>#N/A</v>
      </c>
      <c r="I73" s="70" t="e">
        <f>IF(VLOOKUP(A73,Buchwert_je_Aktie!A$3:AJ$103,12,FALSE)&lt;&gt;"",IF(VLOOKUP(A73,Schlußkurse!A$5:AU$105,41,FALSE)&gt;0,VLOOKUP(A73,Schlußkurse!A$5:AU$105,41,FALSE)/VLOOKUP(A73,Buchwert_je_Aktie!A$3:AJ$103,12,FALSE),""),"")</f>
        <v>#N/A</v>
      </c>
      <c r="J73" s="70" t="e">
        <f>IF(VLOOKUP(A73,Buchwert_je_Aktie!A$3:AJ$103,13,FALSE)&lt;&gt;"",IF(VLOOKUP(A73,Schlußkurse!A$5:AU$105,42,FALSE)&gt;0,VLOOKUP(A73,Schlußkurse!A$5:AU$105,42,FALSE)/VLOOKUP(A73,Buchwert_je_Aktie!A$3:AJ$103,13,FALSE),""),"")</f>
        <v>#N/A</v>
      </c>
      <c r="K73" s="70" t="e">
        <f>IF(VLOOKUP(A73,Buchwert_je_Aktie!A$3:AJ$103,14,FALSE)&lt;&gt;"",IF(VLOOKUP(A73,Schlußkurse!A$5:AU$105,43,FALSE)&gt;0,VLOOKUP(A73,Schlußkurse!A$5:AU$105,43,FALSE)/VLOOKUP(A73,Buchwert_je_Aktie!A$3:AJ$103,14,FALSE),""),"")</f>
        <v>#N/A</v>
      </c>
      <c r="L73" s="70" t="e">
        <f>IF(VLOOKUP(A73,Buchwert_je_Aktie!A$3:AJ$103,15,FALSE)&lt;&gt;"",IF(VLOOKUP(A73,Schlußkurse!A$5:AU$105,44,FALSE)&gt;0,VLOOKUP(A73,Schlußkurse!A$5:AU$105,44,FALSE)/VLOOKUP(A73,Buchwert_je_Aktie!A$3:AJ$103,15,FALSE),""),"")</f>
        <v>#N/A</v>
      </c>
      <c r="M73" s="70" t="e">
        <f>IF(VLOOKUP(A73,Buchwert_je_Aktie!A$3:AJ$103,16,FALSE)&lt;&gt;"",IF(VLOOKUP(A73,Schlußkurse!A$5:AU$105,45,FALSE)&gt;0,VLOOKUP(A73,Schlußkurse!A$5:AU$105,45,FALSE)/VLOOKUP(A73,Buchwert_je_Aktie!A$3:AJ$103,16,FALSE),""),"")</f>
        <v>#N/A</v>
      </c>
      <c r="N73" s="70" t="e">
        <f>IF(VLOOKUP(A73,Buchwert_je_Aktie!A$3:AJ$103,17,FALSE)&lt;&gt;"",IF(VLOOKUP(A73,Schlußkurse!A$5:AU$105,46,FALSE)&gt;0,VLOOKUP(A73,Schlußkurse!A$5:AU$105,46,FALSE)/VLOOKUP(A73,Buchwert_je_Aktie!A$3:AJ$103,17,FALSE),""),"")</f>
        <v>#N/A</v>
      </c>
      <c r="O73" s="70" t="e">
        <f>IF(VLOOKUP(A73,Buchwert_je_Aktie!A$3:AJ$103,18,FALSE)&lt;&gt;"",IF(VLOOKUP(A73,Schlußkurse!A$5:AU$105,47,FALSE)&gt;0,VLOOKUP(A73,Schlußkurse!A$5:AU$105,47,FALSE)/VLOOKUP(A73,Buchwert_je_Aktie!A$3:AJ$103,18,FALSE),""),"")</f>
        <v>#N/A</v>
      </c>
      <c r="P73" s="70" t="e">
        <f t="shared" si="4"/>
        <v>#N/A</v>
      </c>
      <c r="Q73" s="3" t="e">
        <f>VLOOKUP(A73,Schlußkurse!A$5:AU$105,35,FALSE)/VLOOKUP(A73,Buchwert_je_Aktie!A$3:AK$103,23,FALSE)</f>
        <v>#N/A</v>
      </c>
      <c r="R73" s="5" t="e">
        <f t="shared" si="5"/>
        <v>#N/A</v>
      </c>
    </row>
    <row r="74" spans="1:18">
      <c r="B74" s="38"/>
      <c r="C74" s="70" t="e">
        <f>IF(VLOOKUP(A74,Buchwert_je_Aktie!A$3:AJ$103,6,FALSE)&lt;&gt;"",IF(VLOOKUP(A74,Schlußkurse!A$5:AU$105,35,FALSE)&gt;0,VLOOKUP(A74,Schlußkurse!A$5:AU$105,35,FALSE) /VLOOKUP(A74,Buchwert_je_Aktie!A$3:AJ$103,6,FALSE),""),"")</f>
        <v>#N/A</v>
      </c>
      <c r="D74" s="70" t="e">
        <f>IF(VLOOKUP(A74,Buchwert_je_Aktie!A$3:AJ$103,7,FALSE)&lt;&gt;"",IF(VLOOKUP(A74,Schlußkurse!A$5:AU$105,36,FALSE)&gt;0,VLOOKUP(A74,Schlußkurse!A$5:AU$105,36,FALSE)/VLOOKUP(A74,Buchwert_je_Aktie!A$3:AJ$103,7,FALSE),""),"")</f>
        <v>#N/A</v>
      </c>
      <c r="E74" s="70" t="e">
        <f>IF(VLOOKUP(A74,Buchwert_je_Aktie!A$3:AJ$103,8,FALSE)&lt;&gt;"",IF(VLOOKUP(A74,Schlußkurse!A$5:AU$105,37,FALSE)&gt;0,VLOOKUP(A74,Schlußkurse!A$5:AU$105,37,FALSE)/VLOOKUP(A74,Buchwert_je_Aktie!A$3:AJ$103,8,FALSE),""),"")</f>
        <v>#N/A</v>
      </c>
      <c r="F74" s="70" t="e">
        <f>IF(VLOOKUP(A74,Buchwert_je_Aktie!A$3:AJ$103,9,FALSE)&lt;&gt;"",IF(VLOOKUP(A74,Schlußkurse!A$5:AU$105,38,FALSE)&gt;0,VLOOKUP(A74,Schlußkurse!A$5:AU$105,38,FALSE)/VLOOKUP(A74,Buchwert_je_Aktie!A$3:AJ$103,9,FALSE),""),"")</f>
        <v>#N/A</v>
      </c>
      <c r="G74" s="70" t="e">
        <f>IF(VLOOKUP(A74,Buchwert_je_Aktie!A$3:AJ$103,10,FALSE)&lt;&gt;"",IF(VLOOKUP(A74,Schlußkurse!A$5:AU$105,39,FALSE)&gt;0,VLOOKUP(A74,Schlußkurse!A$5:AU$105,39,FALSE)/VLOOKUP(A74,Buchwert_je_Aktie!A$3:AJ$103,10,FALSE),""),"")</f>
        <v>#N/A</v>
      </c>
      <c r="H74" s="70" t="e">
        <f>IF(VLOOKUP(A74,Buchwert_je_Aktie!A$3:AJ$103,11,FALSE)&lt;&gt;"",IF(VLOOKUP(A74,Schlußkurse!A$5:AU$105,40,FALSE)&gt;0,VLOOKUP(A74,Schlußkurse!A$5:AU$105,40,FALSE)/VLOOKUP(A74,Buchwert_je_Aktie!A$3:AJ$103,11,FALSE),""),"")</f>
        <v>#N/A</v>
      </c>
      <c r="I74" s="70" t="e">
        <f>IF(VLOOKUP(A74,Buchwert_je_Aktie!A$3:AJ$103,12,FALSE)&lt;&gt;"",IF(VLOOKUP(A74,Schlußkurse!A$5:AU$105,41,FALSE)&gt;0,VLOOKUP(A74,Schlußkurse!A$5:AU$105,41,FALSE)/VLOOKUP(A74,Buchwert_je_Aktie!A$3:AJ$103,12,FALSE),""),"")</f>
        <v>#N/A</v>
      </c>
      <c r="J74" s="70" t="e">
        <f>IF(VLOOKUP(A74,Buchwert_je_Aktie!A$3:AJ$103,13,FALSE)&lt;&gt;"",IF(VLOOKUP(A74,Schlußkurse!A$5:AU$105,42,FALSE)&gt;0,VLOOKUP(A74,Schlußkurse!A$5:AU$105,42,FALSE)/VLOOKUP(A74,Buchwert_je_Aktie!A$3:AJ$103,13,FALSE),""),"")</f>
        <v>#N/A</v>
      </c>
      <c r="K74" s="70" t="e">
        <f>IF(VLOOKUP(A74,Buchwert_je_Aktie!A$3:AJ$103,14,FALSE)&lt;&gt;"",IF(VLOOKUP(A74,Schlußkurse!A$5:AU$105,43,FALSE)&gt;0,VLOOKUP(A74,Schlußkurse!A$5:AU$105,43,FALSE)/VLOOKUP(A74,Buchwert_je_Aktie!A$3:AJ$103,14,FALSE),""),"")</f>
        <v>#N/A</v>
      </c>
      <c r="L74" s="70" t="e">
        <f>IF(VLOOKUP(A74,Buchwert_je_Aktie!A$3:AJ$103,15,FALSE)&lt;&gt;"",IF(VLOOKUP(A74,Schlußkurse!A$5:AU$105,44,FALSE)&gt;0,VLOOKUP(A74,Schlußkurse!A$5:AU$105,44,FALSE)/VLOOKUP(A74,Buchwert_je_Aktie!A$3:AJ$103,15,FALSE),""),"")</f>
        <v>#N/A</v>
      </c>
      <c r="M74" s="70" t="e">
        <f>IF(VLOOKUP(A74,Buchwert_je_Aktie!A$3:AJ$103,16,FALSE)&lt;&gt;"",IF(VLOOKUP(A74,Schlußkurse!A$5:AU$105,45,FALSE)&gt;0,VLOOKUP(A74,Schlußkurse!A$5:AU$105,45,FALSE)/VLOOKUP(A74,Buchwert_je_Aktie!A$3:AJ$103,16,FALSE),""),"")</f>
        <v>#N/A</v>
      </c>
      <c r="N74" s="70" t="e">
        <f>IF(VLOOKUP(A74,Buchwert_je_Aktie!A$3:AJ$103,17,FALSE)&lt;&gt;"",IF(VLOOKUP(A74,Schlußkurse!A$5:AU$105,46,FALSE)&gt;0,VLOOKUP(A74,Schlußkurse!A$5:AU$105,46,FALSE)/VLOOKUP(A74,Buchwert_je_Aktie!A$3:AJ$103,17,FALSE),""),"")</f>
        <v>#N/A</v>
      </c>
      <c r="O74" s="70" t="e">
        <f>IF(VLOOKUP(A74,Buchwert_je_Aktie!A$3:AJ$103,18,FALSE)&lt;&gt;"",IF(VLOOKUP(A74,Schlußkurse!A$5:AU$105,47,FALSE)&gt;0,VLOOKUP(A74,Schlußkurse!A$5:AU$105,47,FALSE)/VLOOKUP(A74,Buchwert_je_Aktie!A$3:AJ$103,18,FALSE),""),"")</f>
        <v>#N/A</v>
      </c>
      <c r="P74" s="70" t="e">
        <f t="shared" si="4"/>
        <v>#N/A</v>
      </c>
      <c r="Q74" s="3" t="e">
        <f>VLOOKUP(A74,Schlußkurse!A$5:AU$105,35,FALSE)/VLOOKUP(A74,Buchwert_je_Aktie!A$3:AK$103,23,FALSE)</f>
        <v>#N/A</v>
      </c>
      <c r="R74" s="5" t="e">
        <f t="shared" si="5"/>
        <v>#N/A</v>
      </c>
    </row>
    <row r="75" spans="1:18">
      <c r="B75" s="38"/>
      <c r="C75" s="70" t="e">
        <f>IF(VLOOKUP(A75,Buchwert_je_Aktie!A$3:AJ$103,6,FALSE)&lt;&gt;"",IF(VLOOKUP(A75,Schlußkurse!A$5:AU$105,35,FALSE)&gt;0,VLOOKUP(A75,Schlußkurse!A$5:AU$105,35,FALSE) /VLOOKUP(A75,Buchwert_je_Aktie!A$3:AJ$103,6,FALSE),""),"")</f>
        <v>#N/A</v>
      </c>
      <c r="D75" s="70" t="e">
        <f>IF(VLOOKUP(A75,Buchwert_je_Aktie!A$3:AJ$103,7,FALSE)&lt;&gt;"",IF(VLOOKUP(A75,Schlußkurse!A$5:AU$105,36,FALSE)&gt;0,VLOOKUP(A75,Schlußkurse!A$5:AU$105,36,FALSE)/VLOOKUP(A75,Buchwert_je_Aktie!A$3:AJ$103,7,FALSE),""),"")</f>
        <v>#N/A</v>
      </c>
      <c r="E75" s="70" t="e">
        <f>IF(VLOOKUP(A75,Buchwert_je_Aktie!A$3:AJ$103,8,FALSE)&lt;&gt;"",IF(VLOOKUP(A75,Schlußkurse!A$5:AU$105,37,FALSE)&gt;0,VLOOKUP(A75,Schlußkurse!A$5:AU$105,37,FALSE)/VLOOKUP(A75,Buchwert_je_Aktie!A$3:AJ$103,8,FALSE),""),"")</f>
        <v>#N/A</v>
      </c>
      <c r="F75" s="70" t="e">
        <f>IF(VLOOKUP(A75,Buchwert_je_Aktie!A$3:AJ$103,9,FALSE)&lt;&gt;"",IF(VLOOKUP(A75,Schlußkurse!A$5:AU$105,38,FALSE)&gt;0,VLOOKUP(A75,Schlußkurse!A$5:AU$105,38,FALSE)/VLOOKUP(A75,Buchwert_je_Aktie!A$3:AJ$103,9,FALSE),""),"")</f>
        <v>#N/A</v>
      </c>
      <c r="G75" s="70" t="e">
        <f>IF(VLOOKUP(A75,Buchwert_je_Aktie!A$3:AJ$103,10,FALSE)&lt;&gt;"",IF(VLOOKUP(A75,Schlußkurse!A$5:AU$105,39,FALSE)&gt;0,VLOOKUP(A75,Schlußkurse!A$5:AU$105,39,FALSE)/VLOOKUP(A75,Buchwert_je_Aktie!A$3:AJ$103,10,FALSE),""),"")</f>
        <v>#N/A</v>
      </c>
      <c r="H75" s="70" t="e">
        <f>IF(VLOOKUP(A75,Buchwert_je_Aktie!A$3:AJ$103,11,FALSE)&lt;&gt;"",IF(VLOOKUP(A75,Schlußkurse!A$5:AU$105,40,FALSE)&gt;0,VLOOKUP(A75,Schlußkurse!A$5:AU$105,40,FALSE)/VLOOKUP(A75,Buchwert_je_Aktie!A$3:AJ$103,11,FALSE),""),"")</f>
        <v>#N/A</v>
      </c>
      <c r="I75" s="70" t="e">
        <f>IF(VLOOKUP(A75,Buchwert_je_Aktie!A$3:AJ$103,12,FALSE)&lt;&gt;"",IF(VLOOKUP(A75,Schlußkurse!A$5:AU$105,41,FALSE)&gt;0,VLOOKUP(A75,Schlußkurse!A$5:AU$105,41,FALSE)/VLOOKUP(A75,Buchwert_je_Aktie!A$3:AJ$103,12,FALSE),""),"")</f>
        <v>#N/A</v>
      </c>
      <c r="J75" s="70" t="e">
        <f>IF(VLOOKUP(A75,Buchwert_je_Aktie!A$3:AJ$103,13,FALSE)&lt;&gt;"",IF(VLOOKUP(A75,Schlußkurse!A$5:AU$105,42,FALSE)&gt;0,VLOOKUP(A75,Schlußkurse!A$5:AU$105,42,FALSE)/VLOOKUP(A75,Buchwert_je_Aktie!A$3:AJ$103,13,FALSE),""),"")</f>
        <v>#N/A</v>
      </c>
      <c r="K75" s="70" t="e">
        <f>IF(VLOOKUP(A75,Buchwert_je_Aktie!A$3:AJ$103,14,FALSE)&lt;&gt;"",IF(VLOOKUP(A75,Schlußkurse!A$5:AU$105,43,FALSE)&gt;0,VLOOKUP(A75,Schlußkurse!A$5:AU$105,43,FALSE)/VLOOKUP(A75,Buchwert_je_Aktie!A$3:AJ$103,14,FALSE),""),"")</f>
        <v>#N/A</v>
      </c>
      <c r="L75" s="70" t="e">
        <f>IF(VLOOKUP(A75,Buchwert_je_Aktie!A$3:AJ$103,15,FALSE)&lt;&gt;"",IF(VLOOKUP(A75,Schlußkurse!A$5:AU$105,44,FALSE)&gt;0,VLOOKUP(A75,Schlußkurse!A$5:AU$105,44,FALSE)/VLOOKUP(A75,Buchwert_je_Aktie!A$3:AJ$103,15,FALSE),""),"")</f>
        <v>#N/A</v>
      </c>
      <c r="M75" s="70" t="e">
        <f>IF(VLOOKUP(A75,Buchwert_je_Aktie!A$3:AJ$103,16,FALSE)&lt;&gt;"",IF(VLOOKUP(A75,Schlußkurse!A$5:AU$105,45,FALSE)&gt;0,VLOOKUP(A75,Schlußkurse!A$5:AU$105,45,FALSE)/VLOOKUP(A75,Buchwert_je_Aktie!A$3:AJ$103,16,FALSE),""),"")</f>
        <v>#N/A</v>
      </c>
      <c r="N75" s="70" t="e">
        <f>IF(VLOOKUP(A75,Buchwert_je_Aktie!A$3:AJ$103,17,FALSE)&lt;&gt;"",IF(VLOOKUP(A75,Schlußkurse!A$5:AU$105,46,FALSE)&gt;0,VLOOKUP(A75,Schlußkurse!A$5:AU$105,46,FALSE)/VLOOKUP(A75,Buchwert_je_Aktie!A$3:AJ$103,17,FALSE),""),"")</f>
        <v>#N/A</v>
      </c>
      <c r="O75" s="70" t="e">
        <f>IF(VLOOKUP(A75,Buchwert_je_Aktie!A$3:AJ$103,18,FALSE)&lt;&gt;"",IF(VLOOKUP(A75,Schlußkurse!A$5:AU$105,47,FALSE)&gt;0,VLOOKUP(A75,Schlußkurse!A$5:AU$105,47,FALSE)/VLOOKUP(A75,Buchwert_je_Aktie!A$3:AJ$103,18,FALSE),""),"")</f>
        <v>#N/A</v>
      </c>
      <c r="P75" s="70" t="e">
        <f t="shared" si="4"/>
        <v>#N/A</v>
      </c>
      <c r="Q75" s="3" t="e">
        <f>VLOOKUP(A75,Schlußkurse!A$5:AU$105,35,FALSE)/VLOOKUP(A75,Buchwert_je_Aktie!A$3:AK$103,23,FALSE)</f>
        <v>#N/A</v>
      </c>
      <c r="R75" s="5" t="e">
        <f t="shared" si="5"/>
        <v>#N/A</v>
      </c>
    </row>
    <row r="76" spans="1:18">
      <c r="B76" s="38"/>
      <c r="C76" s="70" t="e">
        <f>IF(VLOOKUP(A76,Buchwert_je_Aktie!A$3:AJ$103,6,FALSE)&lt;&gt;"",IF(VLOOKUP(A76,Schlußkurse!A$5:AU$105,35,FALSE)&gt;0,VLOOKUP(A76,Schlußkurse!A$5:AU$105,35,FALSE) /VLOOKUP(A76,Buchwert_je_Aktie!A$3:AJ$103,6,FALSE),""),"")</f>
        <v>#N/A</v>
      </c>
      <c r="D76" s="70" t="e">
        <f>IF(VLOOKUP(A76,Buchwert_je_Aktie!A$3:AJ$103,7,FALSE)&lt;&gt;"",IF(VLOOKUP(A76,Schlußkurse!A$5:AU$105,36,FALSE)&gt;0,VLOOKUP(A76,Schlußkurse!A$5:AU$105,36,FALSE)/VLOOKUP(A76,Buchwert_je_Aktie!A$3:AJ$103,7,FALSE),""),"")</f>
        <v>#N/A</v>
      </c>
      <c r="E76" s="70" t="e">
        <f>IF(VLOOKUP(A76,Buchwert_je_Aktie!A$3:AJ$103,8,FALSE)&lt;&gt;"",IF(VLOOKUP(A76,Schlußkurse!A$5:AU$105,37,FALSE)&gt;0,VLOOKUP(A76,Schlußkurse!A$5:AU$105,37,FALSE)/VLOOKUP(A76,Buchwert_je_Aktie!A$3:AJ$103,8,FALSE),""),"")</f>
        <v>#N/A</v>
      </c>
      <c r="F76" s="70" t="e">
        <f>IF(VLOOKUP(A76,Buchwert_je_Aktie!A$3:AJ$103,9,FALSE)&lt;&gt;"",IF(VLOOKUP(A76,Schlußkurse!A$5:AU$105,38,FALSE)&gt;0,VLOOKUP(A76,Schlußkurse!A$5:AU$105,38,FALSE)/VLOOKUP(A76,Buchwert_je_Aktie!A$3:AJ$103,9,FALSE),""),"")</f>
        <v>#N/A</v>
      </c>
      <c r="G76" s="70" t="e">
        <f>IF(VLOOKUP(A76,Buchwert_je_Aktie!A$3:AJ$103,10,FALSE)&lt;&gt;"",IF(VLOOKUP(A76,Schlußkurse!A$5:AU$105,39,FALSE)&gt;0,VLOOKUP(A76,Schlußkurse!A$5:AU$105,39,FALSE)/VLOOKUP(A76,Buchwert_je_Aktie!A$3:AJ$103,10,FALSE),""),"")</f>
        <v>#N/A</v>
      </c>
      <c r="H76" s="70" t="e">
        <f>IF(VLOOKUP(A76,Buchwert_je_Aktie!A$3:AJ$103,11,FALSE)&lt;&gt;"",IF(VLOOKUP(A76,Schlußkurse!A$5:AU$105,40,FALSE)&gt;0,VLOOKUP(A76,Schlußkurse!A$5:AU$105,40,FALSE)/VLOOKUP(A76,Buchwert_je_Aktie!A$3:AJ$103,11,FALSE),""),"")</f>
        <v>#N/A</v>
      </c>
      <c r="I76" s="70" t="e">
        <f>IF(VLOOKUP(A76,Buchwert_je_Aktie!A$3:AJ$103,12,FALSE)&lt;&gt;"",IF(VLOOKUP(A76,Schlußkurse!A$5:AU$105,41,FALSE)&gt;0,VLOOKUP(A76,Schlußkurse!A$5:AU$105,41,FALSE)/VLOOKUP(A76,Buchwert_je_Aktie!A$3:AJ$103,12,FALSE),""),"")</f>
        <v>#N/A</v>
      </c>
      <c r="J76" s="70" t="e">
        <f>IF(VLOOKUP(A76,Buchwert_je_Aktie!A$3:AJ$103,13,FALSE)&lt;&gt;"",IF(VLOOKUP(A76,Schlußkurse!A$5:AU$105,42,FALSE)&gt;0,VLOOKUP(A76,Schlußkurse!A$5:AU$105,42,FALSE)/VLOOKUP(A76,Buchwert_je_Aktie!A$3:AJ$103,13,FALSE),""),"")</f>
        <v>#N/A</v>
      </c>
      <c r="K76" s="70" t="e">
        <f>IF(VLOOKUP(A76,Buchwert_je_Aktie!A$3:AJ$103,14,FALSE)&lt;&gt;"",IF(VLOOKUP(A76,Schlußkurse!A$5:AU$105,43,FALSE)&gt;0,VLOOKUP(A76,Schlußkurse!A$5:AU$105,43,FALSE)/VLOOKUP(A76,Buchwert_je_Aktie!A$3:AJ$103,14,FALSE),""),"")</f>
        <v>#N/A</v>
      </c>
      <c r="L76" s="70" t="e">
        <f>IF(VLOOKUP(A76,Buchwert_je_Aktie!A$3:AJ$103,15,FALSE)&lt;&gt;"",IF(VLOOKUP(A76,Schlußkurse!A$5:AU$105,44,FALSE)&gt;0,VLOOKUP(A76,Schlußkurse!A$5:AU$105,44,FALSE)/VLOOKUP(A76,Buchwert_je_Aktie!A$3:AJ$103,15,FALSE),""),"")</f>
        <v>#N/A</v>
      </c>
      <c r="M76" s="70" t="e">
        <f>IF(VLOOKUP(A76,Buchwert_je_Aktie!A$3:AJ$103,16,FALSE)&lt;&gt;"",IF(VLOOKUP(A76,Schlußkurse!A$5:AU$105,45,FALSE)&gt;0,VLOOKUP(A76,Schlußkurse!A$5:AU$105,45,FALSE)/VLOOKUP(A76,Buchwert_je_Aktie!A$3:AJ$103,16,FALSE),""),"")</f>
        <v>#N/A</v>
      </c>
      <c r="N76" s="70" t="e">
        <f>IF(VLOOKUP(A76,Buchwert_je_Aktie!A$3:AJ$103,17,FALSE)&lt;&gt;"",IF(VLOOKUP(A76,Schlußkurse!A$5:AU$105,46,FALSE)&gt;0,VLOOKUP(A76,Schlußkurse!A$5:AU$105,46,FALSE)/VLOOKUP(A76,Buchwert_je_Aktie!A$3:AJ$103,17,FALSE),""),"")</f>
        <v>#N/A</v>
      </c>
      <c r="O76" s="70" t="e">
        <f>IF(VLOOKUP(A76,Buchwert_je_Aktie!A$3:AJ$103,18,FALSE)&lt;&gt;"",IF(VLOOKUP(A76,Schlußkurse!A$5:AU$105,47,FALSE)&gt;0,VLOOKUP(A76,Schlußkurse!A$5:AU$105,47,FALSE)/VLOOKUP(A76,Buchwert_je_Aktie!A$3:AJ$103,18,FALSE),""),"")</f>
        <v>#N/A</v>
      </c>
      <c r="P76" s="70" t="e">
        <f t="shared" si="4"/>
        <v>#N/A</v>
      </c>
      <c r="Q76" s="3" t="e">
        <f>VLOOKUP(A76,Schlußkurse!A$5:AU$105,35,FALSE)/VLOOKUP(A76,Buchwert_je_Aktie!A$3:AK$103,23,FALSE)</f>
        <v>#N/A</v>
      </c>
      <c r="R76" s="5" t="e">
        <f t="shared" si="5"/>
        <v>#N/A</v>
      </c>
    </row>
    <row r="77" spans="1:18">
      <c r="B77" s="38"/>
      <c r="C77" s="70" t="e">
        <f>IF(VLOOKUP(A77,Buchwert_je_Aktie!A$3:AJ$103,6,FALSE)&lt;&gt;"",IF(VLOOKUP(A77,Schlußkurse!A$5:AU$105,35,FALSE)&gt;0,VLOOKUP(A77,Schlußkurse!A$5:AU$105,35,FALSE) /VLOOKUP(A77,Buchwert_je_Aktie!A$3:AJ$103,6,FALSE),""),"")</f>
        <v>#N/A</v>
      </c>
      <c r="D77" s="70" t="e">
        <f>IF(VLOOKUP(A77,Buchwert_je_Aktie!A$3:AJ$103,7,FALSE)&lt;&gt;"",IF(VLOOKUP(A77,Schlußkurse!A$5:AU$105,36,FALSE)&gt;0,VLOOKUP(A77,Schlußkurse!A$5:AU$105,36,FALSE)/VLOOKUP(A77,Buchwert_je_Aktie!A$3:AJ$103,7,FALSE),""),"")</f>
        <v>#N/A</v>
      </c>
      <c r="E77" s="70" t="e">
        <f>IF(VLOOKUP(A77,Buchwert_je_Aktie!A$3:AJ$103,8,FALSE)&lt;&gt;"",IF(VLOOKUP(A77,Schlußkurse!A$5:AU$105,37,FALSE)&gt;0,VLOOKUP(A77,Schlußkurse!A$5:AU$105,37,FALSE)/VLOOKUP(A77,Buchwert_je_Aktie!A$3:AJ$103,8,FALSE),""),"")</f>
        <v>#N/A</v>
      </c>
      <c r="F77" s="70" t="e">
        <f>IF(VLOOKUP(A77,Buchwert_je_Aktie!A$3:AJ$103,9,FALSE)&lt;&gt;"",IF(VLOOKUP(A77,Schlußkurse!A$5:AU$105,38,FALSE)&gt;0,VLOOKUP(A77,Schlußkurse!A$5:AU$105,38,FALSE)/VLOOKUP(A77,Buchwert_je_Aktie!A$3:AJ$103,9,FALSE),""),"")</f>
        <v>#N/A</v>
      </c>
      <c r="G77" s="70" t="e">
        <f>IF(VLOOKUP(A77,Buchwert_je_Aktie!A$3:AJ$103,10,FALSE)&lt;&gt;"",IF(VLOOKUP(A77,Schlußkurse!A$5:AU$105,39,FALSE)&gt;0,VLOOKUP(A77,Schlußkurse!A$5:AU$105,39,FALSE)/VLOOKUP(A77,Buchwert_je_Aktie!A$3:AJ$103,10,FALSE),""),"")</f>
        <v>#N/A</v>
      </c>
      <c r="H77" s="70" t="e">
        <f>IF(VLOOKUP(A77,Buchwert_je_Aktie!A$3:AJ$103,11,FALSE)&lt;&gt;"",IF(VLOOKUP(A77,Schlußkurse!A$5:AU$105,40,FALSE)&gt;0,VLOOKUP(A77,Schlußkurse!A$5:AU$105,40,FALSE)/VLOOKUP(A77,Buchwert_je_Aktie!A$3:AJ$103,11,FALSE),""),"")</f>
        <v>#N/A</v>
      </c>
      <c r="I77" s="70" t="e">
        <f>IF(VLOOKUP(A77,Buchwert_je_Aktie!A$3:AJ$103,12,FALSE)&lt;&gt;"",IF(VLOOKUP(A77,Schlußkurse!A$5:AU$105,41,FALSE)&gt;0,VLOOKUP(A77,Schlußkurse!A$5:AU$105,41,FALSE)/VLOOKUP(A77,Buchwert_je_Aktie!A$3:AJ$103,12,FALSE),""),"")</f>
        <v>#N/A</v>
      </c>
      <c r="J77" s="70" t="e">
        <f>IF(VLOOKUP(A77,Buchwert_je_Aktie!A$3:AJ$103,13,FALSE)&lt;&gt;"",IF(VLOOKUP(A77,Schlußkurse!A$5:AU$105,42,FALSE)&gt;0,VLOOKUP(A77,Schlußkurse!A$5:AU$105,42,FALSE)/VLOOKUP(A77,Buchwert_je_Aktie!A$3:AJ$103,13,FALSE),""),"")</f>
        <v>#N/A</v>
      </c>
      <c r="K77" s="70" t="e">
        <f>IF(VLOOKUP(A77,Buchwert_je_Aktie!A$3:AJ$103,14,FALSE)&lt;&gt;"",IF(VLOOKUP(A77,Schlußkurse!A$5:AU$105,43,FALSE)&gt;0,VLOOKUP(A77,Schlußkurse!A$5:AU$105,43,FALSE)/VLOOKUP(A77,Buchwert_je_Aktie!A$3:AJ$103,14,FALSE),""),"")</f>
        <v>#N/A</v>
      </c>
      <c r="L77" s="70" t="e">
        <f>IF(VLOOKUP(A77,Buchwert_je_Aktie!A$3:AJ$103,15,FALSE)&lt;&gt;"",IF(VLOOKUP(A77,Schlußkurse!A$5:AU$105,44,FALSE)&gt;0,VLOOKUP(A77,Schlußkurse!A$5:AU$105,44,FALSE)/VLOOKUP(A77,Buchwert_je_Aktie!A$3:AJ$103,15,FALSE),""),"")</f>
        <v>#N/A</v>
      </c>
      <c r="M77" s="70" t="e">
        <f>IF(VLOOKUP(A77,Buchwert_je_Aktie!A$3:AJ$103,16,FALSE)&lt;&gt;"",IF(VLOOKUP(A77,Schlußkurse!A$5:AU$105,45,FALSE)&gt;0,VLOOKUP(A77,Schlußkurse!A$5:AU$105,45,FALSE)/VLOOKUP(A77,Buchwert_je_Aktie!A$3:AJ$103,16,FALSE),""),"")</f>
        <v>#N/A</v>
      </c>
      <c r="N77" s="70" t="e">
        <f>IF(VLOOKUP(A77,Buchwert_je_Aktie!A$3:AJ$103,17,FALSE)&lt;&gt;"",IF(VLOOKUP(A77,Schlußkurse!A$5:AU$105,46,FALSE)&gt;0,VLOOKUP(A77,Schlußkurse!A$5:AU$105,46,FALSE)/VLOOKUP(A77,Buchwert_je_Aktie!A$3:AJ$103,17,FALSE),""),"")</f>
        <v>#N/A</v>
      </c>
      <c r="O77" s="70" t="e">
        <f>IF(VLOOKUP(A77,Buchwert_je_Aktie!A$3:AJ$103,18,FALSE)&lt;&gt;"",IF(VLOOKUP(A77,Schlußkurse!A$5:AU$105,47,FALSE)&gt;0,VLOOKUP(A77,Schlußkurse!A$5:AU$105,47,FALSE)/VLOOKUP(A77,Buchwert_je_Aktie!A$3:AJ$103,18,FALSE),""),"")</f>
        <v>#N/A</v>
      </c>
      <c r="P77" s="70" t="e">
        <f t="shared" si="4"/>
        <v>#N/A</v>
      </c>
      <c r="Q77" s="3" t="e">
        <f>VLOOKUP(A77,Schlußkurse!A$5:AU$105,35,FALSE)/VLOOKUP(A77,Buchwert_je_Aktie!A$3:AK$103,23,FALSE)</f>
        <v>#N/A</v>
      </c>
      <c r="R77" s="5" t="e">
        <f t="shared" si="5"/>
        <v>#N/A</v>
      </c>
    </row>
    <row r="78" spans="1:18">
      <c r="B78" s="38"/>
      <c r="C78" s="70" t="e">
        <f>IF(VLOOKUP(A78,Buchwert_je_Aktie!A$3:AJ$103,6,FALSE)&lt;&gt;"",IF(VLOOKUP(A78,Schlußkurse!A$5:AU$105,35,FALSE)&gt;0,VLOOKUP(A78,Schlußkurse!A$5:AU$105,35,FALSE) /VLOOKUP(A78,Buchwert_je_Aktie!A$3:AJ$103,6,FALSE),""),"")</f>
        <v>#N/A</v>
      </c>
      <c r="D78" s="70" t="e">
        <f>IF(VLOOKUP(A78,Buchwert_je_Aktie!A$3:AJ$103,7,FALSE)&lt;&gt;"",IF(VLOOKUP(A78,Schlußkurse!A$5:AU$105,36,FALSE)&gt;0,VLOOKUP(A78,Schlußkurse!A$5:AU$105,36,FALSE)/VLOOKUP(A78,Buchwert_je_Aktie!A$3:AJ$103,7,FALSE),""),"")</f>
        <v>#N/A</v>
      </c>
      <c r="E78" s="70" t="e">
        <f>IF(VLOOKUP(A78,Buchwert_je_Aktie!A$3:AJ$103,8,FALSE)&lt;&gt;"",IF(VLOOKUP(A78,Schlußkurse!A$5:AU$105,37,FALSE)&gt;0,VLOOKUP(A78,Schlußkurse!A$5:AU$105,37,FALSE)/VLOOKUP(A78,Buchwert_je_Aktie!A$3:AJ$103,8,FALSE),""),"")</f>
        <v>#N/A</v>
      </c>
      <c r="F78" s="70" t="e">
        <f>IF(VLOOKUP(A78,Buchwert_je_Aktie!A$3:AJ$103,9,FALSE)&lt;&gt;"",IF(VLOOKUP(A78,Schlußkurse!A$5:AU$105,38,FALSE)&gt;0,VLOOKUP(A78,Schlußkurse!A$5:AU$105,38,FALSE)/VLOOKUP(A78,Buchwert_je_Aktie!A$3:AJ$103,9,FALSE),""),"")</f>
        <v>#N/A</v>
      </c>
      <c r="G78" s="70" t="e">
        <f>IF(VLOOKUP(A78,Buchwert_je_Aktie!A$3:AJ$103,10,FALSE)&lt;&gt;"",IF(VLOOKUP(A78,Schlußkurse!A$5:AU$105,39,FALSE)&gt;0,VLOOKUP(A78,Schlußkurse!A$5:AU$105,39,FALSE)/VLOOKUP(A78,Buchwert_je_Aktie!A$3:AJ$103,10,FALSE),""),"")</f>
        <v>#N/A</v>
      </c>
      <c r="H78" s="70" t="e">
        <f>IF(VLOOKUP(A78,Buchwert_je_Aktie!A$3:AJ$103,11,FALSE)&lt;&gt;"",IF(VLOOKUP(A78,Schlußkurse!A$5:AU$105,40,FALSE)&gt;0,VLOOKUP(A78,Schlußkurse!A$5:AU$105,40,FALSE)/VLOOKUP(A78,Buchwert_je_Aktie!A$3:AJ$103,11,FALSE),""),"")</f>
        <v>#N/A</v>
      </c>
      <c r="I78" s="70" t="e">
        <f>IF(VLOOKUP(A78,Buchwert_je_Aktie!A$3:AJ$103,12,FALSE)&lt;&gt;"",IF(VLOOKUP(A78,Schlußkurse!A$5:AU$105,41,FALSE)&gt;0,VLOOKUP(A78,Schlußkurse!A$5:AU$105,41,FALSE)/VLOOKUP(A78,Buchwert_je_Aktie!A$3:AJ$103,12,FALSE),""),"")</f>
        <v>#N/A</v>
      </c>
      <c r="J78" s="70" t="e">
        <f>IF(VLOOKUP(A78,Buchwert_je_Aktie!A$3:AJ$103,13,FALSE)&lt;&gt;"",IF(VLOOKUP(A78,Schlußkurse!A$5:AU$105,42,FALSE)&gt;0,VLOOKUP(A78,Schlußkurse!A$5:AU$105,42,FALSE)/VLOOKUP(A78,Buchwert_je_Aktie!A$3:AJ$103,13,FALSE),""),"")</f>
        <v>#N/A</v>
      </c>
      <c r="K78" s="70" t="e">
        <f>IF(VLOOKUP(A78,Buchwert_je_Aktie!A$3:AJ$103,14,FALSE)&lt;&gt;"",IF(VLOOKUP(A78,Schlußkurse!A$5:AU$105,43,FALSE)&gt;0,VLOOKUP(A78,Schlußkurse!A$5:AU$105,43,FALSE)/VLOOKUP(A78,Buchwert_je_Aktie!A$3:AJ$103,14,FALSE),""),"")</f>
        <v>#N/A</v>
      </c>
      <c r="L78" s="70" t="e">
        <f>IF(VLOOKUP(A78,Buchwert_je_Aktie!A$3:AJ$103,15,FALSE)&lt;&gt;"",IF(VLOOKUP(A78,Schlußkurse!A$5:AU$105,44,FALSE)&gt;0,VLOOKUP(A78,Schlußkurse!A$5:AU$105,44,FALSE)/VLOOKUP(A78,Buchwert_je_Aktie!A$3:AJ$103,15,FALSE),""),"")</f>
        <v>#N/A</v>
      </c>
      <c r="M78" s="70" t="e">
        <f>IF(VLOOKUP(A78,Buchwert_je_Aktie!A$3:AJ$103,16,FALSE)&lt;&gt;"",IF(VLOOKUP(A78,Schlußkurse!A$5:AU$105,45,FALSE)&gt;0,VLOOKUP(A78,Schlußkurse!A$5:AU$105,45,FALSE)/VLOOKUP(A78,Buchwert_je_Aktie!A$3:AJ$103,16,FALSE),""),"")</f>
        <v>#N/A</v>
      </c>
      <c r="N78" s="70" t="e">
        <f>IF(VLOOKUP(A78,Buchwert_je_Aktie!A$3:AJ$103,17,FALSE)&lt;&gt;"",IF(VLOOKUP(A78,Schlußkurse!A$5:AU$105,46,FALSE)&gt;0,VLOOKUP(A78,Schlußkurse!A$5:AU$105,46,FALSE)/VLOOKUP(A78,Buchwert_je_Aktie!A$3:AJ$103,17,FALSE),""),"")</f>
        <v>#N/A</v>
      </c>
      <c r="O78" s="70" t="e">
        <f>IF(VLOOKUP(A78,Buchwert_je_Aktie!A$3:AJ$103,18,FALSE)&lt;&gt;"",IF(VLOOKUP(A78,Schlußkurse!A$5:AU$105,47,FALSE)&gt;0,VLOOKUP(A78,Schlußkurse!A$5:AU$105,47,FALSE)/VLOOKUP(A78,Buchwert_je_Aktie!A$3:AJ$103,18,FALSE),""),"")</f>
        <v>#N/A</v>
      </c>
      <c r="P78" s="70" t="e">
        <f t="shared" si="4"/>
        <v>#N/A</v>
      </c>
      <c r="Q78" s="3" t="e">
        <f>VLOOKUP(A78,Schlußkurse!A$5:AU$105,35,FALSE)/VLOOKUP(A78,Buchwert_je_Aktie!A$3:AK$103,23,FALSE)</f>
        <v>#N/A</v>
      </c>
      <c r="R78" s="5" t="e">
        <f t="shared" si="5"/>
        <v>#N/A</v>
      </c>
    </row>
    <row r="79" spans="1:18">
      <c r="B79" s="38"/>
      <c r="C79" s="70" t="e">
        <f>IF(VLOOKUP(A79,Buchwert_je_Aktie!A$3:AJ$103,6,FALSE)&lt;&gt;"",IF(VLOOKUP(A79,Schlußkurse!A$5:AU$105,35,FALSE)&gt;0,VLOOKUP(A79,Schlußkurse!A$5:AU$105,35,FALSE) /VLOOKUP(A79,Buchwert_je_Aktie!A$3:AJ$103,6,FALSE),""),"")</f>
        <v>#N/A</v>
      </c>
      <c r="D79" s="70" t="e">
        <f>IF(VLOOKUP(A79,Buchwert_je_Aktie!A$3:AJ$103,7,FALSE)&lt;&gt;"",IF(VLOOKUP(A79,Schlußkurse!A$5:AU$105,36,FALSE)&gt;0,VLOOKUP(A79,Schlußkurse!A$5:AU$105,36,FALSE)/VLOOKUP(A79,Buchwert_je_Aktie!A$3:AJ$103,7,FALSE),""),"")</f>
        <v>#N/A</v>
      </c>
      <c r="E79" s="70" t="e">
        <f>IF(VLOOKUP(A79,Buchwert_je_Aktie!A$3:AJ$103,8,FALSE)&lt;&gt;"",IF(VLOOKUP(A79,Schlußkurse!A$5:AU$105,37,FALSE)&gt;0,VLOOKUP(A79,Schlußkurse!A$5:AU$105,37,FALSE)/VLOOKUP(A79,Buchwert_je_Aktie!A$3:AJ$103,8,FALSE),""),"")</f>
        <v>#N/A</v>
      </c>
      <c r="F79" s="70" t="e">
        <f>IF(VLOOKUP(A79,Buchwert_je_Aktie!A$3:AJ$103,9,FALSE)&lt;&gt;"",IF(VLOOKUP(A79,Schlußkurse!A$5:AU$105,38,FALSE)&gt;0,VLOOKUP(A79,Schlußkurse!A$5:AU$105,38,FALSE)/VLOOKUP(A79,Buchwert_je_Aktie!A$3:AJ$103,9,FALSE),""),"")</f>
        <v>#N/A</v>
      </c>
      <c r="G79" s="70" t="e">
        <f>IF(VLOOKUP(A79,Buchwert_je_Aktie!A$3:AJ$103,10,FALSE)&lt;&gt;"",IF(VLOOKUP(A79,Schlußkurse!A$5:AU$105,39,FALSE)&gt;0,VLOOKUP(A79,Schlußkurse!A$5:AU$105,39,FALSE)/VLOOKUP(A79,Buchwert_je_Aktie!A$3:AJ$103,10,FALSE),""),"")</f>
        <v>#N/A</v>
      </c>
      <c r="H79" s="70" t="e">
        <f>IF(VLOOKUP(A79,Buchwert_je_Aktie!A$3:AJ$103,11,FALSE)&lt;&gt;"",IF(VLOOKUP(A79,Schlußkurse!A$5:AU$105,40,FALSE)&gt;0,VLOOKUP(A79,Schlußkurse!A$5:AU$105,40,FALSE)/VLOOKUP(A79,Buchwert_je_Aktie!A$3:AJ$103,11,FALSE),""),"")</f>
        <v>#N/A</v>
      </c>
      <c r="I79" s="70" t="e">
        <f>IF(VLOOKUP(A79,Buchwert_je_Aktie!A$3:AJ$103,12,FALSE)&lt;&gt;"",IF(VLOOKUP(A79,Schlußkurse!A$5:AU$105,41,FALSE)&gt;0,VLOOKUP(A79,Schlußkurse!A$5:AU$105,41,FALSE)/VLOOKUP(A79,Buchwert_je_Aktie!A$3:AJ$103,12,FALSE),""),"")</f>
        <v>#N/A</v>
      </c>
      <c r="J79" s="70" t="e">
        <f>IF(VLOOKUP(A79,Buchwert_je_Aktie!A$3:AJ$103,13,FALSE)&lt;&gt;"",IF(VLOOKUP(A79,Schlußkurse!A$5:AU$105,42,FALSE)&gt;0,VLOOKUP(A79,Schlußkurse!A$5:AU$105,42,FALSE)/VLOOKUP(A79,Buchwert_je_Aktie!A$3:AJ$103,13,FALSE),""),"")</f>
        <v>#N/A</v>
      </c>
      <c r="K79" s="70" t="e">
        <f>IF(VLOOKUP(A79,Buchwert_je_Aktie!A$3:AJ$103,14,FALSE)&lt;&gt;"",IF(VLOOKUP(A79,Schlußkurse!A$5:AU$105,43,FALSE)&gt;0,VLOOKUP(A79,Schlußkurse!A$5:AU$105,43,FALSE)/VLOOKUP(A79,Buchwert_je_Aktie!A$3:AJ$103,14,FALSE),""),"")</f>
        <v>#N/A</v>
      </c>
      <c r="L79" s="70" t="e">
        <f>IF(VLOOKUP(A79,Buchwert_je_Aktie!A$3:AJ$103,15,FALSE)&lt;&gt;"",IF(VLOOKUP(A79,Schlußkurse!A$5:AU$105,44,FALSE)&gt;0,VLOOKUP(A79,Schlußkurse!A$5:AU$105,44,FALSE)/VLOOKUP(A79,Buchwert_je_Aktie!A$3:AJ$103,15,FALSE),""),"")</f>
        <v>#N/A</v>
      </c>
      <c r="M79" s="70" t="e">
        <f>IF(VLOOKUP(A79,Buchwert_je_Aktie!A$3:AJ$103,16,FALSE)&lt;&gt;"",IF(VLOOKUP(A79,Schlußkurse!A$5:AU$105,45,FALSE)&gt;0,VLOOKUP(A79,Schlußkurse!A$5:AU$105,45,FALSE)/VLOOKUP(A79,Buchwert_je_Aktie!A$3:AJ$103,16,FALSE),""),"")</f>
        <v>#N/A</v>
      </c>
      <c r="N79" s="70" t="e">
        <f>IF(VLOOKUP(A79,Buchwert_je_Aktie!A$3:AJ$103,17,FALSE)&lt;&gt;"",IF(VLOOKUP(A79,Schlußkurse!A$5:AU$105,46,FALSE)&gt;0,VLOOKUP(A79,Schlußkurse!A$5:AU$105,46,FALSE)/VLOOKUP(A79,Buchwert_je_Aktie!A$3:AJ$103,17,FALSE),""),"")</f>
        <v>#N/A</v>
      </c>
      <c r="O79" s="70" t="e">
        <f>IF(VLOOKUP(A79,Buchwert_je_Aktie!A$3:AJ$103,18,FALSE)&lt;&gt;"",IF(VLOOKUP(A79,Schlußkurse!A$5:AU$105,47,FALSE)&gt;0,VLOOKUP(A79,Schlußkurse!A$5:AU$105,47,FALSE)/VLOOKUP(A79,Buchwert_je_Aktie!A$3:AJ$103,18,FALSE),""),"")</f>
        <v>#N/A</v>
      </c>
      <c r="P79" s="70" t="e">
        <f t="shared" si="4"/>
        <v>#N/A</v>
      </c>
      <c r="Q79" s="3" t="e">
        <f>VLOOKUP(A79,Schlußkurse!A$5:AU$105,35,FALSE)/VLOOKUP(A79,Buchwert_je_Aktie!A$3:AK$103,23,FALSE)</f>
        <v>#N/A</v>
      </c>
      <c r="R79" s="5" t="e">
        <f t="shared" si="5"/>
        <v>#N/A</v>
      </c>
    </row>
    <row r="80" spans="1:18">
      <c r="B80" s="38"/>
      <c r="C80" s="70" t="e">
        <f>IF(VLOOKUP(A80,Buchwert_je_Aktie!A$3:AJ$103,6,FALSE)&lt;&gt;"",IF(VLOOKUP(A80,Schlußkurse!A$5:AU$105,35,FALSE)&gt;0,VLOOKUP(A80,Schlußkurse!A$5:AU$105,35,FALSE) /VLOOKUP(A80,Buchwert_je_Aktie!A$3:AJ$103,6,FALSE),""),"")</f>
        <v>#N/A</v>
      </c>
      <c r="D80" s="70" t="e">
        <f>IF(VLOOKUP(A80,Buchwert_je_Aktie!A$3:AJ$103,7,FALSE)&lt;&gt;"",IF(VLOOKUP(A80,Schlußkurse!A$5:AU$105,36,FALSE)&gt;0,VLOOKUP(A80,Schlußkurse!A$5:AU$105,36,FALSE)/VLOOKUP(A80,Buchwert_je_Aktie!A$3:AJ$103,7,FALSE),""),"")</f>
        <v>#N/A</v>
      </c>
      <c r="E80" s="70" t="e">
        <f>IF(VLOOKUP(A80,Buchwert_je_Aktie!A$3:AJ$103,8,FALSE)&lt;&gt;"",IF(VLOOKUP(A80,Schlußkurse!A$5:AU$105,37,FALSE)&gt;0,VLOOKUP(A80,Schlußkurse!A$5:AU$105,37,FALSE)/VLOOKUP(A80,Buchwert_je_Aktie!A$3:AJ$103,8,FALSE),""),"")</f>
        <v>#N/A</v>
      </c>
      <c r="F80" s="70" t="e">
        <f>IF(VLOOKUP(A80,Buchwert_je_Aktie!A$3:AJ$103,9,FALSE)&lt;&gt;"",IF(VLOOKUP(A80,Schlußkurse!A$5:AU$105,38,FALSE)&gt;0,VLOOKUP(A80,Schlußkurse!A$5:AU$105,38,FALSE)/VLOOKUP(A80,Buchwert_je_Aktie!A$3:AJ$103,9,FALSE),""),"")</f>
        <v>#N/A</v>
      </c>
      <c r="G80" s="70" t="e">
        <f>IF(VLOOKUP(A80,Buchwert_je_Aktie!A$3:AJ$103,10,FALSE)&lt;&gt;"",IF(VLOOKUP(A80,Schlußkurse!A$5:AU$105,39,FALSE)&gt;0,VLOOKUP(A80,Schlußkurse!A$5:AU$105,39,FALSE)/VLOOKUP(A80,Buchwert_je_Aktie!A$3:AJ$103,10,FALSE),""),"")</f>
        <v>#N/A</v>
      </c>
      <c r="H80" s="70" t="e">
        <f>IF(VLOOKUP(A80,Buchwert_je_Aktie!A$3:AJ$103,11,FALSE)&lt;&gt;"",IF(VLOOKUP(A80,Schlußkurse!A$5:AU$105,40,FALSE)&gt;0,VLOOKUP(A80,Schlußkurse!A$5:AU$105,40,FALSE)/VLOOKUP(A80,Buchwert_je_Aktie!A$3:AJ$103,11,FALSE),""),"")</f>
        <v>#N/A</v>
      </c>
      <c r="I80" s="70" t="e">
        <f>IF(VLOOKUP(A80,Buchwert_je_Aktie!A$3:AJ$103,12,FALSE)&lt;&gt;"",IF(VLOOKUP(A80,Schlußkurse!A$5:AU$105,41,FALSE)&gt;0,VLOOKUP(A80,Schlußkurse!A$5:AU$105,41,FALSE)/VLOOKUP(A80,Buchwert_je_Aktie!A$3:AJ$103,12,FALSE),""),"")</f>
        <v>#N/A</v>
      </c>
      <c r="J80" s="70" t="e">
        <f>IF(VLOOKUP(A80,Buchwert_je_Aktie!A$3:AJ$103,13,FALSE)&lt;&gt;"",IF(VLOOKUP(A80,Schlußkurse!A$5:AU$105,42,FALSE)&gt;0,VLOOKUP(A80,Schlußkurse!A$5:AU$105,42,FALSE)/VLOOKUP(A80,Buchwert_je_Aktie!A$3:AJ$103,13,FALSE),""),"")</f>
        <v>#N/A</v>
      </c>
      <c r="K80" s="70" t="e">
        <f>IF(VLOOKUP(A80,Buchwert_je_Aktie!A$3:AJ$103,14,FALSE)&lt;&gt;"",IF(VLOOKUP(A80,Schlußkurse!A$5:AU$105,43,FALSE)&gt;0,VLOOKUP(A80,Schlußkurse!A$5:AU$105,43,FALSE)/VLOOKUP(A80,Buchwert_je_Aktie!A$3:AJ$103,14,FALSE),""),"")</f>
        <v>#N/A</v>
      </c>
      <c r="L80" s="70" t="e">
        <f>IF(VLOOKUP(A80,Buchwert_je_Aktie!A$3:AJ$103,15,FALSE)&lt;&gt;"",IF(VLOOKUP(A80,Schlußkurse!A$5:AU$105,44,FALSE)&gt;0,VLOOKUP(A80,Schlußkurse!A$5:AU$105,44,FALSE)/VLOOKUP(A80,Buchwert_je_Aktie!A$3:AJ$103,15,FALSE),""),"")</f>
        <v>#N/A</v>
      </c>
      <c r="M80" s="70" t="e">
        <f>IF(VLOOKUP(A80,Buchwert_je_Aktie!A$3:AJ$103,16,FALSE)&lt;&gt;"",IF(VLOOKUP(A80,Schlußkurse!A$5:AU$105,45,FALSE)&gt;0,VLOOKUP(A80,Schlußkurse!A$5:AU$105,45,FALSE)/VLOOKUP(A80,Buchwert_je_Aktie!A$3:AJ$103,16,FALSE),""),"")</f>
        <v>#N/A</v>
      </c>
      <c r="N80" s="70" t="e">
        <f>IF(VLOOKUP(A80,Buchwert_je_Aktie!A$3:AJ$103,17,FALSE)&lt;&gt;"",IF(VLOOKUP(A80,Schlußkurse!A$5:AU$105,46,FALSE)&gt;0,VLOOKUP(A80,Schlußkurse!A$5:AU$105,46,FALSE)/VLOOKUP(A80,Buchwert_je_Aktie!A$3:AJ$103,17,FALSE),""),"")</f>
        <v>#N/A</v>
      </c>
      <c r="O80" s="70" t="e">
        <f>IF(VLOOKUP(A80,Buchwert_je_Aktie!A$3:AJ$103,18,FALSE)&lt;&gt;"",IF(VLOOKUP(A80,Schlußkurse!A$5:AU$105,47,FALSE)&gt;0,VLOOKUP(A80,Schlußkurse!A$5:AU$105,47,FALSE)/VLOOKUP(A80,Buchwert_je_Aktie!A$3:AJ$103,18,FALSE),""),"")</f>
        <v>#N/A</v>
      </c>
      <c r="P80" s="70" t="e">
        <f t="shared" si="4"/>
        <v>#N/A</v>
      </c>
      <c r="Q80" s="3" t="e">
        <f>VLOOKUP(A80,Schlußkurse!A$5:AU$105,35,FALSE)/VLOOKUP(A80,Buchwert_je_Aktie!A$3:AK$103,23,FALSE)</f>
        <v>#N/A</v>
      </c>
      <c r="R80" s="5" t="e">
        <f t="shared" si="5"/>
        <v>#N/A</v>
      </c>
    </row>
    <row r="81" spans="2:18">
      <c r="B81" s="38"/>
      <c r="C81" s="70" t="e">
        <f>IF(VLOOKUP(A81,Buchwert_je_Aktie!A$3:AJ$103,6,FALSE)&lt;&gt;"",IF(VLOOKUP(A81,Schlußkurse!A$5:AU$105,35,FALSE)&gt;0,VLOOKUP(A81,Schlußkurse!A$5:AU$105,35,FALSE) /VLOOKUP(A81,Buchwert_je_Aktie!A$3:AJ$103,6,FALSE),""),"")</f>
        <v>#N/A</v>
      </c>
      <c r="D81" s="70" t="e">
        <f>IF(VLOOKUP(A81,Buchwert_je_Aktie!A$3:AJ$103,7,FALSE)&lt;&gt;"",IF(VLOOKUP(A81,Schlußkurse!A$5:AU$105,36,FALSE)&gt;0,VLOOKUP(A81,Schlußkurse!A$5:AU$105,36,FALSE)/VLOOKUP(A81,Buchwert_je_Aktie!A$3:AJ$103,7,FALSE),""),"")</f>
        <v>#N/A</v>
      </c>
      <c r="E81" s="70" t="e">
        <f>IF(VLOOKUP(A81,Buchwert_je_Aktie!A$3:AJ$103,8,FALSE)&lt;&gt;"",IF(VLOOKUP(A81,Schlußkurse!A$5:AU$105,37,FALSE)&gt;0,VLOOKUP(A81,Schlußkurse!A$5:AU$105,37,FALSE)/VLOOKUP(A81,Buchwert_je_Aktie!A$3:AJ$103,8,FALSE),""),"")</f>
        <v>#N/A</v>
      </c>
      <c r="F81" s="70" t="e">
        <f>IF(VLOOKUP(A81,Buchwert_je_Aktie!A$3:AJ$103,9,FALSE)&lt;&gt;"",IF(VLOOKUP(A81,Schlußkurse!A$5:AU$105,38,FALSE)&gt;0,VLOOKUP(A81,Schlußkurse!A$5:AU$105,38,FALSE)/VLOOKUP(A81,Buchwert_je_Aktie!A$3:AJ$103,9,FALSE),""),"")</f>
        <v>#N/A</v>
      </c>
      <c r="G81" s="70" t="e">
        <f>IF(VLOOKUP(A81,Buchwert_je_Aktie!A$3:AJ$103,10,FALSE)&lt;&gt;"",IF(VLOOKUP(A81,Schlußkurse!A$5:AU$105,39,FALSE)&gt;0,VLOOKUP(A81,Schlußkurse!A$5:AU$105,39,FALSE)/VLOOKUP(A81,Buchwert_je_Aktie!A$3:AJ$103,10,FALSE),""),"")</f>
        <v>#N/A</v>
      </c>
      <c r="H81" s="70" t="e">
        <f>IF(VLOOKUP(A81,Buchwert_je_Aktie!A$3:AJ$103,11,FALSE)&lt;&gt;"",IF(VLOOKUP(A81,Schlußkurse!A$5:AU$105,40,FALSE)&gt;0,VLOOKUP(A81,Schlußkurse!A$5:AU$105,40,FALSE)/VLOOKUP(A81,Buchwert_je_Aktie!A$3:AJ$103,11,FALSE),""),"")</f>
        <v>#N/A</v>
      </c>
      <c r="I81" s="70" t="e">
        <f>IF(VLOOKUP(A81,Buchwert_je_Aktie!A$3:AJ$103,12,FALSE)&lt;&gt;"",IF(VLOOKUP(A81,Schlußkurse!A$5:AU$105,41,FALSE)&gt;0,VLOOKUP(A81,Schlußkurse!A$5:AU$105,41,FALSE)/VLOOKUP(A81,Buchwert_je_Aktie!A$3:AJ$103,12,FALSE),""),"")</f>
        <v>#N/A</v>
      </c>
      <c r="J81" s="70" t="e">
        <f>IF(VLOOKUP(A81,Buchwert_je_Aktie!A$3:AJ$103,13,FALSE)&lt;&gt;"",IF(VLOOKUP(A81,Schlußkurse!A$5:AU$105,42,FALSE)&gt;0,VLOOKUP(A81,Schlußkurse!A$5:AU$105,42,FALSE)/VLOOKUP(A81,Buchwert_je_Aktie!A$3:AJ$103,13,FALSE),""),"")</f>
        <v>#N/A</v>
      </c>
      <c r="K81" s="70" t="e">
        <f>IF(VLOOKUP(A81,Buchwert_je_Aktie!A$3:AJ$103,14,FALSE)&lt;&gt;"",IF(VLOOKUP(A81,Schlußkurse!A$5:AU$105,43,FALSE)&gt;0,VLOOKUP(A81,Schlußkurse!A$5:AU$105,43,FALSE)/VLOOKUP(A81,Buchwert_je_Aktie!A$3:AJ$103,14,FALSE),""),"")</f>
        <v>#N/A</v>
      </c>
      <c r="L81" s="70" t="e">
        <f>IF(VLOOKUP(A81,Buchwert_je_Aktie!A$3:AJ$103,15,FALSE)&lt;&gt;"",IF(VLOOKUP(A81,Schlußkurse!A$5:AU$105,44,FALSE)&gt;0,VLOOKUP(A81,Schlußkurse!A$5:AU$105,44,FALSE)/VLOOKUP(A81,Buchwert_je_Aktie!A$3:AJ$103,15,FALSE),""),"")</f>
        <v>#N/A</v>
      </c>
      <c r="M81" s="70" t="e">
        <f>IF(VLOOKUP(A81,Buchwert_je_Aktie!A$3:AJ$103,16,FALSE)&lt;&gt;"",IF(VLOOKUP(A81,Schlußkurse!A$5:AU$105,45,FALSE)&gt;0,VLOOKUP(A81,Schlußkurse!A$5:AU$105,45,FALSE)/VLOOKUP(A81,Buchwert_je_Aktie!A$3:AJ$103,16,FALSE),""),"")</f>
        <v>#N/A</v>
      </c>
      <c r="N81" s="70" t="e">
        <f>IF(VLOOKUP(A81,Buchwert_je_Aktie!A$3:AJ$103,17,FALSE)&lt;&gt;"",IF(VLOOKUP(A81,Schlußkurse!A$5:AU$105,46,FALSE)&gt;0,VLOOKUP(A81,Schlußkurse!A$5:AU$105,46,FALSE)/VLOOKUP(A81,Buchwert_je_Aktie!A$3:AJ$103,17,FALSE),""),"")</f>
        <v>#N/A</v>
      </c>
      <c r="O81" s="70" t="e">
        <f>IF(VLOOKUP(A81,Buchwert_je_Aktie!A$3:AJ$103,18,FALSE)&lt;&gt;"",IF(VLOOKUP(A81,Schlußkurse!A$5:AU$105,47,FALSE)&gt;0,VLOOKUP(A81,Schlußkurse!A$5:AU$105,47,FALSE)/VLOOKUP(A81,Buchwert_je_Aktie!A$3:AJ$103,18,FALSE),""),"")</f>
        <v>#N/A</v>
      </c>
      <c r="P81" s="70" t="e">
        <f t="shared" si="4"/>
        <v>#N/A</v>
      </c>
      <c r="Q81" s="3" t="e">
        <f>VLOOKUP(A81,Schlußkurse!A$5:AU$105,35,FALSE)/VLOOKUP(A81,Buchwert_je_Aktie!A$3:AK$103,23,FALSE)</f>
        <v>#N/A</v>
      </c>
      <c r="R81" s="5" t="e">
        <f t="shared" si="5"/>
        <v>#N/A</v>
      </c>
    </row>
    <row r="82" spans="2:18">
      <c r="B82" s="38"/>
      <c r="C82" s="70" t="e">
        <f>IF(VLOOKUP(A82,Buchwert_je_Aktie!A$3:AJ$103,6,FALSE)&lt;&gt;"",IF(VLOOKUP(A82,Schlußkurse!A$5:AU$105,35,FALSE)&gt;0,VLOOKUP(A82,Schlußkurse!A$5:AU$105,35,FALSE) /VLOOKUP(A82,Buchwert_je_Aktie!A$3:AJ$103,6,FALSE),""),"")</f>
        <v>#N/A</v>
      </c>
      <c r="D82" s="70" t="e">
        <f>IF(VLOOKUP(A82,Buchwert_je_Aktie!A$3:AJ$103,7,FALSE)&lt;&gt;"",IF(VLOOKUP(A82,Schlußkurse!A$5:AU$105,36,FALSE)&gt;0,VLOOKUP(A82,Schlußkurse!A$5:AU$105,36,FALSE)/VLOOKUP(A82,Buchwert_je_Aktie!A$3:AJ$103,7,FALSE),""),"")</f>
        <v>#N/A</v>
      </c>
      <c r="E82" s="70" t="e">
        <f>IF(VLOOKUP(A82,Buchwert_je_Aktie!A$3:AJ$103,8,FALSE)&lt;&gt;"",IF(VLOOKUP(A82,Schlußkurse!A$5:AU$105,37,FALSE)&gt;0,VLOOKUP(A82,Schlußkurse!A$5:AU$105,37,FALSE)/VLOOKUP(A82,Buchwert_je_Aktie!A$3:AJ$103,8,FALSE),""),"")</f>
        <v>#N/A</v>
      </c>
      <c r="F82" s="70" t="e">
        <f>IF(VLOOKUP(A82,Buchwert_je_Aktie!A$3:AJ$103,9,FALSE)&lt;&gt;"",IF(VLOOKUP(A82,Schlußkurse!A$5:AU$105,38,FALSE)&gt;0,VLOOKUP(A82,Schlußkurse!A$5:AU$105,38,FALSE)/VLOOKUP(A82,Buchwert_je_Aktie!A$3:AJ$103,9,FALSE),""),"")</f>
        <v>#N/A</v>
      </c>
      <c r="G82" s="70" t="e">
        <f>IF(VLOOKUP(A82,Buchwert_je_Aktie!A$3:AJ$103,10,FALSE)&lt;&gt;"",IF(VLOOKUP(A82,Schlußkurse!A$5:AU$105,39,FALSE)&gt;0,VLOOKUP(A82,Schlußkurse!A$5:AU$105,39,FALSE)/VLOOKUP(A82,Buchwert_je_Aktie!A$3:AJ$103,10,FALSE),""),"")</f>
        <v>#N/A</v>
      </c>
      <c r="H82" s="70" t="e">
        <f>IF(VLOOKUP(A82,Buchwert_je_Aktie!A$3:AJ$103,11,FALSE)&lt;&gt;"",IF(VLOOKUP(A82,Schlußkurse!A$5:AU$105,40,FALSE)&gt;0,VLOOKUP(A82,Schlußkurse!A$5:AU$105,40,FALSE)/VLOOKUP(A82,Buchwert_je_Aktie!A$3:AJ$103,11,FALSE),""),"")</f>
        <v>#N/A</v>
      </c>
      <c r="I82" s="70" t="e">
        <f>IF(VLOOKUP(A82,Buchwert_je_Aktie!A$3:AJ$103,12,FALSE)&lt;&gt;"",IF(VLOOKUP(A82,Schlußkurse!A$5:AU$105,41,FALSE)&gt;0,VLOOKUP(A82,Schlußkurse!A$5:AU$105,41,FALSE)/VLOOKUP(A82,Buchwert_je_Aktie!A$3:AJ$103,12,FALSE),""),"")</f>
        <v>#N/A</v>
      </c>
      <c r="J82" s="70" t="e">
        <f>IF(VLOOKUP(A82,Buchwert_je_Aktie!A$3:AJ$103,13,FALSE)&lt;&gt;"",IF(VLOOKUP(A82,Schlußkurse!A$5:AU$105,42,FALSE)&gt;0,VLOOKUP(A82,Schlußkurse!A$5:AU$105,42,FALSE)/VLOOKUP(A82,Buchwert_je_Aktie!A$3:AJ$103,13,FALSE),""),"")</f>
        <v>#N/A</v>
      </c>
      <c r="K82" s="70" t="e">
        <f>IF(VLOOKUP(A82,Buchwert_je_Aktie!A$3:AJ$103,14,FALSE)&lt;&gt;"",IF(VLOOKUP(A82,Schlußkurse!A$5:AU$105,43,FALSE)&gt;0,VLOOKUP(A82,Schlußkurse!A$5:AU$105,43,FALSE)/VLOOKUP(A82,Buchwert_je_Aktie!A$3:AJ$103,14,FALSE),""),"")</f>
        <v>#N/A</v>
      </c>
      <c r="L82" s="70" t="e">
        <f>IF(VLOOKUP(A82,Buchwert_je_Aktie!A$3:AJ$103,15,FALSE)&lt;&gt;"",IF(VLOOKUP(A82,Schlußkurse!A$5:AU$105,44,FALSE)&gt;0,VLOOKUP(A82,Schlußkurse!A$5:AU$105,44,FALSE)/VLOOKUP(A82,Buchwert_je_Aktie!A$3:AJ$103,15,FALSE),""),"")</f>
        <v>#N/A</v>
      </c>
      <c r="M82" s="70" t="e">
        <f>IF(VLOOKUP(A82,Buchwert_je_Aktie!A$3:AJ$103,16,FALSE)&lt;&gt;"",IF(VLOOKUP(A82,Schlußkurse!A$5:AU$105,45,FALSE)&gt;0,VLOOKUP(A82,Schlußkurse!A$5:AU$105,45,FALSE)/VLOOKUP(A82,Buchwert_je_Aktie!A$3:AJ$103,16,FALSE),""),"")</f>
        <v>#N/A</v>
      </c>
      <c r="N82" s="70" t="e">
        <f>IF(VLOOKUP(A82,Buchwert_je_Aktie!A$3:AJ$103,17,FALSE)&lt;&gt;"",IF(VLOOKUP(A82,Schlußkurse!A$5:AU$105,46,FALSE)&gt;0,VLOOKUP(A82,Schlußkurse!A$5:AU$105,46,FALSE)/VLOOKUP(A82,Buchwert_je_Aktie!A$3:AJ$103,17,FALSE),""),"")</f>
        <v>#N/A</v>
      </c>
      <c r="O82" s="70" t="e">
        <f>IF(VLOOKUP(A82,Buchwert_je_Aktie!A$3:AJ$103,18,FALSE)&lt;&gt;"",IF(VLOOKUP(A82,Schlußkurse!A$5:AU$105,47,FALSE)&gt;0,VLOOKUP(A82,Schlußkurse!A$5:AU$105,47,FALSE)/VLOOKUP(A82,Buchwert_je_Aktie!A$3:AJ$103,18,FALSE),""),"")</f>
        <v>#N/A</v>
      </c>
      <c r="P82" s="70" t="e">
        <f t="shared" si="4"/>
        <v>#N/A</v>
      </c>
      <c r="Q82" s="3" t="e">
        <f>VLOOKUP(A82,Schlußkurse!A$5:AU$105,35,FALSE)/VLOOKUP(A82,Buchwert_je_Aktie!A$3:AK$103,23,FALSE)</f>
        <v>#N/A</v>
      </c>
      <c r="R82" s="5" t="e">
        <f t="shared" si="5"/>
        <v>#N/A</v>
      </c>
    </row>
    <row r="83" spans="2:18">
      <c r="B83" s="38"/>
      <c r="C83" s="70" t="e">
        <f>IF(VLOOKUP(A83,Buchwert_je_Aktie!A$3:AJ$103,6,FALSE)&lt;&gt;"",IF(VLOOKUP(A83,Schlußkurse!A$5:AU$105,35,FALSE)&gt;0,VLOOKUP(A83,Schlußkurse!A$5:AU$105,35,FALSE) /VLOOKUP(A83,Buchwert_je_Aktie!A$3:AJ$103,6,FALSE),""),"")</f>
        <v>#N/A</v>
      </c>
      <c r="D83" s="70" t="e">
        <f>IF(VLOOKUP(A83,Buchwert_je_Aktie!A$3:AJ$103,7,FALSE)&lt;&gt;"",IF(VLOOKUP(A83,Schlußkurse!A$5:AU$105,36,FALSE)&gt;0,VLOOKUP(A83,Schlußkurse!A$5:AU$105,36,FALSE)/VLOOKUP(A83,Buchwert_je_Aktie!A$3:AJ$103,7,FALSE),""),"")</f>
        <v>#N/A</v>
      </c>
      <c r="E83" s="70" t="e">
        <f>IF(VLOOKUP(A83,Buchwert_je_Aktie!A$3:AJ$103,8,FALSE)&lt;&gt;"",IF(VLOOKUP(A83,Schlußkurse!A$5:AU$105,37,FALSE)&gt;0,VLOOKUP(A83,Schlußkurse!A$5:AU$105,37,FALSE)/VLOOKUP(A83,Buchwert_je_Aktie!A$3:AJ$103,8,FALSE),""),"")</f>
        <v>#N/A</v>
      </c>
      <c r="F83" s="70" t="e">
        <f>IF(VLOOKUP(A83,Buchwert_je_Aktie!A$3:AJ$103,9,FALSE)&lt;&gt;"",IF(VLOOKUP(A83,Schlußkurse!A$5:AU$105,38,FALSE)&gt;0,VLOOKUP(A83,Schlußkurse!A$5:AU$105,38,FALSE)/VLOOKUP(A83,Buchwert_je_Aktie!A$3:AJ$103,9,FALSE),""),"")</f>
        <v>#N/A</v>
      </c>
      <c r="G83" s="70" t="e">
        <f>IF(VLOOKUP(A83,Buchwert_je_Aktie!A$3:AJ$103,10,FALSE)&lt;&gt;"",IF(VLOOKUP(A83,Schlußkurse!A$5:AU$105,39,FALSE)&gt;0,VLOOKUP(A83,Schlußkurse!A$5:AU$105,39,FALSE)/VLOOKUP(A83,Buchwert_je_Aktie!A$3:AJ$103,10,FALSE),""),"")</f>
        <v>#N/A</v>
      </c>
      <c r="H83" s="70" t="e">
        <f>IF(VLOOKUP(A83,Buchwert_je_Aktie!A$3:AJ$103,11,FALSE)&lt;&gt;"",IF(VLOOKUP(A83,Schlußkurse!A$5:AU$105,40,FALSE)&gt;0,VLOOKUP(A83,Schlußkurse!A$5:AU$105,40,FALSE)/VLOOKUP(A83,Buchwert_je_Aktie!A$3:AJ$103,11,FALSE),""),"")</f>
        <v>#N/A</v>
      </c>
      <c r="I83" s="70" t="e">
        <f>IF(VLOOKUP(A83,Buchwert_je_Aktie!A$3:AJ$103,12,FALSE)&lt;&gt;"",IF(VLOOKUP(A83,Schlußkurse!A$5:AU$105,41,FALSE)&gt;0,VLOOKUP(A83,Schlußkurse!A$5:AU$105,41,FALSE)/VLOOKUP(A83,Buchwert_je_Aktie!A$3:AJ$103,12,FALSE),""),"")</f>
        <v>#N/A</v>
      </c>
      <c r="J83" s="70" t="e">
        <f>IF(VLOOKUP(A83,Buchwert_je_Aktie!A$3:AJ$103,13,FALSE)&lt;&gt;"",IF(VLOOKUP(A83,Schlußkurse!A$5:AU$105,42,FALSE)&gt;0,VLOOKUP(A83,Schlußkurse!A$5:AU$105,42,FALSE)/VLOOKUP(A83,Buchwert_je_Aktie!A$3:AJ$103,13,FALSE),""),"")</f>
        <v>#N/A</v>
      </c>
      <c r="K83" s="70" t="e">
        <f>IF(VLOOKUP(A83,Buchwert_je_Aktie!A$3:AJ$103,14,FALSE)&lt;&gt;"",IF(VLOOKUP(A83,Schlußkurse!A$5:AU$105,43,FALSE)&gt;0,VLOOKUP(A83,Schlußkurse!A$5:AU$105,43,FALSE)/VLOOKUP(A83,Buchwert_je_Aktie!A$3:AJ$103,14,FALSE),""),"")</f>
        <v>#N/A</v>
      </c>
      <c r="L83" s="70" t="e">
        <f>IF(VLOOKUP(A83,Buchwert_je_Aktie!A$3:AJ$103,15,FALSE)&lt;&gt;"",IF(VLOOKUP(A83,Schlußkurse!A$5:AU$105,44,FALSE)&gt;0,VLOOKUP(A83,Schlußkurse!A$5:AU$105,44,FALSE)/VLOOKUP(A83,Buchwert_je_Aktie!A$3:AJ$103,15,FALSE),""),"")</f>
        <v>#N/A</v>
      </c>
      <c r="M83" s="70" t="e">
        <f>IF(VLOOKUP(A83,Buchwert_je_Aktie!A$3:AJ$103,16,FALSE)&lt;&gt;"",IF(VLOOKUP(A83,Schlußkurse!A$5:AU$105,45,FALSE)&gt;0,VLOOKUP(A83,Schlußkurse!A$5:AU$105,45,FALSE)/VLOOKUP(A83,Buchwert_je_Aktie!A$3:AJ$103,16,FALSE),""),"")</f>
        <v>#N/A</v>
      </c>
      <c r="N83" s="70" t="e">
        <f>IF(VLOOKUP(A83,Buchwert_je_Aktie!A$3:AJ$103,17,FALSE)&lt;&gt;"",IF(VLOOKUP(A83,Schlußkurse!A$5:AU$105,46,FALSE)&gt;0,VLOOKUP(A83,Schlußkurse!A$5:AU$105,46,FALSE)/VLOOKUP(A83,Buchwert_je_Aktie!A$3:AJ$103,17,FALSE),""),"")</f>
        <v>#N/A</v>
      </c>
      <c r="O83" s="70" t="e">
        <f>IF(VLOOKUP(A83,Buchwert_je_Aktie!A$3:AJ$103,18,FALSE)&lt;&gt;"",IF(VLOOKUP(A83,Schlußkurse!A$5:AU$105,47,FALSE)&gt;0,VLOOKUP(A83,Schlußkurse!A$5:AU$105,47,FALSE)/VLOOKUP(A83,Buchwert_je_Aktie!A$3:AJ$103,18,FALSE),""),"")</f>
        <v>#N/A</v>
      </c>
      <c r="P83" s="70" t="e">
        <f t="shared" si="4"/>
        <v>#N/A</v>
      </c>
      <c r="Q83" s="3" t="e">
        <f>VLOOKUP(A83,Schlußkurse!A$5:AU$105,35,FALSE)/VLOOKUP(A83,Buchwert_je_Aktie!A$3:AK$103,23,FALSE)</f>
        <v>#N/A</v>
      </c>
      <c r="R83" s="5" t="e">
        <f t="shared" si="5"/>
        <v>#N/A</v>
      </c>
    </row>
    <row r="84" spans="2:18">
      <c r="B84" s="38"/>
      <c r="C84" s="70" t="e">
        <f>IF(VLOOKUP(A84,Buchwert_je_Aktie!A$3:AJ$103,6,FALSE)&lt;&gt;"",IF(VLOOKUP(A84,Schlußkurse!A$5:AU$105,35,FALSE)&gt;0,VLOOKUP(A84,Schlußkurse!A$5:AU$105,35,FALSE) /VLOOKUP(A84,Buchwert_je_Aktie!A$3:AJ$103,6,FALSE),""),"")</f>
        <v>#N/A</v>
      </c>
      <c r="D84" s="70" t="e">
        <f>IF(VLOOKUP(A84,Buchwert_je_Aktie!A$3:AJ$103,7,FALSE)&lt;&gt;"",IF(VLOOKUP(A84,Schlußkurse!A$5:AU$105,36,FALSE)&gt;0,VLOOKUP(A84,Schlußkurse!A$5:AU$105,36,FALSE)/VLOOKUP(A84,Buchwert_je_Aktie!A$3:AJ$103,7,FALSE),""),"")</f>
        <v>#N/A</v>
      </c>
      <c r="E84" s="70" t="e">
        <f>IF(VLOOKUP(A84,Buchwert_je_Aktie!A$3:AJ$103,8,FALSE)&lt;&gt;"",IF(VLOOKUP(A84,Schlußkurse!A$5:AU$105,37,FALSE)&gt;0,VLOOKUP(A84,Schlußkurse!A$5:AU$105,37,FALSE)/VLOOKUP(A84,Buchwert_je_Aktie!A$3:AJ$103,8,FALSE),""),"")</f>
        <v>#N/A</v>
      </c>
      <c r="F84" s="70" t="e">
        <f>IF(VLOOKUP(A84,Buchwert_je_Aktie!A$3:AJ$103,9,FALSE)&lt;&gt;"",IF(VLOOKUP(A84,Schlußkurse!A$5:AU$105,38,FALSE)&gt;0,VLOOKUP(A84,Schlußkurse!A$5:AU$105,38,FALSE)/VLOOKUP(A84,Buchwert_je_Aktie!A$3:AJ$103,9,FALSE),""),"")</f>
        <v>#N/A</v>
      </c>
      <c r="G84" s="70" t="e">
        <f>IF(VLOOKUP(A84,Buchwert_je_Aktie!A$3:AJ$103,10,FALSE)&lt;&gt;"",IF(VLOOKUP(A84,Schlußkurse!A$5:AU$105,39,FALSE)&gt;0,VLOOKUP(A84,Schlußkurse!A$5:AU$105,39,FALSE)/VLOOKUP(A84,Buchwert_je_Aktie!A$3:AJ$103,10,FALSE),""),"")</f>
        <v>#N/A</v>
      </c>
      <c r="H84" s="70" t="e">
        <f>IF(VLOOKUP(A84,Buchwert_je_Aktie!A$3:AJ$103,11,FALSE)&lt;&gt;"",IF(VLOOKUP(A84,Schlußkurse!A$5:AU$105,40,FALSE)&gt;0,VLOOKUP(A84,Schlußkurse!A$5:AU$105,40,FALSE)/VLOOKUP(A84,Buchwert_je_Aktie!A$3:AJ$103,11,FALSE),""),"")</f>
        <v>#N/A</v>
      </c>
      <c r="I84" s="70" t="e">
        <f>IF(VLOOKUP(A84,Buchwert_je_Aktie!A$3:AJ$103,12,FALSE)&lt;&gt;"",IF(VLOOKUP(A84,Schlußkurse!A$5:AU$105,41,FALSE)&gt;0,VLOOKUP(A84,Schlußkurse!A$5:AU$105,41,FALSE)/VLOOKUP(A84,Buchwert_je_Aktie!A$3:AJ$103,12,FALSE),""),"")</f>
        <v>#N/A</v>
      </c>
      <c r="J84" s="70" t="e">
        <f>IF(VLOOKUP(A84,Buchwert_je_Aktie!A$3:AJ$103,13,FALSE)&lt;&gt;"",IF(VLOOKUP(A84,Schlußkurse!A$5:AU$105,42,FALSE)&gt;0,VLOOKUP(A84,Schlußkurse!A$5:AU$105,42,FALSE)/VLOOKUP(A84,Buchwert_je_Aktie!A$3:AJ$103,13,FALSE),""),"")</f>
        <v>#N/A</v>
      </c>
      <c r="K84" s="70" t="e">
        <f>IF(VLOOKUP(A84,Buchwert_je_Aktie!A$3:AJ$103,14,FALSE)&lt;&gt;"",IF(VLOOKUP(A84,Schlußkurse!A$5:AU$105,43,FALSE)&gt;0,VLOOKUP(A84,Schlußkurse!A$5:AU$105,43,FALSE)/VLOOKUP(A84,Buchwert_je_Aktie!A$3:AJ$103,14,FALSE),""),"")</f>
        <v>#N/A</v>
      </c>
      <c r="L84" s="70" t="e">
        <f>IF(VLOOKUP(A84,Buchwert_je_Aktie!A$3:AJ$103,15,FALSE)&lt;&gt;"",IF(VLOOKUP(A84,Schlußkurse!A$5:AU$105,44,FALSE)&gt;0,VLOOKUP(A84,Schlußkurse!A$5:AU$105,44,FALSE)/VLOOKUP(A84,Buchwert_je_Aktie!A$3:AJ$103,15,FALSE),""),"")</f>
        <v>#N/A</v>
      </c>
      <c r="M84" s="70" t="e">
        <f>IF(VLOOKUP(A84,Buchwert_je_Aktie!A$3:AJ$103,16,FALSE)&lt;&gt;"",IF(VLOOKUP(A84,Schlußkurse!A$5:AU$105,45,FALSE)&gt;0,VLOOKUP(A84,Schlußkurse!A$5:AU$105,45,FALSE)/VLOOKUP(A84,Buchwert_je_Aktie!A$3:AJ$103,16,FALSE),""),"")</f>
        <v>#N/A</v>
      </c>
      <c r="N84" s="70" t="e">
        <f>IF(VLOOKUP(A84,Buchwert_je_Aktie!A$3:AJ$103,17,FALSE)&lt;&gt;"",IF(VLOOKUP(A84,Schlußkurse!A$5:AU$105,46,FALSE)&gt;0,VLOOKUP(A84,Schlußkurse!A$5:AU$105,46,FALSE)/VLOOKUP(A84,Buchwert_je_Aktie!A$3:AJ$103,17,FALSE),""),"")</f>
        <v>#N/A</v>
      </c>
      <c r="O84" s="70" t="e">
        <f>IF(VLOOKUP(A84,Buchwert_je_Aktie!A$3:AJ$103,18,FALSE)&lt;&gt;"",IF(VLOOKUP(A84,Schlußkurse!A$5:AU$105,47,FALSE)&gt;0,VLOOKUP(A84,Schlußkurse!A$5:AU$105,47,FALSE)/VLOOKUP(A84,Buchwert_je_Aktie!A$3:AJ$103,18,FALSE),""),"")</f>
        <v>#N/A</v>
      </c>
      <c r="P84" s="70" t="e">
        <f t="shared" si="4"/>
        <v>#N/A</v>
      </c>
      <c r="Q84" s="3" t="e">
        <f>VLOOKUP(A84,Schlußkurse!A$5:AU$105,35,FALSE)/VLOOKUP(A84,Buchwert_je_Aktie!A$3:AK$103,23,FALSE)</f>
        <v>#N/A</v>
      </c>
      <c r="R84" s="5" t="e">
        <f t="shared" si="5"/>
        <v>#N/A</v>
      </c>
    </row>
    <row r="85" spans="2:18">
      <c r="B85" s="38"/>
      <c r="C85" s="70" t="e">
        <f>IF(VLOOKUP(A85,Buchwert_je_Aktie!A$3:AJ$103,6,FALSE)&lt;&gt;"",IF(VLOOKUP(A85,Schlußkurse!A$5:AU$105,35,FALSE)&gt;0,VLOOKUP(A85,Schlußkurse!A$5:AU$105,35,FALSE) /VLOOKUP(A85,Buchwert_je_Aktie!A$3:AJ$103,6,FALSE),""),"")</f>
        <v>#N/A</v>
      </c>
      <c r="D85" s="70" t="e">
        <f>IF(VLOOKUP(A85,Buchwert_je_Aktie!A$3:AJ$103,7,FALSE)&lt;&gt;"",IF(VLOOKUP(A85,Schlußkurse!A$5:AU$105,36,FALSE)&gt;0,VLOOKUP(A85,Schlußkurse!A$5:AU$105,36,FALSE)/VLOOKUP(A85,Buchwert_je_Aktie!A$3:AJ$103,7,FALSE),""),"")</f>
        <v>#N/A</v>
      </c>
      <c r="E85" s="70" t="e">
        <f>IF(VLOOKUP(A85,Buchwert_je_Aktie!A$3:AJ$103,8,FALSE)&lt;&gt;"",IF(VLOOKUP(A85,Schlußkurse!A$5:AU$105,37,FALSE)&gt;0,VLOOKUP(A85,Schlußkurse!A$5:AU$105,37,FALSE)/VLOOKUP(A85,Buchwert_je_Aktie!A$3:AJ$103,8,FALSE),""),"")</f>
        <v>#N/A</v>
      </c>
      <c r="F85" s="70" t="e">
        <f>IF(VLOOKUP(A85,Buchwert_je_Aktie!A$3:AJ$103,9,FALSE)&lt;&gt;"",IF(VLOOKUP(A85,Schlußkurse!A$5:AU$105,38,FALSE)&gt;0,VLOOKUP(A85,Schlußkurse!A$5:AU$105,38,FALSE)/VLOOKUP(A85,Buchwert_je_Aktie!A$3:AJ$103,9,FALSE),""),"")</f>
        <v>#N/A</v>
      </c>
      <c r="G85" s="70" t="e">
        <f>IF(VLOOKUP(A85,Buchwert_je_Aktie!A$3:AJ$103,10,FALSE)&lt;&gt;"",IF(VLOOKUP(A85,Schlußkurse!A$5:AU$105,39,FALSE)&gt;0,VLOOKUP(A85,Schlußkurse!A$5:AU$105,39,FALSE)/VLOOKUP(A85,Buchwert_je_Aktie!A$3:AJ$103,10,FALSE),""),"")</f>
        <v>#N/A</v>
      </c>
      <c r="H85" s="70" t="e">
        <f>IF(VLOOKUP(A85,Buchwert_je_Aktie!A$3:AJ$103,11,FALSE)&lt;&gt;"",IF(VLOOKUP(A85,Schlußkurse!A$5:AU$105,40,FALSE)&gt;0,VLOOKUP(A85,Schlußkurse!A$5:AU$105,40,FALSE)/VLOOKUP(A85,Buchwert_je_Aktie!A$3:AJ$103,11,FALSE),""),"")</f>
        <v>#N/A</v>
      </c>
      <c r="I85" s="70" t="e">
        <f>IF(VLOOKUP(A85,Buchwert_je_Aktie!A$3:AJ$103,12,FALSE)&lt;&gt;"",IF(VLOOKUP(A85,Schlußkurse!A$5:AU$105,41,FALSE)&gt;0,VLOOKUP(A85,Schlußkurse!A$5:AU$105,41,FALSE)/VLOOKUP(A85,Buchwert_je_Aktie!A$3:AJ$103,12,FALSE),""),"")</f>
        <v>#N/A</v>
      </c>
      <c r="J85" s="70" t="e">
        <f>IF(VLOOKUP(A85,Buchwert_je_Aktie!A$3:AJ$103,13,FALSE)&lt;&gt;"",IF(VLOOKUP(A85,Schlußkurse!A$5:AU$105,42,FALSE)&gt;0,VLOOKUP(A85,Schlußkurse!A$5:AU$105,42,FALSE)/VLOOKUP(A85,Buchwert_je_Aktie!A$3:AJ$103,13,FALSE),""),"")</f>
        <v>#N/A</v>
      </c>
      <c r="K85" s="70" t="e">
        <f>IF(VLOOKUP(A85,Buchwert_je_Aktie!A$3:AJ$103,14,FALSE)&lt;&gt;"",IF(VLOOKUP(A85,Schlußkurse!A$5:AU$105,43,FALSE)&gt;0,VLOOKUP(A85,Schlußkurse!A$5:AU$105,43,FALSE)/VLOOKUP(A85,Buchwert_je_Aktie!A$3:AJ$103,14,FALSE),""),"")</f>
        <v>#N/A</v>
      </c>
      <c r="L85" s="70" t="e">
        <f>IF(VLOOKUP(A85,Buchwert_je_Aktie!A$3:AJ$103,15,FALSE)&lt;&gt;"",IF(VLOOKUP(A85,Schlußkurse!A$5:AU$105,44,FALSE)&gt;0,VLOOKUP(A85,Schlußkurse!A$5:AU$105,44,FALSE)/VLOOKUP(A85,Buchwert_je_Aktie!A$3:AJ$103,15,FALSE),""),"")</f>
        <v>#N/A</v>
      </c>
      <c r="M85" s="70" t="e">
        <f>IF(VLOOKUP(A85,Buchwert_je_Aktie!A$3:AJ$103,16,FALSE)&lt;&gt;"",IF(VLOOKUP(A85,Schlußkurse!A$5:AU$105,45,FALSE)&gt;0,VLOOKUP(A85,Schlußkurse!A$5:AU$105,45,FALSE)/VLOOKUP(A85,Buchwert_je_Aktie!A$3:AJ$103,16,FALSE),""),"")</f>
        <v>#N/A</v>
      </c>
      <c r="N85" s="70" t="e">
        <f>IF(VLOOKUP(A85,Buchwert_je_Aktie!A$3:AJ$103,17,FALSE)&lt;&gt;"",IF(VLOOKUP(A85,Schlußkurse!A$5:AU$105,46,FALSE)&gt;0,VLOOKUP(A85,Schlußkurse!A$5:AU$105,46,FALSE)/VLOOKUP(A85,Buchwert_je_Aktie!A$3:AJ$103,17,FALSE),""),"")</f>
        <v>#N/A</v>
      </c>
      <c r="O85" s="70" t="e">
        <f>IF(VLOOKUP(A85,Buchwert_je_Aktie!A$3:AJ$103,18,FALSE)&lt;&gt;"",IF(VLOOKUP(A85,Schlußkurse!A$5:AU$105,47,FALSE)&gt;0,VLOOKUP(A85,Schlußkurse!A$5:AU$105,47,FALSE)/VLOOKUP(A85,Buchwert_je_Aktie!A$3:AJ$103,18,FALSE),""),"")</f>
        <v>#N/A</v>
      </c>
      <c r="P85" s="70" t="e">
        <f t="shared" si="4"/>
        <v>#N/A</v>
      </c>
      <c r="Q85" s="3" t="e">
        <f>VLOOKUP(A85,Schlußkurse!A$5:AU$105,35,FALSE)/VLOOKUP(A85,Buchwert_je_Aktie!A$3:AK$103,23,FALSE)</f>
        <v>#N/A</v>
      </c>
      <c r="R85" s="5" t="e">
        <f t="shared" si="5"/>
        <v>#N/A</v>
      </c>
    </row>
    <row r="86" spans="2:18">
      <c r="B86" s="38"/>
      <c r="C86" s="70" t="e">
        <f>IF(VLOOKUP(A86,Buchwert_je_Aktie!A$3:AJ$103,6,FALSE)&lt;&gt;"",IF(VLOOKUP(A86,Schlußkurse!A$5:AU$105,35,FALSE)&gt;0,VLOOKUP(A86,Schlußkurse!A$5:AU$105,35,FALSE) /VLOOKUP(A86,Buchwert_je_Aktie!A$3:AJ$103,6,FALSE),""),"")</f>
        <v>#N/A</v>
      </c>
      <c r="D86" s="70" t="e">
        <f>IF(VLOOKUP(A86,Buchwert_je_Aktie!A$3:AJ$103,7,FALSE)&lt;&gt;"",IF(VLOOKUP(A86,Schlußkurse!A$5:AU$105,36,FALSE)&gt;0,VLOOKUP(A86,Schlußkurse!A$5:AU$105,36,FALSE)/VLOOKUP(A86,Buchwert_je_Aktie!A$3:AJ$103,7,FALSE),""),"")</f>
        <v>#N/A</v>
      </c>
      <c r="E86" s="70" t="e">
        <f>IF(VLOOKUP(A86,Buchwert_je_Aktie!A$3:AJ$103,8,FALSE)&lt;&gt;"",IF(VLOOKUP(A86,Schlußkurse!A$5:AU$105,37,FALSE)&gt;0,VLOOKUP(A86,Schlußkurse!A$5:AU$105,37,FALSE)/VLOOKUP(A86,Buchwert_je_Aktie!A$3:AJ$103,8,FALSE),""),"")</f>
        <v>#N/A</v>
      </c>
      <c r="F86" s="70" t="e">
        <f>IF(VLOOKUP(A86,Buchwert_je_Aktie!A$3:AJ$103,9,FALSE)&lt;&gt;"",IF(VLOOKUP(A86,Schlußkurse!A$5:AU$105,38,FALSE)&gt;0,VLOOKUP(A86,Schlußkurse!A$5:AU$105,38,FALSE)/VLOOKUP(A86,Buchwert_je_Aktie!A$3:AJ$103,9,FALSE),""),"")</f>
        <v>#N/A</v>
      </c>
      <c r="G86" s="70" t="e">
        <f>IF(VLOOKUP(A86,Buchwert_je_Aktie!A$3:AJ$103,10,FALSE)&lt;&gt;"",IF(VLOOKUP(A86,Schlußkurse!A$5:AU$105,39,FALSE)&gt;0,VLOOKUP(A86,Schlußkurse!A$5:AU$105,39,FALSE)/VLOOKUP(A86,Buchwert_je_Aktie!A$3:AJ$103,10,FALSE),""),"")</f>
        <v>#N/A</v>
      </c>
      <c r="H86" s="70" t="e">
        <f>IF(VLOOKUP(A86,Buchwert_je_Aktie!A$3:AJ$103,11,FALSE)&lt;&gt;"",IF(VLOOKUP(A86,Schlußkurse!A$5:AU$105,40,FALSE)&gt;0,VLOOKUP(A86,Schlußkurse!A$5:AU$105,40,FALSE)/VLOOKUP(A86,Buchwert_je_Aktie!A$3:AJ$103,11,FALSE),""),"")</f>
        <v>#N/A</v>
      </c>
      <c r="I86" s="70" t="e">
        <f>IF(VLOOKUP(A86,Buchwert_je_Aktie!A$3:AJ$103,12,FALSE)&lt;&gt;"",IF(VLOOKUP(A86,Schlußkurse!A$5:AU$105,41,FALSE)&gt;0,VLOOKUP(A86,Schlußkurse!A$5:AU$105,41,FALSE)/VLOOKUP(A86,Buchwert_je_Aktie!A$3:AJ$103,12,FALSE),""),"")</f>
        <v>#N/A</v>
      </c>
      <c r="J86" s="70" t="e">
        <f>IF(VLOOKUP(A86,Buchwert_je_Aktie!A$3:AJ$103,13,FALSE)&lt;&gt;"",IF(VLOOKUP(A86,Schlußkurse!A$5:AU$105,42,FALSE)&gt;0,VLOOKUP(A86,Schlußkurse!A$5:AU$105,42,FALSE)/VLOOKUP(A86,Buchwert_je_Aktie!A$3:AJ$103,13,FALSE),""),"")</f>
        <v>#N/A</v>
      </c>
      <c r="K86" s="70" t="e">
        <f>IF(VLOOKUP(A86,Buchwert_je_Aktie!A$3:AJ$103,14,FALSE)&lt;&gt;"",IF(VLOOKUP(A86,Schlußkurse!A$5:AU$105,43,FALSE)&gt;0,VLOOKUP(A86,Schlußkurse!A$5:AU$105,43,FALSE)/VLOOKUP(A86,Buchwert_je_Aktie!A$3:AJ$103,14,FALSE),""),"")</f>
        <v>#N/A</v>
      </c>
      <c r="L86" s="70" t="e">
        <f>IF(VLOOKUP(A86,Buchwert_je_Aktie!A$3:AJ$103,15,FALSE)&lt;&gt;"",IF(VLOOKUP(A86,Schlußkurse!A$5:AU$105,44,FALSE)&gt;0,VLOOKUP(A86,Schlußkurse!A$5:AU$105,44,FALSE)/VLOOKUP(A86,Buchwert_je_Aktie!A$3:AJ$103,15,FALSE),""),"")</f>
        <v>#N/A</v>
      </c>
      <c r="M86" s="70" t="e">
        <f>IF(VLOOKUP(A86,Buchwert_je_Aktie!A$3:AJ$103,16,FALSE)&lt;&gt;"",IF(VLOOKUP(A86,Schlußkurse!A$5:AU$105,45,FALSE)&gt;0,VLOOKUP(A86,Schlußkurse!A$5:AU$105,45,FALSE)/VLOOKUP(A86,Buchwert_je_Aktie!A$3:AJ$103,16,FALSE),""),"")</f>
        <v>#N/A</v>
      </c>
      <c r="N86" s="70" t="e">
        <f>IF(VLOOKUP(A86,Buchwert_je_Aktie!A$3:AJ$103,17,FALSE)&lt;&gt;"",IF(VLOOKUP(A86,Schlußkurse!A$5:AU$105,46,FALSE)&gt;0,VLOOKUP(A86,Schlußkurse!A$5:AU$105,46,FALSE)/VLOOKUP(A86,Buchwert_je_Aktie!A$3:AJ$103,17,FALSE),""),"")</f>
        <v>#N/A</v>
      </c>
      <c r="O86" s="70" t="e">
        <f>IF(VLOOKUP(A86,Buchwert_je_Aktie!A$3:AJ$103,18,FALSE)&lt;&gt;"",IF(VLOOKUP(A86,Schlußkurse!A$5:AU$105,47,FALSE)&gt;0,VLOOKUP(A86,Schlußkurse!A$5:AU$105,47,FALSE)/VLOOKUP(A86,Buchwert_je_Aktie!A$3:AJ$103,18,FALSE),""),"")</f>
        <v>#N/A</v>
      </c>
      <c r="P86" s="70" t="e">
        <f t="shared" si="4"/>
        <v>#N/A</v>
      </c>
      <c r="Q86" s="3" t="e">
        <f>VLOOKUP(A86,Schlußkurse!A$5:AU$105,35,FALSE)/VLOOKUP(A86,Buchwert_je_Aktie!A$3:AK$103,23,FALSE)</f>
        <v>#N/A</v>
      </c>
      <c r="R86" s="5" t="e">
        <f t="shared" si="5"/>
        <v>#N/A</v>
      </c>
    </row>
    <row r="87" spans="2:18">
      <c r="B87" s="38"/>
      <c r="C87" s="70" t="e">
        <f>IF(VLOOKUP(A87,Buchwert_je_Aktie!A$3:AJ$103,6,FALSE)&lt;&gt;"",IF(VLOOKUP(A87,Schlußkurse!A$5:AU$105,35,FALSE)&gt;0,VLOOKUP(A87,Schlußkurse!A$5:AU$105,35,FALSE) /VLOOKUP(A87,Buchwert_je_Aktie!A$3:AJ$103,6,FALSE),""),"")</f>
        <v>#N/A</v>
      </c>
      <c r="D87" s="70" t="e">
        <f>IF(VLOOKUP(A87,Buchwert_je_Aktie!A$3:AJ$103,7,FALSE)&lt;&gt;"",IF(VLOOKUP(A87,Schlußkurse!A$5:AU$105,36,FALSE)&gt;0,VLOOKUP(A87,Schlußkurse!A$5:AU$105,36,FALSE)/VLOOKUP(A87,Buchwert_je_Aktie!A$3:AJ$103,7,FALSE),""),"")</f>
        <v>#N/A</v>
      </c>
      <c r="E87" s="70" t="e">
        <f>IF(VLOOKUP(A87,Buchwert_je_Aktie!A$3:AJ$103,8,FALSE)&lt;&gt;"",IF(VLOOKUP(A87,Schlußkurse!A$5:AU$105,37,FALSE)&gt;0,VLOOKUP(A87,Schlußkurse!A$5:AU$105,37,FALSE)/VLOOKUP(A87,Buchwert_je_Aktie!A$3:AJ$103,8,FALSE),""),"")</f>
        <v>#N/A</v>
      </c>
      <c r="F87" s="70" t="e">
        <f>IF(VLOOKUP(A87,Buchwert_je_Aktie!A$3:AJ$103,9,FALSE)&lt;&gt;"",IF(VLOOKUP(A87,Schlußkurse!A$5:AU$105,38,FALSE)&gt;0,VLOOKUP(A87,Schlußkurse!A$5:AU$105,38,FALSE)/VLOOKUP(A87,Buchwert_je_Aktie!A$3:AJ$103,9,FALSE),""),"")</f>
        <v>#N/A</v>
      </c>
      <c r="G87" s="70" t="e">
        <f>IF(VLOOKUP(A87,Buchwert_je_Aktie!A$3:AJ$103,10,FALSE)&lt;&gt;"",IF(VLOOKUP(A87,Schlußkurse!A$5:AU$105,39,FALSE)&gt;0,VLOOKUP(A87,Schlußkurse!A$5:AU$105,39,FALSE)/VLOOKUP(A87,Buchwert_je_Aktie!A$3:AJ$103,10,FALSE),""),"")</f>
        <v>#N/A</v>
      </c>
      <c r="H87" s="70" t="e">
        <f>IF(VLOOKUP(A87,Buchwert_je_Aktie!A$3:AJ$103,11,FALSE)&lt;&gt;"",IF(VLOOKUP(A87,Schlußkurse!A$5:AU$105,40,FALSE)&gt;0,VLOOKUP(A87,Schlußkurse!A$5:AU$105,40,FALSE)/VLOOKUP(A87,Buchwert_je_Aktie!A$3:AJ$103,11,FALSE),""),"")</f>
        <v>#N/A</v>
      </c>
      <c r="I87" s="70" t="e">
        <f>IF(VLOOKUP(A87,Buchwert_je_Aktie!A$3:AJ$103,12,FALSE)&lt;&gt;"",IF(VLOOKUP(A87,Schlußkurse!A$5:AU$105,41,FALSE)&gt;0,VLOOKUP(A87,Schlußkurse!A$5:AU$105,41,FALSE)/VLOOKUP(A87,Buchwert_je_Aktie!A$3:AJ$103,12,FALSE),""),"")</f>
        <v>#N/A</v>
      </c>
      <c r="J87" s="70" t="e">
        <f>IF(VLOOKUP(A87,Buchwert_je_Aktie!A$3:AJ$103,13,FALSE)&lt;&gt;"",IF(VLOOKUP(A87,Schlußkurse!A$5:AU$105,42,FALSE)&gt;0,VLOOKUP(A87,Schlußkurse!A$5:AU$105,42,FALSE)/VLOOKUP(A87,Buchwert_je_Aktie!A$3:AJ$103,13,FALSE),""),"")</f>
        <v>#N/A</v>
      </c>
      <c r="K87" s="70" t="e">
        <f>IF(VLOOKUP(A87,Buchwert_je_Aktie!A$3:AJ$103,14,FALSE)&lt;&gt;"",IF(VLOOKUP(A87,Schlußkurse!A$5:AU$105,43,FALSE)&gt;0,VLOOKUP(A87,Schlußkurse!A$5:AU$105,43,FALSE)/VLOOKUP(A87,Buchwert_je_Aktie!A$3:AJ$103,14,FALSE),""),"")</f>
        <v>#N/A</v>
      </c>
      <c r="L87" s="70" t="e">
        <f>IF(VLOOKUP(A87,Buchwert_je_Aktie!A$3:AJ$103,15,FALSE)&lt;&gt;"",IF(VLOOKUP(A87,Schlußkurse!A$5:AU$105,44,FALSE)&gt;0,VLOOKUP(A87,Schlußkurse!A$5:AU$105,44,FALSE)/VLOOKUP(A87,Buchwert_je_Aktie!A$3:AJ$103,15,FALSE),""),"")</f>
        <v>#N/A</v>
      </c>
      <c r="M87" s="70" t="e">
        <f>IF(VLOOKUP(A87,Buchwert_je_Aktie!A$3:AJ$103,16,FALSE)&lt;&gt;"",IF(VLOOKUP(A87,Schlußkurse!A$5:AU$105,45,FALSE)&gt;0,VLOOKUP(A87,Schlußkurse!A$5:AU$105,45,FALSE)/VLOOKUP(A87,Buchwert_je_Aktie!A$3:AJ$103,16,FALSE),""),"")</f>
        <v>#N/A</v>
      </c>
      <c r="N87" s="70" t="e">
        <f>IF(VLOOKUP(A87,Buchwert_je_Aktie!A$3:AJ$103,17,FALSE)&lt;&gt;"",IF(VLOOKUP(A87,Schlußkurse!A$5:AU$105,46,FALSE)&gt;0,VLOOKUP(A87,Schlußkurse!A$5:AU$105,46,FALSE)/VLOOKUP(A87,Buchwert_je_Aktie!A$3:AJ$103,17,FALSE),""),"")</f>
        <v>#N/A</v>
      </c>
      <c r="O87" s="70" t="e">
        <f>IF(VLOOKUP(A87,Buchwert_je_Aktie!A$3:AJ$103,18,FALSE)&lt;&gt;"",IF(VLOOKUP(A87,Schlußkurse!A$5:AU$105,47,FALSE)&gt;0,VLOOKUP(A87,Schlußkurse!A$5:AU$105,47,FALSE)/VLOOKUP(A87,Buchwert_je_Aktie!A$3:AJ$103,18,FALSE),""),"")</f>
        <v>#N/A</v>
      </c>
      <c r="P87" s="70" t="e">
        <f t="shared" si="4"/>
        <v>#N/A</v>
      </c>
      <c r="Q87" s="3" t="e">
        <f>VLOOKUP(A87,Schlußkurse!A$5:AU$105,35,FALSE)/VLOOKUP(A87,Buchwert_je_Aktie!A$3:AK$103,23,FALSE)</f>
        <v>#N/A</v>
      </c>
      <c r="R87" s="5" t="e">
        <f t="shared" si="5"/>
        <v>#N/A</v>
      </c>
    </row>
    <row r="88" spans="2:18">
      <c r="B88" s="38"/>
      <c r="C88" s="70" t="e">
        <f>IF(VLOOKUP(A88,Buchwert_je_Aktie!A$3:AJ$103,6,FALSE)&lt;&gt;"",IF(VLOOKUP(A88,Schlußkurse!A$5:AU$105,35,FALSE)&gt;0,VLOOKUP(A88,Schlußkurse!A$5:AU$105,35,FALSE) /VLOOKUP(A88,Buchwert_je_Aktie!A$3:AJ$103,6,FALSE),""),"")</f>
        <v>#N/A</v>
      </c>
      <c r="D88" s="70" t="e">
        <f>IF(VLOOKUP(A88,Buchwert_je_Aktie!A$3:AJ$103,7,FALSE)&lt;&gt;"",IF(VLOOKUP(A88,Schlußkurse!A$5:AU$105,36,FALSE)&gt;0,VLOOKUP(A88,Schlußkurse!A$5:AU$105,36,FALSE)/VLOOKUP(A88,Buchwert_je_Aktie!A$3:AJ$103,7,FALSE),""),"")</f>
        <v>#N/A</v>
      </c>
      <c r="E88" s="70" t="e">
        <f>IF(VLOOKUP(A88,Buchwert_je_Aktie!A$3:AJ$103,8,FALSE)&lt;&gt;"",IF(VLOOKUP(A88,Schlußkurse!A$5:AU$105,37,FALSE)&gt;0,VLOOKUP(A88,Schlußkurse!A$5:AU$105,37,FALSE)/VLOOKUP(A88,Buchwert_je_Aktie!A$3:AJ$103,8,FALSE),""),"")</f>
        <v>#N/A</v>
      </c>
      <c r="F88" s="70" t="e">
        <f>IF(VLOOKUP(A88,Buchwert_je_Aktie!A$3:AJ$103,9,FALSE)&lt;&gt;"",IF(VLOOKUP(A88,Schlußkurse!A$5:AU$105,38,FALSE)&gt;0,VLOOKUP(A88,Schlußkurse!A$5:AU$105,38,FALSE)/VLOOKUP(A88,Buchwert_je_Aktie!A$3:AJ$103,9,FALSE),""),"")</f>
        <v>#N/A</v>
      </c>
      <c r="G88" s="70" t="e">
        <f>IF(VLOOKUP(A88,Buchwert_je_Aktie!A$3:AJ$103,10,FALSE)&lt;&gt;"",IF(VLOOKUP(A88,Schlußkurse!A$5:AU$105,39,FALSE)&gt;0,VLOOKUP(A88,Schlußkurse!A$5:AU$105,39,FALSE)/VLOOKUP(A88,Buchwert_je_Aktie!A$3:AJ$103,10,FALSE),""),"")</f>
        <v>#N/A</v>
      </c>
      <c r="H88" s="70" t="e">
        <f>IF(VLOOKUP(A88,Buchwert_je_Aktie!A$3:AJ$103,11,FALSE)&lt;&gt;"",IF(VLOOKUP(A88,Schlußkurse!A$5:AU$105,40,FALSE)&gt;0,VLOOKUP(A88,Schlußkurse!A$5:AU$105,40,FALSE)/VLOOKUP(A88,Buchwert_je_Aktie!A$3:AJ$103,11,FALSE),""),"")</f>
        <v>#N/A</v>
      </c>
      <c r="I88" s="70" t="e">
        <f>IF(VLOOKUP(A88,Buchwert_je_Aktie!A$3:AJ$103,12,FALSE)&lt;&gt;"",IF(VLOOKUP(A88,Schlußkurse!A$5:AU$105,41,FALSE)&gt;0,VLOOKUP(A88,Schlußkurse!A$5:AU$105,41,FALSE)/VLOOKUP(A88,Buchwert_je_Aktie!A$3:AJ$103,12,FALSE),""),"")</f>
        <v>#N/A</v>
      </c>
      <c r="J88" s="70" t="e">
        <f>IF(VLOOKUP(A88,Buchwert_je_Aktie!A$3:AJ$103,13,FALSE)&lt;&gt;"",IF(VLOOKUP(A88,Schlußkurse!A$5:AU$105,42,FALSE)&gt;0,VLOOKUP(A88,Schlußkurse!A$5:AU$105,42,FALSE)/VLOOKUP(A88,Buchwert_je_Aktie!A$3:AJ$103,13,FALSE),""),"")</f>
        <v>#N/A</v>
      </c>
      <c r="K88" s="70" t="e">
        <f>IF(VLOOKUP(A88,Buchwert_je_Aktie!A$3:AJ$103,14,FALSE)&lt;&gt;"",IF(VLOOKUP(A88,Schlußkurse!A$5:AU$105,43,FALSE)&gt;0,VLOOKUP(A88,Schlußkurse!A$5:AU$105,43,FALSE)/VLOOKUP(A88,Buchwert_je_Aktie!A$3:AJ$103,14,FALSE),""),"")</f>
        <v>#N/A</v>
      </c>
      <c r="L88" s="70" t="e">
        <f>IF(VLOOKUP(A88,Buchwert_je_Aktie!A$3:AJ$103,15,FALSE)&lt;&gt;"",IF(VLOOKUP(A88,Schlußkurse!A$5:AU$105,44,FALSE)&gt;0,VLOOKUP(A88,Schlußkurse!A$5:AU$105,44,FALSE)/VLOOKUP(A88,Buchwert_je_Aktie!A$3:AJ$103,15,FALSE),""),"")</f>
        <v>#N/A</v>
      </c>
      <c r="M88" s="70" t="e">
        <f>IF(VLOOKUP(A88,Buchwert_je_Aktie!A$3:AJ$103,16,FALSE)&lt;&gt;"",IF(VLOOKUP(A88,Schlußkurse!A$5:AU$105,45,FALSE)&gt;0,VLOOKUP(A88,Schlußkurse!A$5:AU$105,45,FALSE)/VLOOKUP(A88,Buchwert_je_Aktie!A$3:AJ$103,16,FALSE),""),"")</f>
        <v>#N/A</v>
      </c>
      <c r="N88" s="70" t="e">
        <f>IF(VLOOKUP(A88,Buchwert_je_Aktie!A$3:AJ$103,17,FALSE)&lt;&gt;"",IF(VLOOKUP(A88,Schlußkurse!A$5:AU$105,46,FALSE)&gt;0,VLOOKUP(A88,Schlußkurse!A$5:AU$105,46,FALSE)/VLOOKUP(A88,Buchwert_je_Aktie!A$3:AJ$103,17,FALSE),""),"")</f>
        <v>#N/A</v>
      </c>
      <c r="O88" s="70" t="e">
        <f>IF(VLOOKUP(A88,Buchwert_je_Aktie!A$3:AJ$103,18,FALSE)&lt;&gt;"",IF(VLOOKUP(A88,Schlußkurse!A$5:AU$105,47,FALSE)&gt;0,VLOOKUP(A88,Schlußkurse!A$5:AU$105,47,FALSE)/VLOOKUP(A88,Buchwert_je_Aktie!A$3:AJ$103,18,FALSE),""),"")</f>
        <v>#N/A</v>
      </c>
      <c r="P88" s="70" t="e">
        <f t="shared" si="4"/>
        <v>#N/A</v>
      </c>
      <c r="Q88" s="3" t="e">
        <f>VLOOKUP(A88,Schlußkurse!A$5:AU$105,35,FALSE)/VLOOKUP(A88,Buchwert_je_Aktie!A$3:AK$103,23,FALSE)</f>
        <v>#N/A</v>
      </c>
      <c r="R88" s="5" t="e">
        <f t="shared" si="5"/>
        <v>#N/A</v>
      </c>
    </row>
    <row r="89" spans="2:18">
      <c r="B89" s="38"/>
      <c r="C89" s="70" t="e">
        <f>IF(VLOOKUP(A89,Buchwert_je_Aktie!A$3:AJ$103,6,FALSE)&lt;&gt;"",IF(VLOOKUP(A89,Schlußkurse!A$5:AU$105,35,FALSE)&gt;0,VLOOKUP(A89,Schlußkurse!A$5:AU$105,35,FALSE) /VLOOKUP(A89,Buchwert_je_Aktie!A$3:AJ$103,6,FALSE),""),"")</f>
        <v>#N/A</v>
      </c>
      <c r="D89" s="70" t="e">
        <f>IF(VLOOKUP(A89,Buchwert_je_Aktie!A$3:AJ$103,7,FALSE)&lt;&gt;"",IF(VLOOKUP(A89,Schlußkurse!A$5:AU$105,36,FALSE)&gt;0,VLOOKUP(A89,Schlußkurse!A$5:AU$105,36,FALSE)/VLOOKUP(A89,Buchwert_je_Aktie!A$3:AJ$103,7,FALSE),""),"")</f>
        <v>#N/A</v>
      </c>
      <c r="E89" s="70" t="e">
        <f>IF(VLOOKUP(A89,Buchwert_je_Aktie!A$3:AJ$103,8,FALSE)&lt;&gt;"",IF(VLOOKUP(A89,Schlußkurse!A$5:AU$105,37,FALSE)&gt;0,VLOOKUP(A89,Schlußkurse!A$5:AU$105,37,FALSE)/VLOOKUP(A89,Buchwert_je_Aktie!A$3:AJ$103,8,FALSE),""),"")</f>
        <v>#N/A</v>
      </c>
      <c r="F89" s="70" t="e">
        <f>IF(VLOOKUP(A89,Buchwert_je_Aktie!A$3:AJ$103,9,FALSE)&lt;&gt;"",IF(VLOOKUP(A89,Schlußkurse!A$5:AU$105,38,FALSE)&gt;0,VLOOKUP(A89,Schlußkurse!A$5:AU$105,38,FALSE)/VLOOKUP(A89,Buchwert_je_Aktie!A$3:AJ$103,9,FALSE),""),"")</f>
        <v>#N/A</v>
      </c>
      <c r="G89" s="70" t="e">
        <f>IF(VLOOKUP(A89,Buchwert_je_Aktie!A$3:AJ$103,10,FALSE)&lt;&gt;"",IF(VLOOKUP(A89,Schlußkurse!A$5:AU$105,39,FALSE)&gt;0,VLOOKUP(A89,Schlußkurse!A$5:AU$105,39,FALSE)/VLOOKUP(A89,Buchwert_je_Aktie!A$3:AJ$103,10,FALSE),""),"")</f>
        <v>#N/A</v>
      </c>
      <c r="H89" s="70" t="e">
        <f>IF(VLOOKUP(A89,Buchwert_je_Aktie!A$3:AJ$103,11,FALSE)&lt;&gt;"",IF(VLOOKUP(A89,Schlußkurse!A$5:AU$105,40,FALSE)&gt;0,VLOOKUP(A89,Schlußkurse!A$5:AU$105,40,FALSE)/VLOOKUP(A89,Buchwert_je_Aktie!A$3:AJ$103,11,FALSE),""),"")</f>
        <v>#N/A</v>
      </c>
      <c r="I89" s="70" t="e">
        <f>IF(VLOOKUP(A89,Buchwert_je_Aktie!A$3:AJ$103,12,FALSE)&lt;&gt;"",IF(VLOOKUP(A89,Schlußkurse!A$5:AU$105,41,FALSE)&gt;0,VLOOKUP(A89,Schlußkurse!A$5:AU$105,41,FALSE)/VLOOKUP(A89,Buchwert_je_Aktie!A$3:AJ$103,12,FALSE),""),"")</f>
        <v>#N/A</v>
      </c>
      <c r="J89" s="70" t="e">
        <f>IF(VLOOKUP(A89,Buchwert_je_Aktie!A$3:AJ$103,13,FALSE)&lt;&gt;"",IF(VLOOKUP(A89,Schlußkurse!A$5:AU$105,42,FALSE)&gt;0,VLOOKUP(A89,Schlußkurse!A$5:AU$105,42,FALSE)/VLOOKUP(A89,Buchwert_je_Aktie!A$3:AJ$103,13,FALSE),""),"")</f>
        <v>#N/A</v>
      </c>
      <c r="K89" s="70" t="e">
        <f>IF(VLOOKUP(A89,Buchwert_je_Aktie!A$3:AJ$103,14,FALSE)&lt;&gt;"",IF(VLOOKUP(A89,Schlußkurse!A$5:AU$105,43,FALSE)&gt;0,VLOOKUP(A89,Schlußkurse!A$5:AU$105,43,FALSE)/VLOOKUP(A89,Buchwert_je_Aktie!A$3:AJ$103,14,FALSE),""),"")</f>
        <v>#N/A</v>
      </c>
      <c r="L89" s="70" t="e">
        <f>IF(VLOOKUP(A89,Buchwert_je_Aktie!A$3:AJ$103,15,FALSE)&lt;&gt;"",IF(VLOOKUP(A89,Schlußkurse!A$5:AU$105,44,FALSE)&gt;0,VLOOKUP(A89,Schlußkurse!A$5:AU$105,44,FALSE)/VLOOKUP(A89,Buchwert_je_Aktie!A$3:AJ$103,15,FALSE),""),"")</f>
        <v>#N/A</v>
      </c>
      <c r="M89" s="70" t="e">
        <f>IF(VLOOKUP(A89,Buchwert_je_Aktie!A$3:AJ$103,16,FALSE)&lt;&gt;"",IF(VLOOKUP(A89,Schlußkurse!A$5:AU$105,45,FALSE)&gt;0,VLOOKUP(A89,Schlußkurse!A$5:AU$105,45,FALSE)/VLOOKUP(A89,Buchwert_je_Aktie!A$3:AJ$103,16,FALSE),""),"")</f>
        <v>#N/A</v>
      </c>
      <c r="N89" s="70" t="e">
        <f>IF(VLOOKUP(A89,Buchwert_je_Aktie!A$3:AJ$103,17,FALSE)&lt;&gt;"",IF(VLOOKUP(A89,Schlußkurse!A$5:AU$105,46,FALSE)&gt;0,VLOOKUP(A89,Schlußkurse!A$5:AU$105,46,FALSE)/VLOOKUP(A89,Buchwert_je_Aktie!A$3:AJ$103,17,FALSE),""),"")</f>
        <v>#N/A</v>
      </c>
      <c r="O89" s="70" t="e">
        <f>IF(VLOOKUP(A89,Buchwert_je_Aktie!A$3:AJ$103,18,FALSE)&lt;&gt;"",IF(VLOOKUP(A89,Schlußkurse!A$5:AU$105,47,FALSE)&gt;0,VLOOKUP(A89,Schlußkurse!A$5:AU$105,47,FALSE)/VLOOKUP(A89,Buchwert_je_Aktie!A$3:AJ$103,18,FALSE),""),"")</f>
        <v>#N/A</v>
      </c>
      <c r="P89" s="70" t="e">
        <f t="shared" si="4"/>
        <v>#N/A</v>
      </c>
      <c r="Q89" s="3" t="e">
        <f>VLOOKUP(A89,Schlußkurse!A$5:AU$105,35,FALSE)/VLOOKUP(A89,Buchwert_je_Aktie!A$3:AK$103,23,FALSE)</f>
        <v>#N/A</v>
      </c>
      <c r="R89" s="5" t="e">
        <f t="shared" si="5"/>
        <v>#N/A</v>
      </c>
    </row>
    <row r="90" spans="2:18">
      <c r="B90" s="38"/>
      <c r="C90" s="70" t="e">
        <f>IF(VLOOKUP(A90,Buchwert_je_Aktie!A$3:AJ$103,6,FALSE)&lt;&gt;"",IF(VLOOKUP(A90,Schlußkurse!A$5:AU$105,35,FALSE)&gt;0,VLOOKUP(A90,Schlußkurse!A$5:AU$105,35,FALSE) /VLOOKUP(A90,Buchwert_je_Aktie!A$3:AJ$103,6,FALSE),""),"")</f>
        <v>#N/A</v>
      </c>
      <c r="D90" s="70" t="e">
        <f>IF(VLOOKUP(A90,Buchwert_je_Aktie!A$3:AJ$103,7,FALSE)&lt;&gt;"",IF(VLOOKUP(A90,Schlußkurse!A$5:AU$105,36,FALSE)&gt;0,VLOOKUP(A90,Schlußkurse!A$5:AU$105,36,FALSE)/VLOOKUP(A90,Buchwert_je_Aktie!A$3:AJ$103,7,FALSE),""),"")</f>
        <v>#N/A</v>
      </c>
      <c r="E90" s="70" t="e">
        <f>IF(VLOOKUP(A90,Buchwert_je_Aktie!A$3:AJ$103,8,FALSE)&lt;&gt;"",IF(VLOOKUP(A90,Schlußkurse!A$5:AU$105,37,FALSE)&gt;0,VLOOKUP(A90,Schlußkurse!A$5:AU$105,37,FALSE)/VLOOKUP(A90,Buchwert_je_Aktie!A$3:AJ$103,8,FALSE),""),"")</f>
        <v>#N/A</v>
      </c>
      <c r="F90" s="70" t="e">
        <f>IF(VLOOKUP(A90,Buchwert_je_Aktie!A$3:AJ$103,9,FALSE)&lt;&gt;"",IF(VLOOKUP(A90,Schlußkurse!A$5:AU$105,38,FALSE)&gt;0,VLOOKUP(A90,Schlußkurse!A$5:AU$105,38,FALSE)/VLOOKUP(A90,Buchwert_je_Aktie!A$3:AJ$103,9,FALSE),""),"")</f>
        <v>#N/A</v>
      </c>
      <c r="G90" s="70" t="e">
        <f>IF(VLOOKUP(A90,Buchwert_je_Aktie!A$3:AJ$103,10,FALSE)&lt;&gt;"",IF(VLOOKUP(A90,Schlußkurse!A$5:AU$105,39,FALSE)&gt;0,VLOOKUP(A90,Schlußkurse!A$5:AU$105,39,FALSE)/VLOOKUP(A90,Buchwert_je_Aktie!A$3:AJ$103,10,FALSE),""),"")</f>
        <v>#N/A</v>
      </c>
      <c r="H90" s="70" t="e">
        <f>IF(VLOOKUP(A90,Buchwert_je_Aktie!A$3:AJ$103,11,FALSE)&lt;&gt;"",IF(VLOOKUP(A90,Schlußkurse!A$5:AU$105,40,FALSE)&gt;0,VLOOKUP(A90,Schlußkurse!A$5:AU$105,40,FALSE)/VLOOKUP(A90,Buchwert_je_Aktie!A$3:AJ$103,11,FALSE),""),"")</f>
        <v>#N/A</v>
      </c>
      <c r="I90" s="70" t="e">
        <f>IF(VLOOKUP(A90,Buchwert_je_Aktie!A$3:AJ$103,12,FALSE)&lt;&gt;"",IF(VLOOKUP(A90,Schlußkurse!A$5:AU$105,41,FALSE)&gt;0,VLOOKUP(A90,Schlußkurse!A$5:AU$105,41,FALSE)/VLOOKUP(A90,Buchwert_je_Aktie!A$3:AJ$103,12,FALSE),""),"")</f>
        <v>#N/A</v>
      </c>
      <c r="J90" s="70" t="e">
        <f>IF(VLOOKUP(A90,Buchwert_je_Aktie!A$3:AJ$103,13,FALSE)&lt;&gt;"",IF(VLOOKUP(A90,Schlußkurse!A$5:AU$105,42,FALSE)&gt;0,VLOOKUP(A90,Schlußkurse!A$5:AU$105,42,FALSE)/VLOOKUP(A90,Buchwert_je_Aktie!A$3:AJ$103,13,FALSE),""),"")</f>
        <v>#N/A</v>
      </c>
      <c r="K90" s="70" t="e">
        <f>IF(VLOOKUP(A90,Buchwert_je_Aktie!A$3:AJ$103,14,FALSE)&lt;&gt;"",IF(VLOOKUP(A90,Schlußkurse!A$5:AU$105,43,FALSE)&gt;0,VLOOKUP(A90,Schlußkurse!A$5:AU$105,43,FALSE)/VLOOKUP(A90,Buchwert_je_Aktie!A$3:AJ$103,14,FALSE),""),"")</f>
        <v>#N/A</v>
      </c>
      <c r="L90" s="70" t="e">
        <f>IF(VLOOKUP(A90,Buchwert_je_Aktie!A$3:AJ$103,15,FALSE)&lt;&gt;"",IF(VLOOKUP(A90,Schlußkurse!A$5:AU$105,44,FALSE)&gt;0,VLOOKUP(A90,Schlußkurse!A$5:AU$105,44,FALSE)/VLOOKUP(A90,Buchwert_je_Aktie!A$3:AJ$103,15,FALSE),""),"")</f>
        <v>#N/A</v>
      </c>
      <c r="M90" s="70" t="e">
        <f>IF(VLOOKUP(A90,Buchwert_je_Aktie!A$3:AJ$103,16,FALSE)&lt;&gt;"",IF(VLOOKUP(A90,Schlußkurse!A$5:AU$105,45,FALSE)&gt;0,VLOOKUP(A90,Schlußkurse!A$5:AU$105,45,FALSE)/VLOOKUP(A90,Buchwert_je_Aktie!A$3:AJ$103,16,FALSE),""),"")</f>
        <v>#N/A</v>
      </c>
      <c r="N90" s="70" t="e">
        <f>IF(VLOOKUP(A90,Buchwert_je_Aktie!A$3:AJ$103,17,FALSE)&lt;&gt;"",IF(VLOOKUP(A90,Schlußkurse!A$5:AU$105,46,FALSE)&gt;0,VLOOKUP(A90,Schlußkurse!A$5:AU$105,46,FALSE)/VLOOKUP(A90,Buchwert_je_Aktie!A$3:AJ$103,17,FALSE),""),"")</f>
        <v>#N/A</v>
      </c>
      <c r="O90" s="70" t="e">
        <f>IF(VLOOKUP(A90,Buchwert_je_Aktie!A$3:AJ$103,18,FALSE)&lt;&gt;"",IF(VLOOKUP(A90,Schlußkurse!A$5:AU$105,47,FALSE)&gt;0,VLOOKUP(A90,Schlußkurse!A$5:AU$105,47,FALSE)/VLOOKUP(A90,Buchwert_je_Aktie!A$3:AJ$103,18,FALSE),""),"")</f>
        <v>#N/A</v>
      </c>
      <c r="P90" s="70" t="e">
        <f t="shared" si="4"/>
        <v>#N/A</v>
      </c>
      <c r="Q90" s="3" t="e">
        <f>VLOOKUP(A90,Schlußkurse!A$5:AU$105,35,FALSE)/VLOOKUP(A90,Buchwert_je_Aktie!A$3:AK$103,23,FALSE)</f>
        <v>#N/A</v>
      </c>
      <c r="R90" s="5" t="e">
        <f t="shared" si="5"/>
        <v>#N/A</v>
      </c>
    </row>
    <row r="91" spans="2:18">
      <c r="B91" s="38"/>
      <c r="C91" s="70" t="e">
        <f>IF(VLOOKUP(A91,Buchwert_je_Aktie!A$3:AJ$103,6,FALSE)&lt;&gt;"",IF(VLOOKUP(A91,Schlußkurse!A$5:AU$105,35,FALSE)&gt;0,VLOOKUP(A91,Schlußkurse!A$5:AU$105,35,FALSE) /VLOOKUP(A91,Buchwert_je_Aktie!A$3:AJ$103,6,FALSE),""),"")</f>
        <v>#N/A</v>
      </c>
      <c r="D91" s="70" t="e">
        <f>IF(VLOOKUP(A91,Buchwert_je_Aktie!A$3:AJ$103,7,FALSE)&lt;&gt;"",IF(VLOOKUP(A91,Schlußkurse!A$5:AU$105,36,FALSE)&gt;0,VLOOKUP(A91,Schlußkurse!A$5:AU$105,36,FALSE)/VLOOKUP(A91,Buchwert_je_Aktie!A$3:AJ$103,7,FALSE),""),"")</f>
        <v>#N/A</v>
      </c>
      <c r="E91" s="70" t="e">
        <f>IF(VLOOKUP(A91,Buchwert_je_Aktie!A$3:AJ$103,8,FALSE)&lt;&gt;"",IF(VLOOKUP(A91,Schlußkurse!A$5:AU$105,37,FALSE)&gt;0,VLOOKUP(A91,Schlußkurse!A$5:AU$105,37,FALSE)/VLOOKUP(A91,Buchwert_je_Aktie!A$3:AJ$103,8,FALSE),""),"")</f>
        <v>#N/A</v>
      </c>
      <c r="F91" s="70" t="e">
        <f>IF(VLOOKUP(A91,Buchwert_je_Aktie!A$3:AJ$103,9,FALSE)&lt;&gt;"",IF(VLOOKUP(A91,Schlußkurse!A$5:AU$105,38,FALSE)&gt;0,VLOOKUP(A91,Schlußkurse!A$5:AU$105,38,FALSE)/VLOOKUP(A91,Buchwert_je_Aktie!A$3:AJ$103,9,FALSE),""),"")</f>
        <v>#N/A</v>
      </c>
      <c r="G91" s="70" t="e">
        <f>IF(VLOOKUP(A91,Buchwert_je_Aktie!A$3:AJ$103,10,FALSE)&lt;&gt;"",IF(VLOOKUP(A91,Schlußkurse!A$5:AU$105,39,FALSE)&gt;0,VLOOKUP(A91,Schlußkurse!A$5:AU$105,39,FALSE)/VLOOKUP(A91,Buchwert_je_Aktie!A$3:AJ$103,10,FALSE),""),"")</f>
        <v>#N/A</v>
      </c>
      <c r="H91" s="70" t="e">
        <f>IF(VLOOKUP(A91,Buchwert_je_Aktie!A$3:AJ$103,11,FALSE)&lt;&gt;"",IF(VLOOKUP(A91,Schlußkurse!A$5:AU$105,40,FALSE)&gt;0,VLOOKUP(A91,Schlußkurse!A$5:AU$105,40,FALSE)/VLOOKUP(A91,Buchwert_je_Aktie!A$3:AJ$103,11,FALSE),""),"")</f>
        <v>#N/A</v>
      </c>
      <c r="I91" s="70" t="e">
        <f>IF(VLOOKUP(A91,Buchwert_je_Aktie!A$3:AJ$103,12,FALSE)&lt;&gt;"",IF(VLOOKUP(A91,Schlußkurse!A$5:AU$105,41,FALSE)&gt;0,VLOOKUP(A91,Schlußkurse!A$5:AU$105,41,FALSE)/VLOOKUP(A91,Buchwert_je_Aktie!A$3:AJ$103,12,FALSE),""),"")</f>
        <v>#N/A</v>
      </c>
      <c r="J91" s="70" t="e">
        <f>IF(VLOOKUP(A91,Buchwert_je_Aktie!A$3:AJ$103,13,FALSE)&lt;&gt;"",IF(VLOOKUP(A91,Schlußkurse!A$5:AU$105,42,FALSE)&gt;0,VLOOKUP(A91,Schlußkurse!A$5:AU$105,42,FALSE)/VLOOKUP(A91,Buchwert_je_Aktie!A$3:AJ$103,13,FALSE),""),"")</f>
        <v>#N/A</v>
      </c>
      <c r="K91" s="70" t="e">
        <f>IF(VLOOKUP(A91,Buchwert_je_Aktie!A$3:AJ$103,14,FALSE)&lt;&gt;"",IF(VLOOKUP(A91,Schlußkurse!A$5:AU$105,43,FALSE)&gt;0,VLOOKUP(A91,Schlußkurse!A$5:AU$105,43,FALSE)/VLOOKUP(A91,Buchwert_je_Aktie!A$3:AJ$103,14,FALSE),""),"")</f>
        <v>#N/A</v>
      </c>
      <c r="L91" s="70" t="e">
        <f>IF(VLOOKUP(A91,Buchwert_je_Aktie!A$3:AJ$103,15,FALSE)&lt;&gt;"",IF(VLOOKUP(A91,Schlußkurse!A$5:AU$105,44,FALSE)&gt;0,VLOOKUP(A91,Schlußkurse!A$5:AU$105,44,FALSE)/VLOOKUP(A91,Buchwert_je_Aktie!A$3:AJ$103,15,FALSE),""),"")</f>
        <v>#N/A</v>
      </c>
      <c r="M91" s="70" t="e">
        <f>IF(VLOOKUP(A91,Buchwert_je_Aktie!A$3:AJ$103,16,FALSE)&lt;&gt;"",IF(VLOOKUP(A91,Schlußkurse!A$5:AU$105,45,FALSE)&gt;0,VLOOKUP(A91,Schlußkurse!A$5:AU$105,45,FALSE)/VLOOKUP(A91,Buchwert_je_Aktie!A$3:AJ$103,16,FALSE),""),"")</f>
        <v>#N/A</v>
      </c>
      <c r="N91" s="70" t="e">
        <f>IF(VLOOKUP(A91,Buchwert_je_Aktie!A$3:AJ$103,17,FALSE)&lt;&gt;"",IF(VLOOKUP(A91,Schlußkurse!A$5:AU$105,46,FALSE)&gt;0,VLOOKUP(A91,Schlußkurse!A$5:AU$105,46,FALSE)/VLOOKUP(A91,Buchwert_je_Aktie!A$3:AJ$103,17,FALSE),""),"")</f>
        <v>#N/A</v>
      </c>
      <c r="O91" s="70" t="e">
        <f>IF(VLOOKUP(A91,Buchwert_je_Aktie!A$3:AJ$103,18,FALSE)&lt;&gt;"",IF(VLOOKUP(A91,Schlußkurse!A$5:AU$105,47,FALSE)&gt;0,VLOOKUP(A91,Schlußkurse!A$5:AU$105,47,FALSE)/VLOOKUP(A91,Buchwert_je_Aktie!A$3:AJ$103,18,FALSE),""),"")</f>
        <v>#N/A</v>
      </c>
      <c r="P91" s="70" t="e">
        <f t="shared" si="4"/>
        <v>#N/A</v>
      </c>
      <c r="Q91" s="3" t="e">
        <f>VLOOKUP(A91,Schlußkurse!A$5:AU$105,35,FALSE)/VLOOKUP(A91,Buchwert_je_Aktie!A$3:AK$103,23,FALSE)</f>
        <v>#N/A</v>
      </c>
      <c r="R91" s="5" t="e">
        <f t="shared" si="5"/>
        <v>#N/A</v>
      </c>
    </row>
    <row r="92" spans="2:18">
      <c r="B92" s="38"/>
      <c r="C92" s="70" t="e">
        <f>IF(VLOOKUP(A92,Buchwert_je_Aktie!A$3:AJ$103,6,FALSE)&lt;&gt;"",IF(VLOOKUP(A92,Schlußkurse!A$5:AU$105,35,FALSE)&gt;0,VLOOKUP(A92,Schlußkurse!A$5:AU$105,35,FALSE) /VLOOKUP(A92,Buchwert_je_Aktie!A$3:AJ$103,6,FALSE),""),"")</f>
        <v>#N/A</v>
      </c>
      <c r="D92" s="70" t="e">
        <f>IF(VLOOKUP(A92,Buchwert_je_Aktie!A$3:AJ$103,7,FALSE)&lt;&gt;"",IF(VLOOKUP(A92,Schlußkurse!A$5:AU$105,36,FALSE)&gt;0,VLOOKUP(A92,Schlußkurse!A$5:AU$105,36,FALSE)/VLOOKUP(A92,Buchwert_je_Aktie!A$3:AJ$103,7,FALSE),""),"")</f>
        <v>#N/A</v>
      </c>
      <c r="E92" s="70" t="e">
        <f>IF(VLOOKUP(A92,Buchwert_je_Aktie!A$3:AJ$103,8,FALSE)&lt;&gt;"",IF(VLOOKUP(A92,Schlußkurse!A$5:AU$105,37,FALSE)&gt;0,VLOOKUP(A92,Schlußkurse!A$5:AU$105,37,FALSE)/VLOOKUP(A92,Buchwert_je_Aktie!A$3:AJ$103,8,FALSE),""),"")</f>
        <v>#N/A</v>
      </c>
      <c r="F92" s="70" t="e">
        <f>IF(VLOOKUP(A92,Buchwert_je_Aktie!A$3:AJ$103,9,FALSE)&lt;&gt;"",IF(VLOOKUP(A92,Schlußkurse!A$5:AU$105,38,FALSE)&gt;0,VLOOKUP(A92,Schlußkurse!A$5:AU$105,38,FALSE)/VLOOKUP(A92,Buchwert_je_Aktie!A$3:AJ$103,9,FALSE),""),"")</f>
        <v>#N/A</v>
      </c>
      <c r="G92" s="70" t="e">
        <f>IF(VLOOKUP(A92,Buchwert_je_Aktie!A$3:AJ$103,10,FALSE)&lt;&gt;"",IF(VLOOKUP(A92,Schlußkurse!A$5:AU$105,39,FALSE)&gt;0,VLOOKUP(A92,Schlußkurse!A$5:AU$105,39,FALSE)/VLOOKUP(A92,Buchwert_je_Aktie!A$3:AJ$103,10,FALSE),""),"")</f>
        <v>#N/A</v>
      </c>
      <c r="H92" s="70" t="e">
        <f>IF(VLOOKUP(A92,Buchwert_je_Aktie!A$3:AJ$103,11,FALSE)&lt;&gt;"",IF(VLOOKUP(A92,Schlußkurse!A$5:AU$105,40,FALSE)&gt;0,VLOOKUP(A92,Schlußkurse!A$5:AU$105,40,FALSE)/VLOOKUP(A92,Buchwert_je_Aktie!A$3:AJ$103,11,FALSE),""),"")</f>
        <v>#N/A</v>
      </c>
      <c r="I92" s="70" t="e">
        <f>IF(VLOOKUP(A92,Buchwert_je_Aktie!A$3:AJ$103,12,FALSE)&lt;&gt;"",IF(VLOOKUP(A92,Schlußkurse!A$5:AU$105,41,FALSE)&gt;0,VLOOKUP(A92,Schlußkurse!A$5:AU$105,41,FALSE)/VLOOKUP(A92,Buchwert_je_Aktie!A$3:AJ$103,12,FALSE),""),"")</f>
        <v>#N/A</v>
      </c>
      <c r="J92" s="70" t="e">
        <f>IF(VLOOKUP(A92,Buchwert_je_Aktie!A$3:AJ$103,13,FALSE)&lt;&gt;"",IF(VLOOKUP(A92,Schlußkurse!A$5:AU$105,42,FALSE)&gt;0,VLOOKUP(A92,Schlußkurse!A$5:AU$105,42,FALSE)/VLOOKUP(A92,Buchwert_je_Aktie!A$3:AJ$103,13,FALSE),""),"")</f>
        <v>#N/A</v>
      </c>
      <c r="K92" s="70" t="e">
        <f>IF(VLOOKUP(A92,Buchwert_je_Aktie!A$3:AJ$103,14,FALSE)&lt;&gt;"",IF(VLOOKUP(A92,Schlußkurse!A$5:AU$105,43,FALSE)&gt;0,VLOOKUP(A92,Schlußkurse!A$5:AU$105,43,FALSE)/VLOOKUP(A92,Buchwert_je_Aktie!A$3:AJ$103,14,FALSE),""),"")</f>
        <v>#N/A</v>
      </c>
      <c r="L92" s="70" t="e">
        <f>IF(VLOOKUP(A92,Buchwert_je_Aktie!A$3:AJ$103,15,FALSE)&lt;&gt;"",IF(VLOOKUP(A92,Schlußkurse!A$5:AU$105,44,FALSE)&gt;0,VLOOKUP(A92,Schlußkurse!A$5:AU$105,44,FALSE)/VLOOKUP(A92,Buchwert_je_Aktie!A$3:AJ$103,15,FALSE),""),"")</f>
        <v>#N/A</v>
      </c>
      <c r="M92" s="70" t="e">
        <f>IF(VLOOKUP(A92,Buchwert_je_Aktie!A$3:AJ$103,16,FALSE)&lt;&gt;"",IF(VLOOKUP(A92,Schlußkurse!A$5:AU$105,45,FALSE)&gt;0,VLOOKUP(A92,Schlußkurse!A$5:AU$105,45,FALSE)/VLOOKUP(A92,Buchwert_je_Aktie!A$3:AJ$103,16,FALSE),""),"")</f>
        <v>#N/A</v>
      </c>
      <c r="N92" s="70" t="e">
        <f>IF(VLOOKUP(A92,Buchwert_je_Aktie!A$3:AJ$103,17,FALSE)&lt;&gt;"",IF(VLOOKUP(A92,Schlußkurse!A$5:AU$105,46,FALSE)&gt;0,VLOOKUP(A92,Schlußkurse!A$5:AU$105,46,FALSE)/VLOOKUP(A92,Buchwert_je_Aktie!A$3:AJ$103,17,FALSE),""),"")</f>
        <v>#N/A</v>
      </c>
      <c r="O92" s="70" t="e">
        <f>IF(VLOOKUP(A92,Buchwert_je_Aktie!A$3:AJ$103,18,FALSE)&lt;&gt;"",IF(VLOOKUP(A92,Schlußkurse!A$5:AU$105,47,FALSE)&gt;0,VLOOKUP(A92,Schlußkurse!A$5:AU$105,47,FALSE)/VLOOKUP(A92,Buchwert_je_Aktie!A$3:AJ$103,18,FALSE),""),"")</f>
        <v>#N/A</v>
      </c>
      <c r="P92" s="70" t="e">
        <f t="shared" si="4"/>
        <v>#N/A</v>
      </c>
      <c r="Q92" s="3" t="e">
        <f>VLOOKUP(A92,Schlußkurse!A$5:AU$105,35,FALSE)/VLOOKUP(A92,Buchwert_je_Aktie!A$3:AK$103,23,FALSE)</f>
        <v>#N/A</v>
      </c>
      <c r="R92" s="5" t="e">
        <f t="shared" si="5"/>
        <v>#N/A</v>
      </c>
    </row>
    <row r="93" spans="2:18">
      <c r="B93" s="38"/>
      <c r="C93" s="70" t="e">
        <f>IF(VLOOKUP(A93,Buchwert_je_Aktie!A$3:AJ$103,6,FALSE)&lt;&gt;"",IF(VLOOKUP(A93,Schlußkurse!A$5:AU$105,35,FALSE)&gt;0,VLOOKUP(A93,Schlußkurse!A$5:AU$105,35,FALSE) /VLOOKUP(A93,Buchwert_je_Aktie!A$3:AJ$103,6,FALSE),""),"")</f>
        <v>#N/A</v>
      </c>
      <c r="D93" s="70" t="e">
        <f>IF(VLOOKUP(A93,Buchwert_je_Aktie!A$3:AJ$103,7,FALSE)&lt;&gt;"",IF(VLOOKUP(A93,Schlußkurse!A$5:AU$105,36,FALSE)&gt;0,VLOOKUP(A93,Schlußkurse!A$5:AU$105,36,FALSE)/VLOOKUP(A93,Buchwert_je_Aktie!A$3:AJ$103,7,FALSE),""),"")</f>
        <v>#N/A</v>
      </c>
      <c r="E93" s="70" t="e">
        <f>IF(VLOOKUP(A93,Buchwert_je_Aktie!A$3:AJ$103,8,FALSE)&lt;&gt;"",IF(VLOOKUP(A93,Schlußkurse!A$5:AU$105,37,FALSE)&gt;0,VLOOKUP(A93,Schlußkurse!A$5:AU$105,37,FALSE)/VLOOKUP(A93,Buchwert_je_Aktie!A$3:AJ$103,8,FALSE),""),"")</f>
        <v>#N/A</v>
      </c>
      <c r="F93" s="70" t="e">
        <f>IF(VLOOKUP(A93,Buchwert_je_Aktie!A$3:AJ$103,9,FALSE)&lt;&gt;"",IF(VLOOKUP(A93,Schlußkurse!A$5:AU$105,38,FALSE)&gt;0,VLOOKUP(A93,Schlußkurse!A$5:AU$105,38,FALSE)/VLOOKUP(A93,Buchwert_je_Aktie!A$3:AJ$103,9,FALSE),""),"")</f>
        <v>#N/A</v>
      </c>
      <c r="G93" s="70" t="e">
        <f>IF(VLOOKUP(A93,Buchwert_je_Aktie!A$3:AJ$103,10,FALSE)&lt;&gt;"",IF(VLOOKUP(A93,Schlußkurse!A$5:AU$105,39,FALSE)&gt;0,VLOOKUP(A93,Schlußkurse!A$5:AU$105,39,FALSE)/VLOOKUP(A93,Buchwert_je_Aktie!A$3:AJ$103,10,FALSE),""),"")</f>
        <v>#N/A</v>
      </c>
      <c r="H93" s="70" t="e">
        <f>IF(VLOOKUP(A93,Buchwert_je_Aktie!A$3:AJ$103,11,FALSE)&lt;&gt;"",IF(VLOOKUP(A93,Schlußkurse!A$5:AU$105,40,FALSE)&gt;0,VLOOKUP(A93,Schlußkurse!A$5:AU$105,40,FALSE)/VLOOKUP(A93,Buchwert_je_Aktie!A$3:AJ$103,11,FALSE),""),"")</f>
        <v>#N/A</v>
      </c>
      <c r="I93" s="70" t="e">
        <f>IF(VLOOKUP(A93,Buchwert_je_Aktie!A$3:AJ$103,12,FALSE)&lt;&gt;"",IF(VLOOKUP(A93,Schlußkurse!A$5:AU$105,41,FALSE)&gt;0,VLOOKUP(A93,Schlußkurse!A$5:AU$105,41,FALSE)/VLOOKUP(A93,Buchwert_je_Aktie!A$3:AJ$103,12,FALSE),""),"")</f>
        <v>#N/A</v>
      </c>
      <c r="J93" s="70" t="e">
        <f>IF(VLOOKUP(A93,Buchwert_je_Aktie!A$3:AJ$103,13,FALSE)&lt;&gt;"",IF(VLOOKUP(A93,Schlußkurse!A$5:AU$105,42,FALSE)&gt;0,VLOOKUP(A93,Schlußkurse!A$5:AU$105,42,FALSE)/VLOOKUP(A93,Buchwert_je_Aktie!A$3:AJ$103,13,FALSE),""),"")</f>
        <v>#N/A</v>
      </c>
      <c r="K93" s="70" t="e">
        <f>IF(VLOOKUP(A93,Buchwert_je_Aktie!A$3:AJ$103,14,FALSE)&lt;&gt;"",IF(VLOOKUP(A93,Schlußkurse!A$5:AU$105,43,FALSE)&gt;0,VLOOKUP(A93,Schlußkurse!A$5:AU$105,43,FALSE)/VLOOKUP(A93,Buchwert_je_Aktie!A$3:AJ$103,14,FALSE),""),"")</f>
        <v>#N/A</v>
      </c>
      <c r="L93" s="70" t="e">
        <f>IF(VLOOKUP(A93,Buchwert_je_Aktie!A$3:AJ$103,15,FALSE)&lt;&gt;"",IF(VLOOKUP(A93,Schlußkurse!A$5:AU$105,44,FALSE)&gt;0,VLOOKUP(A93,Schlußkurse!A$5:AU$105,44,FALSE)/VLOOKUP(A93,Buchwert_je_Aktie!A$3:AJ$103,15,FALSE),""),"")</f>
        <v>#N/A</v>
      </c>
      <c r="M93" s="70" t="e">
        <f>IF(VLOOKUP(A93,Buchwert_je_Aktie!A$3:AJ$103,16,FALSE)&lt;&gt;"",IF(VLOOKUP(A93,Schlußkurse!A$5:AU$105,45,FALSE)&gt;0,VLOOKUP(A93,Schlußkurse!A$5:AU$105,45,FALSE)/VLOOKUP(A93,Buchwert_je_Aktie!A$3:AJ$103,16,FALSE),""),"")</f>
        <v>#N/A</v>
      </c>
      <c r="N93" s="70" t="e">
        <f>IF(VLOOKUP(A93,Buchwert_je_Aktie!A$3:AJ$103,17,FALSE)&lt;&gt;"",IF(VLOOKUP(A93,Schlußkurse!A$5:AU$105,46,FALSE)&gt;0,VLOOKUP(A93,Schlußkurse!A$5:AU$105,46,FALSE)/VLOOKUP(A93,Buchwert_je_Aktie!A$3:AJ$103,17,FALSE),""),"")</f>
        <v>#N/A</v>
      </c>
      <c r="O93" s="70" t="e">
        <f>IF(VLOOKUP(A93,Buchwert_je_Aktie!A$3:AJ$103,18,FALSE)&lt;&gt;"",IF(VLOOKUP(A93,Schlußkurse!A$5:AU$105,47,FALSE)&gt;0,VLOOKUP(A93,Schlußkurse!A$5:AU$105,47,FALSE)/VLOOKUP(A93,Buchwert_je_Aktie!A$3:AJ$103,18,FALSE),""),"")</f>
        <v>#N/A</v>
      </c>
      <c r="P93" s="70" t="e">
        <f t="shared" si="4"/>
        <v>#N/A</v>
      </c>
      <c r="Q93" s="3" t="e">
        <f>VLOOKUP(A93,Schlußkurse!A$5:AU$105,35,FALSE)/VLOOKUP(A93,Buchwert_je_Aktie!A$3:AK$103,23,FALSE)</f>
        <v>#N/A</v>
      </c>
      <c r="R93" s="5" t="e">
        <f t="shared" si="5"/>
        <v>#N/A</v>
      </c>
    </row>
    <row r="94" spans="2:18">
      <c r="B94" s="38"/>
      <c r="C94" s="70" t="e">
        <f>IF(VLOOKUP(A94,Buchwert_je_Aktie!A$3:AJ$103,6,FALSE)&lt;&gt;"",IF(VLOOKUP(A94,Schlußkurse!A$5:AU$105,35,FALSE)&gt;0,VLOOKUP(A94,Schlußkurse!A$5:AU$105,35,FALSE) /VLOOKUP(A94,Buchwert_je_Aktie!A$3:AJ$103,6,FALSE),""),"")</f>
        <v>#N/A</v>
      </c>
      <c r="D94" s="70" t="e">
        <f>IF(VLOOKUP(A94,Buchwert_je_Aktie!A$3:AJ$103,7,FALSE)&lt;&gt;"",IF(VLOOKUP(A94,Schlußkurse!A$5:AU$105,36,FALSE)&gt;0,VLOOKUP(A94,Schlußkurse!A$5:AU$105,36,FALSE)/VLOOKUP(A94,Buchwert_je_Aktie!A$3:AJ$103,7,FALSE),""),"")</f>
        <v>#N/A</v>
      </c>
      <c r="E94" s="70" t="e">
        <f>IF(VLOOKUP(A94,Buchwert_je_Aktie!A$3:AJ$103,8,FALSE)&lt;&gt;"",IF(VLOOKUP(A94,Schlußkurse!A$5:AU$105,37,FALSE)&gt;0,VLOOKUP(A94,Schlußkurse!A$5:AU$105,37,FALSE)/VLOOKUP(A94,Buchwert_je_Aktie!A$3:AJ$103,8,FALSE),""),"")</f>
        <v>#N/A</v>
      </c>
      <c r="F94" s="70" t="e">
        <f>IF(VLOOKUP(A94,Buchwert_je_Aktie!A$3:AJ$103,9,FALSE)&lt;&gt;"",IF(VLOOKUP(A94,Schlußkurse!A$5:AU$105,38,FALSE)&gt;0,VLOOKUP(A94,Schlußkurse!A$5:AU$105,38,FALSE)/VLOOKUP(A94,Buchwert_je_Aktie!A$3:AJ$103,9,FALSE),""),"")</f>
        <v>#N/A</v>
      </c>
      <c r="G94" s="70" t="e">
        <f>IF(VLOOKUP(A94,Buchwert_je_Aktie!A$3:AJ$103,10,FALSE)&lt;&gt;"",IF(VLOOKUP(A94,Schlußkurse!A$5:AU$105,39,FALSE)&gt;0,VLOOKUP(A94,Schlußkurse!A$5:AU$105,39,FALSE)/VLOOKUP(A94,Buchwert_je_Aktie!A$3:AJ$103,10,FALSE),""),"")</f>
        <v>#N/A</v>
      </c>
      <c r="H94" s="70" t="e">
        <f>IF(VLOOKUP(A94,Buchwert_je_Aktie!A$3:AJ$103,11,FALSE)&lt;&gt;"",IF(VLOOKUP(A94,Schlußkurse!A$5:AU$105,40,FALSE)&gt;0,VLOOKUP(A94,Schlußkurse!A$5:AU$105,40,FALSE)/VLOOKUP(A94,Buchwert_je_Aktie!A$3:AJ$103,11,FALSE),""),"")</f>
        <v>#N/A</v>
      </c>
      <c r="I94" s="70" t="e">
        <f>IF(VLOOKUP(A94,Buchwert_je_Aktie!A$3:AJ$103,12,FALSE)&lt;&gt;"",IF(VLOOKUP(A94,Schlußkurse!A$5:AU$105,41,FALSE)&gt;0,VLOOKUP(A94,Schlußkurse!A$5:AU$105,41,FALSE)/VLOOKUP(A94,Buchwert_je_Aktie!A$3:AJ$103,12,FALSE),""),"")</f>
        <v>#N/A</v>
      </c>
      <c r="J94" s="70" t="e">
        <f>IF(VLOOKUP(A94,Buchwert_je_Aktie!A$3:AJ$103,13,FALSE)&lt;&gt;"",IF(VLOOKUP(A94,Schlußkurse!A$5:AU$105,42,FALSE)&gt;0,VLOOKUP(A94,Schlußkurse!A$5:AU$105,42,FALSE)/VLOOKUP(A94,Buchwert_je_Aktie!A$3:AJ$103,13,FALSE),""),"")</f>
        <v>#N/A</v>
      </c>
      <c r="K94" s="70" t="e">
        <f>IF(VLOOKUP(A94,Buchwert_je_Aktie!A$3:AJ$103,14,FALSE)&lt;&gt;"",IF(VLOOKUP(A94,Schlußkurse!A$5:AU$105,43,FALSE)&gt;0,VLOOKUP(A94,Schlußkurse!A$5:AU$105,43,FALSE)/VLOOKUP(A94,Buchwert_je_Aktie!A$3:AJ$103,14,FALSE),""),"")</f>
        <v>#N/A</v>
      </c>
      <c r="L94" s="70" t="e">
        <f>IF(VLOOKUP(A94,Buchwert_je_Aktie!A$3:AJ$103,15,FALSE)&lt;&gt;"",IF(VLOOKUP(A94,Schlußkurse!A$5:AU$105,44,FALSE)&gt;0,VLOOKUP(A94,Schlußkurse!A$5:AU$105,44,FALSE)/VLOOKUP(A94,Buchwert_je_Aktie!A$3:AJ$103,15,FALSE),""),"")</f>
        <v>#N/A</v>
      </c>
      <c r="M94" s="70" t="e">
        <f>IF(VLOOKUP(A94,Buchwert_je_Aktie!A$3:AJ$103,16,FALSE)&lt;&gt;"",IF(VLOOKUP(A94,Schlußkurse!A$5:AU$105,45,FALSE)&gt;0,VLOOKUP(A94,Schlußkurse!A$5:AU$105,45,FALSE)/VLOOKUP(A94,Buchwert_je_Aktie!A$3:AJ$103,16,FALSE),""),"")</f>
        <v>#N/A</v>
      </c>
      <c r="N94" s="70" t="e">
        <f>IF(VLOOKUP(A94,Buchwert_je_Aktie!A$3:AJ$103,17,FALSE)&lt;&gt;"",IF(VLOOKUP(A94,Schlußkurse!A$5:AU$105,46,FALSE)&gt;0,VLOOKUP(A94,Schlußkurse!A$5:AU$105,46,FALSE)/VLOOKUP(A94,Buchwert_je_Aktie!A$3:AJ$103,17,FALSE),""),"")</f>
        <v>#N/A</v>
      </c>
      <c r="O94" s="70" t="e">
        <f>IF(VLOOKUP(A94,Buchwert_je_Aktie!A$3:AJ$103,18,FALSE)&lt;&gt;"",IF(VLOOKUP(A94,Schlußkurse!A$5:AU$105,47,FALSE)&gt;0,VLOOKUP(A94,Schlußkurse!A$5:AU$105,47,FALSE)/VLOOKUP(A94,Buchwert_je_Aktie!A$3:AJ$103,18,FALSE),""),"")</f>
        <v>#N/A</v>
      </c>
      <c r="P94" s="70" t="e">
        <f t="shared" si="4"/>
        <v>#N/A</v>
      </c>
      <c r="Q94" s="3" t="e">
        <f>VLOOKUP(A94,Schlußkurse!A$5:AU$105,35,FALSE)/VLOOKUP(A94,Buchwert_je_Aktie!A$3:AK$103,23,FALSE)</f>
        <v>#N/A</v>
      </c>
      <c r="R94" s="5" t="e">
        <f t="shared" si="5"/>
        <v>#N/A</v>
      </c>
    </row>
    <row r="95" spans="2:18">
      <c r="B95" s="38"/>
      <c r="C95" s="70" t="e">
        <f>IF(VLOOKUP(A95,Buchwert_je_Aktie!A$3:AJ$103,6,FALSE)&lt;&gt;"",IF(VLOOKUP(A95,Schlußkurse!A$5:AU$105,35,FALSE)&gt;0,VLOOKUP(A95,Schlußkurse!A$5:AU$105,35,FALSE) /VLOOKUP(A95,Buchwert_je_Aktie!A$3:AJ$103,6,FALSE),""),"")</f>
        <v>#N/A</v>
      </c>
      <c r="D95" s="70" t="e">
        <f>IF(VLOOKUP(A95,Buchwert_je_Aktie!A$3:AJ$103,7,FALSE)&lt;&gt;"",IF(VLOOKUP(A95,Schlußkurse!A$5:AU$105,36,FALSE)&gt;0,VLOOKUP(A95,Schlußkurse!A$5:AU$105,36,FALSE)/VLOOKUP(A95,Buchwert_je_Aktie!A$3:AJ$103,7,FALSE),""),"")</f>
        <v>#N/A</v>
      </c>
      <c r="E95" s="70" t="e">
        <f>IF(VLOOKUP(A95,Buchwert_je_Aktie!A$3:AJ$103,8,FALSE)&lt;&gt;"",IF(VLOOKUP(A95,Schlußkurse!A$5:AU$105,37,FALSE)&gt;0,VLOOKUP(A95,Schlußkurse!A$5:AU$105,37,FALSE)/VLOOKUP(A95,Buchwert_je_Aktie!A$3:AJ$103,8,FALSE),""),"")</f>
        <v>#N/A</v>
      </c>
      <c r="F95" s="70" t="e">
        <f>IF(VLOOKUP(A95,Buchwert_je_Aktie!A$3:AJ$103,9,FALSE)&lt;&gt;"",IF(VLOOKUP(A95,Schlußkurse!A$5:AU$105,38,FALSE)&gt;0,VLOOKUP(A95,Schlußkurse!A$5:AU$105,38,FALSE)/VLOOKUP(A95,Buchwert_je_Aktie!A$3:AJ$103,9,FALSE),""),"")</f>
        <v>#N/A</v>
      </c>
      <c r="G95" s="70" t="e">
        <f>IF(VLOOKUP(A95,Buchwert_je_Aktie!A$3:AJ$103,10,FALSE)&lt;&gt;"",IF(VLOOKUP(A95,Schlußkurse!A$5:AU$105,39,FALSE)&gt;0,VLOOKUP(A95,Schlußkurse!A$5:AU$105,39,FALSE)/VLOOKUP(A95,Buchwert_je_Aktie!A$3:AJ$103,10,FALSE),""),"")</f>
        <v>#N/A</v>
      </c>
      <c r="H95" s="70" t="e">
        <f>IF(VLOOKUP(A95,Buchwert_je_Aktie!A$3:AJ$103,11,FALSE)&lt;&gt;"",IF(VLOOKUP(A95,Schlußkurse!A$5:AU$105,40,FALSE)&gt;0,VLOOKUP(A95,Schlußkurse!A$5:AU$105,40,FALSE)/VLOOKUP(A95,Buchwert_je_Aktie!A$3:AJ$103,11,FALSE),""),"")</f>
        <v>#N/A</v>
      </c>
      <c r="I95" s="70" t="e">
        <f>IF(VLOOKUP(A95,Buchwert_je_Aktie!A$3:AJ$103,12,FALSE)&lt;&gt;"",IF(VLOOKUP(A95,Schlußkurse!A$5:AU$105,41,FALSE)&gt;0,VLOOKUP(A95,Schlußkurse!A$5:AU$105,41,FALSE)/VLOOKUP(A95,Buchwert_je_Aktie!A$3:AJ$103,12,FALSE),""),"")</f>
        <v>#N/A</v>
      </c>
      <c r="J95" s="70" t="e">
        <f>IF(VLOOKUP(A95,Buchwert_je_Aktie!A$3:AJ$103,13,FALSE)&lt;&gt;"",IF(VLOOKUP(A95,Schlußkurse!A$5:AU$105,42,FALSE)&gt;0,VLOOKUP(A95,Schlußkurse!A$5:AU$105,42,FALSE)/VLOOKUP(A95,Buchwert_je_Aktie!A$3:AJ$103,13,FALSE),""),"")</f>
        <v>#N/A</v>
      </c>
      <c r="K95" s="70" t="e">
        <f>IF(VLOOKUP(A95,Buchwert_je_Aktie!A$3:AJ$103,14,FALSE)&lt;&gt;"",IF(VLOOKUP(A95,Schlußkurse!A$5:AU$105,43,FALSE)&gt;0,VLOOKUP(A95,Schlußkurse!A$5:AU$105,43,FALSE)/VLOOKUP(A95,Buchwert_je_Aktie!A$3:AJ$103,14,FALSE),""),"")</f>
        <v>#N/A</v>
      </c>
      <c r="L95" s="70" t="e">
        <f>IF(VLOOKUP(A95,Buchwert_je_Aktie!A$3:AJ$103,15,FALSE)&lt;&gt;"",IF(VLOOKUP(A95,Schlußkurse!A$5:AU$105,44,FALSE)&gt;0,VLOOKUP(A95,Schlußkurse!A$5:AU$105,44,FALSE)/VLOOKUP(A95,Buchwert_je_Aktie!A$3:AJ$103,15,FALSE),""),"")</f>
        <v>#N/A</v>
      </c>
      <c r="M95" s="70" t="e">
        <f>IF(VLOOKUP(A95,Buchwert_je_Aktie!A$3:AJ$103,16,FALSE)&lt;&gt;"",IF(VLOOKUP(A95,Schlußkurse!A$5:AU$105,45,FALSE)&gt;0,VLOOKUP(A95,Schlußkurse!A$5:AU$105,45,FALSE)/VLOOKUP(A95,Buchwert_je_Aktie!A$3:AJ$103,16,FALSE),""),"")</f>
        <v>#N/A</v>
      </c>
      <c r="N95" s="70" t="e">
        <f>IF(VLOOKUP(A95,Buchwert_je_Aktie!A$3:AJ$103,17,FALSE)&lt;&gt;"",IF(VLOOKUP(A95,Schlußkurse!A$5:AU$105,46,FALSE)&gt;0,VLOOKUP(A95,Schlußkurse!A$5:AU$105,46,FALSE)/VLOOKUP(A95,Buchwert_je_Aktie!A$3:AJ$103,17,FALSE),""),"")</f>
        <v>#N/A</v>
      </c>
      <c r="O95" s="70" t="e">
        <f>IF(VLOOKUP(A95,Buchwert_je_Aktie!A$3:AJ$103,18,FALSE)&lt;&gt;"",IF(VLOOKUP(A95,Schlußkurse!A$5:AU$105,47,FALSE)&gt;0,VLOOKUP(A95,Schlußkurse!A$5:AU$105,47,FALSE)/VLOOKUP(A95,Buchwert_je_Aktie!A$3:AJ$103,18,FALSE),""),"")</f>
        <v>#N/A</v>
      </c>
      <c r="P95" s="70" t="e">
        <f t="shared" si="4"/>
        <v>#N/A</v>
      </c>
      <c r="Q95" s="3" t="e">
        <f>VLOOKUP(A95,Schlußkurse!A$5:AU$105,35,FALSE)/VLOOKUP(A95,Buchwert_je_Aktie!A$3:AK$103,23,FALSE)</f>
        <v>#N/A</v>
      </c>
      <c r="R95" s="5" t="e">
        <f t="shared" si="5"/>
        <v>#N/A</v>
      </c>
    </row>
    <row r="96" spans="2:18">
      <c r="B96" s="38"/>
      <c r="C96" s="70" t="e">
        <f>IF(VLOOKUP(A96,Buchwert_je_Aktie!A$3:AJ$103,6,FALSE)&lt;&gt;"",IF(VLOOKUP(A96,Schlußkurse!A$5:AU$105,35,FALSE)&gt;0,VLOOKUP(A96,Schlußkurse!A$5:AU$105,35,FALSE) /VLOOKUP(A96,Buchwert_je_Aktie!A$3:AJ$103,6,FALSE),""),"")</f>
        <v>#N/A</v>
      </c>
      <c r="D96" s="70" t="e">
        <f>IF(VLOOKUP(A96,Buchwert_je_Aktie!A$3:AJ$103,7,FALSE)&lt;&gt;"",IF(VLOOKUP(A96,Schlußkurse!A$5:AU$105,36,FALSE)&gt;0,VLOOKUP(A96,Schlußkurse!A$5:AU$105,36,FALSE)/VLOOKUP(A96,Buchwert_je_Aktie!A$3:AJ$103,7,FALSE),""),"")</f>
        <v>#N/A</v>
      </c>
      <c r="E96" s="70" t="e">
        <f>IF(VLOOKUP(A96,Buchwert_je_Aktie!A$3:AJ$103,8,FALSE)&lt;&gt;"",IF(VLOOKUP(A96,Schlußkurse!A$5:AU$105,37,FALSE)&gt;0,VLOOKUP(A96,Schlußkurse!A$5:AU$105,37,FALSE)/VLOOKUP(A96,Buchwert_je_Aktie!A$3:AJ$103,8,FALSE),""),"")</f>
        <v>#N/A</v>
      </c>
      <c r="F96" s="70" t="e">
        <f>IF(VLOOKUP(A96,Buchwert_je_Aktie!A$3:AJ$103,9,FALSE)&lt;&gt;"",IF(VLOOKUP(A96,Schlußkurse!A$5:AU$105,38,FALSE)&gt;0,VLOOKUP(A96,Schlußkurse!A$5:AU$105,38,FALSE)/VLOOKUP(A96,Buchwert_je_Aktie!A$3:AJ$103,9,FALSE),""),"")</f>
        <v>#N/A</v>
      </c>
      <c r="G96" s="70" t="e">
        <f>IF(VLOOKUP(A96,Buchwert_je_Aktie!A$3:AJ$103,10,FALSE)&lt;&gt;"",IF(VLOOKUP(A96,Schlußkurse!A$5:AU$105,39,FALSE)&gt;0,VLOOKUP(A96,Schlußkurse!A$5:AU$105,39,FALSE)/VLOOKUP(A96,Buchwert_je_Aktie!A$3:AJ$103,10,FALSE),""),"")</f>
        <v>#N/A</v>
      </c>
      <c r="H96" s="70" t="e">
        <f>IF(VLOOKUP(A96,Buchwert_je_Aktie!A$3:AJ$103,11,FALSE)&lt;&gt;"",IF(VLOOKUP(A96,Schlußkurse!A$5:AU$105,40,FALSE)&gt;0,VLOOKUP(A96,Schlußkurse!A$5:AU$105,40,FALSE)/VLOOKUP(A96,Buchwert_je_Aktie!A$3:AJ$103,11,FALSE),""),"")</f>
        <v>#N/A</v>
      </c>
      <c r="I96" s="70" t="e">
        <f>IF(VLOOKUP(A96,Buchwert_je_Aktie!A$3:AJ$103,12,FALSE)&lt;&gt;"",IF(VLOOKUP(A96,Schlußkurse!A$5:AU$105,41,FALSE)&gt;0,VLOOKUP(A96,Schlußkurse!A$5:AU$105,41,FALSE)/VLOOKUP(A96,Buchwert_je_Aktie!A$3:AJ$103,12,FALSE),""),"")</f>
        <v>#N/A</v>
      </c>
      <c r="J96" s="70" t="e">
        <f>IF(VLOOKUP(A96,Buchwert_je_Aktie!A$3:AJ$103,13,FALSE)&lt;&gt;"",IF(VLOOKUP(A96,Schlußkurse!A$5:AU$105,42,FALSE)&gt;0,VLOOKUP(A96,Schlußkurse!A$5:AU$105,42,FALSE)/VLOOKUP(A96,Buchwert_je_Aktie!A$3:AJ$103,13,FALSE),""),"")</f>
        <v>#N/A</v>
      </c>
      <c r="K96" s="70" t="e">
        <f>IF(VLOOKUP(A96,Buchwert_je_Aktie!A$3:AJ$103,14,FALSE)&lt;&gt;"",IF(VLOOKUP(A96,Schlußkurse!A$5:AU$105,43,FALSE)&gt;0,VLOOKUP(A96,Schlußkurse!A$5:AU$105,43,FALSE)/VLOOKUP(A96,Buchwert_je_Aktie!A$3:AJ$103,14,FALSE),""),"")</f>
        <v>#N/A</v>
      </c>
      <c r="L96" s="70" t="e">
        <f>IF(VLOOKUP(A96,Buchwert_je_Aktie!A$3:AJ$103,15,FALSE)&lt;&gt;"",IF(VLOOKUP(A96,Schlußkurse!A$5:AU$105,44,FALSE)&gt;0,VLOOKUP(A96,Schlußkurse!A$5:AU$105,44,FALSE)/VLOOKUP(A96,Buchwert_je_Aktie!A$3:AJ$103,15,FALSE),""),"")</f>
        <v>#N/A</v>
      </c>
      <c r="M96" s="70" t="e">
        <f>IF(VLOOKUP(A96,Buchwert_je_Aktie!A$3:AJ$103,16,FALSE)&lt;&gt;"",IF(VLOOKUP(A96,Schlußkurse!A$5:AU$105,45,FALSE)&gt;0,VLOOKUP(A96,Schlußkurse!A$5:AU$105,45,FALSE)/VLOOKUP(A96,Buchwert_je_Aktie!A$3:AJ$103,16,FALSE),""),"")</f>
        <v>#N/A</v>
      </c>
      <c r="N96" s="70" t="e">
        <f>IF(VLOOKUP(A96,Buchwert_je_Aktie!A$3:AJ$103,17,FALSE)&lt;&gt;"",IF(VLOOKUP(A96,Schlußkurse!A$5:AU$105,46,FALSE)&gt;0,VLOOKUP(A96,Schlußkurse!A$5:AU$105,46,FALSE)/VLOOKUP(A96,Buchwert_je_Aktie!A$3:AJ$103,17,FALSE),""),"")</f>
        <v>#N/A</v>
      </c>
      <c r="O96" s="70" t="e">
        <f>IF(VLOOKUP(A96,Buchwert_je_Aktie!A$3:AJ$103,18,FALSE)&lt;&gt;"",IF(VLOOKUP(A96,Schlußkurse!A$5:AU$105,47,FALSE)&gt;0,VLOOKUP(A96,Schlußkurse!A$5:AU$105,47,FALSE)/VLOOKUP(A96,Buchwert_je_Aktie!A$3:AJ$103,18,FALSE),""),"")</f>
        <v>#N/A</v>
      </c>
      <c r="P96" s="70" t="e">
        <f t="shared" si="4"/>
        <v>#N/A</v>
      </c>
      <c r="Q96" s="3" t="e">
        <f>VLOOKUP(A96,Schlußkurse!A$5:AU$105,35,FALSE)/VLOOKUP(A96,Buchwert_je_Aktie!A$3:AK$103,23,FALSE)</f>
        <v>#N/A</v>
      </c>
      <c r="R96" s="5" t="e">
        <f t="shared" si="5"/>
        <v>#N/A</v>
      </c>
    </row>
    <row r="97" spans="2:18">
      <c r="B97" s="38"/>
      <c r="C97" s="70" t="e">
        <f>IF(VLOOKUP(A97,Buchwert_je_Aktie!A$3:AJ$103,6,FALSE)&lt;&gt;"",IF(VLOOKUP(A97,Schlußkurse!A$5:AU$105,35,FALSE)&gt;0,VLOOKUP(A97,Schlußkurse!A$5:AU$105,35,FALSE) /VLOOKUP(A97,Buchwert_je_Aktie!A$3:AJ$103,6,FALSE),""),"")</f>
        <v>#N/A</v>
      </c>
      <c r="D97" s="70" t="e">
        <f>IF(VLOOKUP(A97,Buchwert_je_Aktie!A$3:AJ$103,7,FALSE)&lt;&gt;"",IF(VLOOKUP(A97,Schlußkurse!A$5:AU$105,36,FALSE)&gt;0,VLOOKUP(A97,Schlußkurse!A$5:AU$105,36,FALSE)/VLOOKUP(A97,Buchwert_je_Aktie!A$3:AJ$103,7,FALSE),""),"")</f>
        <v>#N/A</v>
      </c>
      <c r="E97" s="70" t="e">
        <f>IF(VLOOKUP(A97,Buchwert_je_Aktie!A$3:AJ$103,8,FALSE)&lt;&gt;"",IF(VLOOKUP(A97,Schlußkurse!A$5:AU$105,37,FALSE)&gt;0,VLOOKUP(A97,Schlußkurse!A$5:AU$105,37,FALSE)/VLOOKUP(A97,Buchwert_je_Aktie!A$3:AJ$103,8,FALSE),""),"")</f>
        <v>#N/A</v>
      </c>
      <c r="F97" s="70" t="e">
        <f>IF(VLOOKUP(A97,Buchwert_je_Aktie!A$3:AJ$103,9,FALSE)&lt;&gt;"",IF(VLOOKUP(A97,Schlußkurse!A$5:AU$105,38,FALSE)&gt;0,VLOOKUP(A97,Schlußkurse!A$5:AU$105,38,FALSE)/VLOOKUP(A97,Buchwert_je_Aktie!A$3:AJ$103,9,FALSE),""),"")</f>
        <v>#N/A</v>
      </c>
      <c r="G97" s="70" t="e">
        <f>IF(VLOOKUP(A97,Buchwert_je_Aktie!A$3:AJ$103,10,FALSE)&lt;&gt;"",IF(VLOOKUP(A97,Schlußkurse!A$5:AU$105,39,FALSE)&gt;0,VLOOKUP(A97,Schlußkurse!A$5:AU$105,39,FALSE)/VLOOKUP(A97,Buchwert_je_Aktie!A$3:AJ$103,10,FALSE),""),"")</f>
        <v>#N/A</v>
      </c>
      <c r="H97" s="70" t="e">
        <f>IF(VLOOKUP(A97,Buchwert_je_Aktie!A$3:AJ$103,11,FALSE)&lt;&gt;"",IF(VLOOKUP(A97,Schlußkurse!A$5:AU$105,40,FALSE)&gt;0,VLOOKUP(A97,Schlußkurse!A$5:AU$105,40,FALSE)/VLOOKUP(A97,Buchwert_je_Aktie!A$3:AJ$103,11,FALSE),""),"")</f>
        <v>#N/A</v>
      </c>
      <c r="I97" s="70" t="e">
        <f>IF(VLOOKUP(A97,Buchwert_je_Aktie!A$3:AJ$103,12,FALSE)&lt;&gt;"",IF(VLOOKUP(A97,Schlußkurse!A$5:AU$105,41,FALSE)&gt;0,VLOOKUP(A97,Schlußkurse!A$5:AU$105,41,FALSE)/VLOOKUP(A97,Buchwert_je_Aktie!A$3:AJ$103,12,FALSE),""),"")</f>
        <v>#N/A</v>
      </c>
      <c r="J97" s="70" t="e">
        <f>IF(VLOOKUP(A97,Buchwert_je_Aktie!A$3:AJ$103,13,FALSE)&lt;&gt;"",IF(VLOOKUP(A97,Schlußkurse!A$5:AU$105,42,FALSE)&gt;0,VLOOKUP(A97,Schlußkurse!A$5:AU$105,42,FALSE)/VLOOKUP(A97,Buchwert_je_Aktie!A$3:AJ$103,13,FALSE),""),"")</f>
        <v>#N/A</v>
      </c>
      <c r="K97" s="70" t="e">
        <f>IF(VLOOKUP(A97,Buchwert_je_Aktie!A$3:AJ$103,14,FALSE)&lt;&gt;"",IF(VLOOKUP(A97,Schlußkurse!A$5:AU$105,43,FALSE)&gt;0,VLOOKUP(A97,Schlußkurse!A$5:AU$105,43,FALSE)/VLOOKUP(A97,Buchwert_je_Aktie!A$3:AJ$103,14,FALSE),""),"")</f>
        <v>#N/A</v>
      </c>
      <c r="L97" s="70" t="e">
        <f>IF(VLOOKUP(A97,Buchwert_je_Aktie!A$3:AJ$103,15,FALSE)&lt;&gt;"",IF(VLOOKUP(A97,Schlußkurse!A$5:AU$105,44,FALSE)&gt;0,VLOOKUP(A97,Schlußkurse!A$5:AU$105,44,FALSE)/VLOOKUP(A97,Buchwert_je_Aktie!A$3:AJ$103,15,FALSE),""),"")</f>
        <v>#N/A</v>
      </c>
      <c r="M97" s="70" t="e">
        <f>IF(VLOOKUP(A97,Buchwert_je_Aktie!A$3:AJ$103,16,FALSE)&lt;&gt;"",IF(VLOOKUP(A97,Schlußkurse!A$5:AU$105,45,FALSE)&gt;0,VLOOKUP(A97,Schlußkurse!A$5:AU$105,45,FALSE)/VLOOKUP(A97,Buchwert_je_Aktie!A$3:AJ$103,16,FALSE),""),"")</f>
        <v>#N/A</v>
      </c>
      <c r="N97" s="70" t="e">
        <f>IF(VLOOKUP(A97,Buchwert_je_Aktie!A$3:AJ$103,17,FALSE)&lt;&gt;"",IF(VLOOKUP(A97,Schlußkurse!A$5:AU$105,46,FALSE)&gt;0,VLOOKUP(A97,Schlußkurse!A$5:AU$105,46,FALSE)/VLOOKUP(A97,Buchwert_je_Aktie!A$3:AJ$103,17,FALSE),""),"")</f>
        <v>#N/A</v>
      </c>
      <c r="O97" s="70" t="e">
        <f>IF(VLOOKUP(A97,Buchwert_je_Aktie!A$3:AJ$103,18,FALSE)&lt;&gt;"",IF(VLOOKUP(A97,Schlußkurse!A$5:AU$105,47,FALSE)&gt;0,VLOOKUP(A97,Schlußkurse!A$5:AU$105,47,FALSE)/VLOOKUP(A97,Buchwert_je_Aktie!A$3:AJ$103,18,FALSE),""),"")</f>
        <v>#N/A</v>
      </c>
      <c r="P97" s="70" t="e">
        <f t="shared" si="4"/>
        <v>#N/A</v>
      </c>
      <c r="Q97" s="3" t="e">
        <f>VLOOKUP(A97,Schlußkurse!A$5:AU$105,35,FALSE)/VLOOKUP(A97,Buchwert_je_Aktie!A$3:AK$103,23,FALSE)</f>
        <v>#N/A</v>
      </c>
      <c r="R97" s="5" t="e">
        <f t="shared" si="5"/>
        <v>#N/A</v>
      </c>
    </row>
    <row r="98" spans="2:18">
      <c r="B98" s="38"/>
      <c r="C98" s="70" t="e">
        <f>IF(VLOOKUP(A98,Buchwert_je_Aktie!A$3:AJ$103,6,FALSE)&lt;&gt;"",IF(VLOOKUP(A98,Schlußkurse!A$5:AU$105,35,FALSE)&gt;0,VLOOKUP(A98,Schlußkurse!A$5:AU$105,35,FALSE) /VLOOKUP(A98,Buchwert_je_Aktie!A$3:AJ$103,6,FALSE),""),"")</f>
        <v>#N/A</v>
      </c>
      <c r="D98" s="70" t="e">
        <f>IF(VLOOKUP(A98,Buchwert_je_Aktie!A$3:AJ$103,7,FALSE)&lt;&gt;"",IF(VLOOKUP(A98,Schlußkurse!A$5:AU$105,36,FALSE)&gt;0,VLOOKUP(A98,Schlußkurse!A$5:AU$105,36,FALSE)/VLOOKUP(A98,Buchwert_je_Aktie!A$3:AJ$103,7,FALSE),""),"")</f>
        <v>#N/A</v>
      </c>
      <c r="E98" s="70" t="e">
        <f>IF(VLOOKUP(A98,Buchwert_je_Aktie!A$3:AJ$103,8,FALSE)&lt;&gt;"",IF(VLOOKUP(A98,Schlußkurse!A$5:AU$105,37,FALSE)&gt;0,VLOOKUP(A98,Schlußkurse!A$5:AU$105,37,FALSE)/VLOOKUP(A98,Buchwert_je_Aktie!A$3:AJ$103,8,FALSE),""),"")</f>
        <v>#N/A</v>
      </c>
      <c r="F98" s="70" t="e">
        <f>IF(VLOOKUP(A98,Buchwert_je_Aktie!A$3:AJ$103,9,FALSE)&lt;&gt;"",IF(VLOOKUP(A98,Schlußkurse!A$5:AU$105,38,FALSE)&gt;0,VLOOKUP(A98,Schlußkurse!A$5:AU$105,38,FALSE)/VLOOKUP(A98,Buchwert_je_Aktie!A$3:AJ$103,9,FALSE),""),"")</f>
        <v>#N/A</v>
      </c>
      <c r="G98" s="70" t="e">
        <f>IF(VLOOKUP(A98,Buchwert_je_Aktie!A$3:AJ$103,10,FALSE)&lt;&gt;"",IF(VLOOKUP(A98,Schlußkurse!A$5:AU$105,39,FALSE)&gt;0,VLOOKUP(A98,Schlußkurse!A$5:AU$105,39,FALSE)/VLOOKUP(A98,Buchwert_je_Aktie!A$3:AJ$103,10,FALSE),""),"")</f>
        <v>#N/A</v>
      </c>
      <c r="H98" s="70" t="e">
        <f>IF(VLOOKUP(A98,Buchwert_je_Aktie!A$3:AJ$103,11,FALSE)&lt;&gt;"",IF(VLOOKUP(A98,Schlußkurse!A$5:AU$105,40,FALSE)&gt;0,VLOOKUP(A98,Schlußkurse!A$5:AU$105,40,FALSE)/VLOOKUP(A98,Buchwert_je_Aktie!A$3:AJ$103,11,FALSE),""),"")</f>
        <v>#N/A</v>
      </c>
      <c r="I98" s="70" t="e">
        <f>IF(VLOOKUP(A98,Buchwert_je_Aktie!A$3:AJ$103,12,FALSE)&lt;&gt;"",IF(VLOOKUP(A98,Schlußkurse!A$5:AU$105,41,FALSE)&gt;0,VLOOKUP(A98,Schlußkurse!A$5:AU$105,41,FALSE)/VLOOKUP(A98,Buchwert_je_Aktie!A$3:AJ$103,12,FALSE),""),"")</f>
        <v>#N/A</v>
      </c>
      <c r="J98" s="70" t="e">
        <f>IF(VLOOKUP(A98,Buchwert_je_Aktie!A$3:AJ$103,13,FALSE)&lt;&gt;"",IF(VLOOKUP(A98,Schlußkurse!A$5:AU$105,42,FALSE)&gt;0,VLOOKUP(A98,Schlußkurse!A$5:AU$105,42,FALSE)/VLOOKUP(A98,Buchwert_je_Aktie!A$3:AJ$103,13,FALSE),""),"")</f>
        <v>#N/A</v>
      </c>
      <c r="K98" s="70" t="e">
        <f>IF(VLOOKUP(A98,Buchwert_je_Aktie!A$3:AJ$103,14,FALSE)&lt;&gt;"",IF(VLOOKUP(A98,Schlußkurse!A$5:AU$105,43,FALSE)&gt;0,VLOOKUP(A98,Schlußkurse!A$5:AU$105,43,FALSE)/VLOOKUP(A98,Buchwert_je_Aktie!A$3:AJ$103,14,FALSE),""),"")</f>
        <v>#N/A</v>
      </c>
      <c r="L98" s="70" t="e">
        <f>IF(VLOOKUP(A98,Buchwert_je_Aktie!A$3:AJ$103,15,FALSE)&lt;&gt;"",IF(VLOOKUP(A98,Schlußkurse!A$5:AU$105,44,FALSE)&gt;0,VLOOKUP(A98,Schlußkurse!A$5:AU$105,44,FALSE)/VLOOKUP(A98,Buchwert_je_Aktie!A$3:AJ$103,15,FALSE),""),"")</f>
        <v>#N/A</v>
      </c>
      <c r="M98" s="70" t="e">
        <f>IF(VLOOKUP(A98,Buchwert_je_Aktie!A$3:AJ$103,16,FALSE)&lt;&gt;"",IF(VLOOKUP(A98,Schlußkurse!A$5:AU$105,45,FALSE)&gt;0,VLOOKUP(A98,Schlußkurse!A$5:AU$105,45,FALSE)/VLOOKUP(A98,Buchwert_je_Aktie!A$3:AJ$103,16,FALSE),""),"")</f>
        <v>#N/A</v>
      </c>
      <c r="N98" s="70" t="e">
        <f>IF(VLOOKUP(A98,Buchwert_je_Aktie!A$3:AJ$103,17,FALSE)&lt;&gt;"",IF(VLOOKUP(A98,Schlußkurse!A$5:AU$105,46,FALSE)&gt;0,VLOOKUP(A98,Schlußkurse!A$5:AU$105,46,FALSE)/VLOOKUP(A98,Buchwert_je_Aktie!A$3:AJ$103,17,FALSE),""),"")</f>
        <v>#N/A</v>
      </c>
      <c r="O98" s="70" t="e">
        <f>IF(VLOOKUP(A98,Buchwert_je_Aktie!A$3:AJ$103,18,FALSE)&lt;&gt;"",IF(VLOOKUP(A98,Schlußkurse!A$5:AU$105,47,FALSE)&gt;0,VLOOKUP(A98,Schlußkurse!A$5:AU$105,47,FALSE)/VLOOKUP(A98,Buchwert_je_Aktie!A$3:AJ$103,18,FALSE),""),"")</f>
        <v>#N/A</v>
      </c>
      <c r="P98" s="70" t="e">
        <f t="shared" si="4"/>
        <v>#N/A</v>
      </c>
      <c r="Q98" s="3" t="e">
        <f>VLOOKUP(A98,Schlußkurse!A$5:AU$105,35,FALSE)/VLOOKUP(A98,Buchwert_je_Aktie!A$3:AK$103,23,FALSE)</f>
        <v>#N/A</v>
      </c>
      <c r="R98" s="5" t="e">
        <f t="shared" si="5"/>
        <v>#N/A</v>
      </c>
    </row>
    <row r="99" spans="2:18">
      <c r="B99" s="38"/>
      <c r="C99" s="70" t="e">
        <f>IF(VLOOKUP(A99,Buchwert_je_Aktie!A$3:AJ$103,6,FALSE)&lt;&gt;"",IF(VLOOKUP(A99,Schlußkurse!A$5:AU$105,35,FALSE)&gt;0,VLOOKUP(A99,Schlußkurse!A$5:AU$105,35,FALSE) /VLOOKUP(A99,Buchwert_je_Aktie!A$3:AJ$103,6,FALSE),""),"")</f>
        <v>#N/A</v>
      </c>
      <c r="D99" s="70" t="e">
        <f>IF(VLOOKUP(A99,Buchwert_je_Aktie!A$3:AJ$103,7,FALSE)&lt;&gt;"",IF(VLOOKUP(A99,Schlußkurse!A$5:AU$105,36,FALSE)&gt;0,VLOOKUP(A99,Schlußkurse!A$5:AU$105,36,FALSE)/VLOOKUP(A99,Buchwert_je_Aktie!A$3:AJ$103,7,FALSE),""),"")</f>
        <v>#N/A</v>
      </c>
      <c r="E99" s="70" t="e">
        <f>IF(VLOOKUP(A99,Buchwert_je_Aktie!A$3:AJ$103,8,FALSE)&lt;&gt;"",IF(VLOOKUP(A99,Schlußkurse!A$5:AU$105,37,FALSE)&gt;0,VLOOKUP(A99,Schlußkurse!A$5:AU$105,37,FALSE)/VLOOKUP(A99,Buchwert_je_Aktie!A$3:AJ$103,8,FALSE),""),"")</f>
        <v>#N/A</v>
      </c>
      <c r="F99" s="70" t="e">
        <f>IF(VLOOKUP(A99,Buchwert_je_Aktie!A$3:AJ$103,9,FALSE)&lt;&gt;"",IF(VLOOKUP(A99,Schlußkurse!A$5:AU$105,38,FALSE)&gt;0,VLOOKUP(A99,Schlußkurse!A$5:AU$105,38,FALSE)/VLOOKUP(A99,Buchwert_je_Aktie!A$3:AJ$103,9,FALSE),""),"")</f>
        <v>#N/A</v>
      </c>
      <c r="G99" s="70" t="e">
        <f>IF(VLOOKUP(A99,Buchwert_je_Aktie!A$3:AJ$103,10,FALSE)&lt;&gt;"",IF(VLOOKUP(A99,Schlußkurse!A$5:AU$105,39,FALSE)&gt;0,VLOOKUP(A99,Schlußkurse!A$5:AU$105,39,FALSE)/VLOOKUP(A99,Buchwert_je_Aktie!A$3:AJ$103,10,FALSE),""),"")</f>
        <v>#N/A</v>
      </c>
      <c r="H99" s="70" t="e">
        <f>IF(VLOOKUP(A99,Buchwert_je_Aktie!A$3:AJ$103,11,FALSE)&lt;&gt;"",IF(VLOOKUP(A99,Schlußkurse!A$5:AU$105,40,FALSE)&gt;0,VLOOKUP(A99,Schlußkurse!A$5:AU$105,40,FALSE)/VLOOKUP(A99,Buchwert_je_Aktie!A$3:AJ$103,11,FALSE),""),"")</f>
        <v>#N/A</v>
      </c>
      <c r="I99" s="70" t="e">
        <f>IF(VLOOKUP(A99,Buchwert_je_Aktie!A$3:AJ$103,12,FALSE)&lt;&gt;"",IF(VLOOKUP(A99,Schlußkurse!A$5:AU$105,41,FALSE)&gt;0,VLOOKUP(A99,Schlußkurse!A$5:AU$105,41,FALSE)/VLOOKUP(A99,Buchwert_je_Aktie!A$3:AJ$103,12,FALSE),""),"")</f>
        <v>#N/A</v>
      </c>
      <c r="J99" s="70" t="e">
        <f>IF(VLOOKUP(A99,Buchwert_je_Aktie!A$3:AJ$103,13,FALSE)&lt;&gt;"",IF(VLOOKUP(A99,Schlußkurse!A$5:AU$105,42,FALSE)&gt;0,VLOOKUP(A99,Schlußkurse!A$5:AU$105,42,FALSE)/VLOOKUP(A99,Buchwert_je_Aktie!A$3:AJ$103,13,FALSE),""),"")</f>
        <v>#N/A</v>
      </c>
      <c r="K99" s="70" t="e">
        <f>IF(VLOOKUP(A99,Buchwert_je_Aktie!A$3:AJ$103,14,FALSE)&lt;&gt;"",IF(VLOOKUP(A99,Schlußkurse!A$5:AU$105,43,FALSE)&gt;0,VLOOKUP(A99,Schlußkurse!A$5:AU$105,43,FALSE)/VLOOKUP(A99,Buchwert_je_Aktie!A$3:AJ$103,14,FALSE),""),"")</f>
        <v>#N/A</v>
      </c>
      <c r="L99" s="70" t="e">
        <f>IF(VLOOKUP(A99,Buchwert_je_Aktie!A$3:AJ$103,15,FALSE)&lt;&gt;"",IF(VLOOKUP(A99,Schlußkurse!A$5:AU$105,44,FALSE)&gt;0,VLOOKUP(A99,Schlußkurse!A$5:AU$105,44,FALSE)/VLOOKUP(A99,Buchwert_je_Aktie!A$3:AJ$103,15,FALSE),""),"")</f>
        <v>#N/A</v>
      </c>
      <c r="M99" s="70" t="e">
        <f>IF(VLOOKUP(A99,Buchwert_je_Aktie!A$3:AJ$103,16,FALSE)&lt;&gt;"",IF(VLOOKUP(A99,Schlußkurse!A$5:AU$105,45,FALSE)&gt;0,VLOOKUP(A99,Schlußkurse!A$5:AU$105,45,FALSE)/VLOOKUP(A99,Buchwert_je_Aktie!A$3:AJ$103,16,FALSE),""),"")</f>
        <v>#N/A</v>
      </c>
      <c r="N99" s="70" t="e">
        <f>IF(VLOOKUP(A99,Buchwert_je_Aktie!A$3:AJ$103,17,FALSE)&lt;&gt;"",IF(VLOOKUP(A99,Schlußkurse!A$5:AU$105,46,FALSE)&gt;0,VLOOKUP(A99,Schlußkurse!A$5:AU$105,46,FALSE)/VLOOKUP(A99,Buchwert_je_Aktie!A$3:AJ$103,17,FALSE),""),"")</f>
        <v>#N/A</v>
      </c>
      <c r="O99" s="70" t="e">
        <f>IF(VLOOKUP(A99,Buchwert_je_Aktie!A$3:AJ$103,18,FALSE)&lt;&gt;"",IF(VLOOKUP(A99,Schlußkurse!A$5:AU$105,47,FALSE)&gt;0,VLOOKUP(A99,Schlußkurse!A$5:AU$105,47,FALSE)/VLOOKUP(A99,Buchwert_je_Aktie!A$3:AJ$103,18,FALSE),""),"")</f>
        <v>#N/A</v>
      </c>
      <c r="P99" s="70" t="e">
        <f t="shared" si="4"/>
        <v>#N/A</v>
      </c>
      <c r="Q99" s="3" t="e">
        <f>VLOOKUP(A99,Schlußkurse!A$5:AU$105,35,FALSE)/VLOOKUP(A99,Buchwert_je_Aktie!A$3:AK$103,23,FALSE)</f>
        <v>#N/A</v>
      </c>
      <c r="R99" s="5" t="e">
        <f t="shared" si="5"/>
        <v>#N/A</v>
      </c>
    </row>
    <row r="100" spans="2:18">
      <c r="B100" s="38"/>
      <c r="C100" s="70" t="e">
        <f>IF(VLOOKUP(A100,Buchwert_je_Aktie!A$3:AJ$103,6,FALSE)&lt;&gt;"",IF(VLOOKUP(A100,Schlußkurse!A$5:AU$105,35,FALSE)&gt;0,VLOOKUP(A100,Schlußkurse!A$5:AU$105,35,FALSE) /VLOOKUP(A100,Buchwert_je_Aktie!A$3:AJ$103,6,FALSE),""),"")</f>
        <v>#N/A</v>
      </c>
      <c r="D100" s="70" t="e">
        <f>IF(VLOOKUP(A100,Buchwert_je_Aktie!A$3:AJ$103,7,FALSE)&lt;&gt;"",IF(VLOOKUP(A100,Schlußkurse!A$5:AU$105,36,FALSE)&gt;0,VLOOKUP(A100,Schlußkurse!A$5:AU$105,36,FALSE)/VLOOKUP(A100,Buchwert_je_Aktie!A$3:AJ$103,7,FALSE),""),"")</f>
        <v>#N/A</v>
      </c>
      <c r="E100" s="70" t="e">
        <f>IF(VLOOKUP(A100,Buchwert_je_Aktie!A$3:AJ$103,8,FALSE)&lt;&gt;"",IF(VLOOKUP(A100,Schlußkurse!A$5:AU$105,37,FALSE)&gt;0,VLOOKUP(A100,Schlußkurse!A$5:AU$105,37,FALSE)/VLOOKUP(A100,Buchwert_je_Aktie!A$3:AJ$103,8,FALSE),""),"")</f>
        <v>#N/A</v>
      </c>
      <c r="F100" s="70" t="e">
        <f>IF(VLOOKUP(A100,Buchwert_je_Aktie!A$3:AJ$103,9,FALSE)&lt;&gt;"",IF(VLOOKUP(A100,Schlußkurse!A$5:AU$105,38,FALSE)&gt;0,VLOOKUP(A100,Schlußkurse!A$5:AU$105,38,FALSE)/VLOOKUP(A100,Buchwert_je_Aktie!A$3:AJ$103,9,FALSE),""),"")</f>
        <v>#N/A</v>
      </c>
      <c r="G100" s="70" t="e">
        <f>IF(VLOOKUP(A100,Buchwert_je_Aktie!A$3:AJ$103,10,FALSE)&lt;&gt;"",IF(VLOOKUP(A100,Schlußkurse!A$5:AU$105,39,FALSE)&gt;0,VLOOKUP(A100,Schlußkurse!A$5:AU$105,39,FALSE)/VLOOKUP(A100,Buchwert_je_Aktie!A$3:AJ$103,10,FALSE),""),"")</f>
        <v>#N/A</v>
      </c>
      <c r="H100" s="70" t="e">
        <f>IF(VLOOKUP(A100,Buchwert_je_Aktie!A$3:AJ$103,11,FALSE)&lt;&gt;"",IF(VLOOKUP(A100,Schlußkurse!A$5:AU$105,40,FALSE)&gt;0,VLOOKUP(A100,Schlußkurse!A$5:AU$105,40,FALSE)/VLOOKUP(A100,Buchwert_je_Aktie!A$3:AJ$103,11,FALSE),""),"")</f>
        <v>#N/A</v>
      </c>
      <c r="I100" s="70" t="e">
        <f>IF(VLOOKUP(A100,Buchwert_je_Aktie!A$3:AJ$103,12,FALSE)&lt;&gt;"",IF(VLOOKUP(A100,Schlußkurse!A$5:AU$105,41,FALSE)&gt;0,VLOOKUP(A100,Schlußkurse!A$5:AU$105,41,FALSE)/VLOOKUP(A100,Buchwert_je_Aktie!A$3:AJ$103,12,FALSE),""),"")</f>
        <v>#N/A</v>
      </c>
      <c r="J100" s="70" t="e">
        <f>IF(VLOOKUP(A100,Buchwert_je_Aktie!A$3:AJ$103,13,FALSE)&lt;&gt;"",IF(VLOOKUP(A100,Schlußkurse!A$5:AU$105,42,FALSE)&gt;0,VLOOKUP(A100,Schlußkurse!A$5:AU$105,42,FALSE)/VLOOKUP(A100,Buchwert_je_Aktie!A$3:AJ$103,13,FALSE),""),"")</f>
        <v>#N/A</v>
      </c>
      <c r="K100" s="70" t="e">
        <f>IF(VLOOKUP(A100,Buchwert_je_Aktie!A$3:AJ$103,14,FALSE)&lt;&gt;"",IF(VLOOKUP(A100,Schlußkurse!A$5:AU$105,43,FALSE)&gt;0,VLOOKUP(A100,Schlußkurse!A$5:AU$105,43,FALSE)/VLOOKUP(A100,Buchwert_je_Aktie!A$3:AJ$103,14,FALSE),""),"")</f>
        <v>#N/A</v>
      </c>
      <c r="L100" s="70" t="e">
        <f>IF(VLOOKUP(A100,Buchwert_je_Aktie!A$3:AJ$103,15,FALSE)&lt;&gt;"",IF(VLOOKUP(A100,Schlußkurse!A$5:AU$105,44,FALSE)&gt;0,VLOOKUP(A100,Schlußkurse!A$5:AU$105,44,FALSE)/VLOOKUP(A100,Buchwert_je_Aktie!A$3:AJ$103,15,FALSE),""),"")</f>
        <v>#N/A</v>
      </c>
      <c r="M100" s="70" t="e">
        <f>IF(VLOOKUP(A100,Buchwert_je_Aktie!A$3:AJ$103,16,FALSE)&lt;&gt;"",IF(VLOOKUP(A100,Schlußkurse!A$5:AU$105,45,FALSE)&gt;0,VLOOKUP(A100,Schlußkurse!A$5:AU$105,45,FALSE)/VLOOKUP(A100,Buchwert_je_Aktie!A$3:AJ$103,16,FALSE),""),"")</f>
        <v>#N/A</v>
      </c>
      <c r="N100" s="70" t="e">
        <f>IF(VLOOKUP(A100,Buchwert_je_Aktie!A$3:AJ$103,17,FALSE)&lt;&gt;"",IF(VLOOKUP(A100,Schlußkurse!A$5:AU$105,46,FALSE)&gt;0,VLOOKUP(A100,Schlußkurse!A$5:AU$105,46,FALSE)/VLOOKUP(A100,Buchwert_je_Aktie!A$3:AJ$103,17,FALSE),""),"")</f>
        <v>#N/A</v>
      </c>
      <c r="O100" s="70" t="e">
        <f>IF(VLOOKUP(A100,Buchwert_je_Aktie!A$3:AJ$103,18,FALSE)&lt;&gt;"",IF(VLOOKUP(A100,Schlußkurse!A$5:AU$105,47,FALSE)&gt;0,VLOOKUP(A100,Schlußkurse!A$5:AU$105,47,FALSE)/VLOOKUP(A100,Buchwert_je_Aktie!A$3:AJ$103,18,FALSE),""),"")</f>
        <v>#N/A</v>
      </c>
      <c r="P100" s="70" t="e">
        <f t="shared" ref="P100:P103" si="6">MEDIAN(C100:O100)</f>
        <v>#N/A</v>
      </c>
      <c r="Q100" s="3" t="e">
        <f>VLOOKUP(A100,Schlußkurse!A$5:AU$105,35,FALSE)/VLOOKUP(A100,Buchwert_je_Aktie!A$3:AK$103,23,FALSE)</f>
        <v>#N/A</v>
      </c>
      <c r="R100" s="5" t="e">
        <f t="shared" ref="R100:R103" si="7">IF(Q100&lt;0,IF(P100&lt;0,((Q100/P100)-1)*-1,(Q100/P100)-1),IF(P100&lt;0,ABS((Q100/P100)-1),(Q100/P100)-1))</f>
        <v>#N/A</v>
      </c>
    </row>
    <row r="101" spans="2:18">
      <c r="B101" s="38"/>
      <c r="C101" s="70" t="e">
        <f>IF(VLOOKUP(A101,Buchwert_je_Aktie!A$3:AJ$103,6,FALSE)&lt;&gt;"",IF(VLOOKUP(A101,Schlußkurse!A$5:AU$105,35,FALSE)&gt;0,VLOOKUP(A101,Schlußkurse!A$5:AU$105,35,FALSE) /VLOOKUP(A101,Buchwert_je_Aktie!A$3:AJ$103,6,FALSE),""),"")</f>
        <v>#N/A</v>
      </c>
      <c r="D101" s="70" t="e">
        <f>IF(VLOOKUP(A101,Buchwert_je_Aktie!A$3:AJ$103,7,FALSE)&lt;&gt;"",IF(VLOOKUP(A101,Schlußkurse!A$5:AU$105,36,FALSE)&gt;0,VLOOKUP(A101,Schlußkurse!A$5:AU$105,36,FALSE)/VLOOKUP(A101,Buchwert_je_Aktie!A$3:AJ$103,7,FALSE),""),"")</f>
        <v>#N/A</v>
      </c>
      <c r="E101" s="70" t="e">
        <f>IF(VLOOKUP(A101,Buchwert_je_Aktie!A$3:AJ$103,8,FALSE)&lt;&gt;"",IF(VLOOKUP(A101,Schlußkurse!A$5:AU$105,37,FALSE)&gt;0,VLOOKUP(A101,Schlußkurse!A$5:AU$105,37,FALSE)/VLOOKUP(A101,Buchwert_je_Aktie!A$3:AJ$103,8,FALSE),""),"")</f>
        <v>#N/A</v>
      </c>
      <c r="F101" s="70" t="e">
        <f>IF(VLOOKUP(A101,Buchwert_je_Aktie!A$3:AJ$103,9,FALSE)&lt;&gt;"",IF(VLOOKUP(A101,Schlußkurse!A$5:AU$105,38,FALSE)&gt;0,VLOOKUP(A101,Schlußkurse!A$5:AU$105,38,FALSE)/VLOOKUP(A101,Buchwert_je_Aktie!A$3:AJ$103,9,FALSE),""),"")</f>
        <v>#N/A</v>
      </c>
      <c r="G101" s="70" t="e">
        <f>IF(VLOOKUP(A101,Buchwert_je_Aktie!A$3:AJ$103,10,FALSE)&lt;&gt;"",IF(VLOOKUP(A101,Schlußkurse!A$5:AU$105,39,FALSE)&gt;0,VLOOKUP(A101,Schlußkurse!A$5:AU$105,39,FALSE)/VLOOKUP(A101,Buchwert_je_Aktie!A$3:AJ$103,10,FALSE),""),"")</f>
        <v>#N/A</v>
      </c>
      <c r="H101" s="70" t="e">
        <f>IF(VLOOKUP(A101,Buchwert_je_Aktie!A$3:AJ$103,11,FALSE)&lt;&gt;"",IF(VLOOKUP(A101,Schlußkurse!A$5:AU$105,40,FALSE)&gt;0,VLOOKUP(A101,Schlußkurse!A$5:AU$105,40,FALSE)/VLOOKUP(A101,Buchwert_je_Aktie!A$3:AJ$103,11,FALSE),""),"")</f>
        <v>#N/A</v>
      </c>
      <c r="I101" s="70" t="e">
        <f>IF(VLOOKUP(A101,Buchwert_je_Aktie!A$3:AJ$103,12,FALSE)&lt;&gt;"",IF(VLOOKUP(A101,Schlußkurse!A$5:AU$105,41,FALSE)&gt;0,VLOOKUP(A101,Schlußkurse!A$5:AU$105,41,FALSE)/VLOOKUP(A101,Buchwert_je_Aktie!A$3:AJ$103,12,FALSE),""),"")</f>
        <v>#N/A</v>
      </c>
      <c r="J101" s="70" t="e">
        <f>IF(VLOOKUP(A101,Buchwert_je_Aktie!A$3:AJ$103,13,FALSE)&lt;&gt;"",IF(VLOOKUP(A101,Schlußkurse!A$5:AU$105,42,FALSE)&gt;0,VLOOKUP(A101,Schlußkurse!A$5:AU$105,42,FALSE)/VLOOKUP(A101,Buchwert_je_Aktie!A$3:AJ$103,13,FALSE),""),"")</f>
        <v>#N/A</v>
      </c>
      <c r="K101" s="70" t="e">
        <f>IF(VLOOKUP(A101,Buchwert_je_Aktie!A$3:AJ$103,14,FALSE)&lt;&gt;"",IF(VLOOKUP(A101,Schlußkurse!A$5:AU$105,43,FALSE)&gt;0,VLOOKUP(A101,Schlußkurse!A$5:AU$105,43,FALSE)/VLOOKUP(A101,Buchwert_je_Aktie!A$3:AJ$103,14,FALSE),""),"")</f>
        <v>#N/A</v>
      </c>
      <c r="L101" s="70" t="e">
        <f>IF(VLOOKUP(A101,Buchwert_je_Aktie!A$3:AJ$103,15,FALSE)&lt;&gt;"",IF(VLOOKUP(A101,Schlußkurse!A$5:AU$105,44,FALSE)&gt;0,VLOOKUP(A101,Schlußkurse!A$5:AU$105,44,FALSE)/VLOOKUP(A101,Buchwert_je_Aktie!A$3:AJ$103,15,FALSE),""),"")</f>
        <v>#N/A</v>
      </c>
      <c r="M101" s="70" t="e">
        <f>IF(VLOOKUP(A101,Buchwert_je_Aktie!A$3:AJ$103,16,FALSE)&lt;&gt;"",IF(VLOOKUP(A101,Schlußkurse!A$5:AU$105,45,FALSE)&gt;0,VLOOKUP(A101,Schlußkurse!A$5:AU$105,45,FALSE)/VLOOKUP(A101,Buchwert_je_Aktie!A$3:AJ$103,16,FALSE),""),"")</f>
        <v>#N/A</v>
      </c>
      <c r="N101" s="70" t="e">
        <f>IF(VLOOKUP(A101,Buchwert_je_Aktie!A$3:AJ$103,17,FALSE)&lt;&gt;"",IF(VLOOKUP(A101,Schlußkurse!A$5:AU$105,46,FALSE)&gt;0,VLOOKUP(A101,Schlußkurse!A$5:AU$105,46,FALSE)/VLOOKUP(A101,Buchwert_je_Aktie!A$3:AJ$103,17,FALSE),""),"")</f>
        <v>#N/A</v>
      </c>
      <c r="O101" s="70" t="e">
        <f>IF(VLOOKUP(A101,Buchwert_je_Aktie!A$3:AJ$103,18,FALSE)&lt;&gt;"",IF(VLOOKUP(A101,Schlußkurse!A$5:AU$105,47,FALSE)&gt;0,VLOOKUP(A101,Schlußkurse!A$5:AU$105,47,FALSE)/VLOOKUP(A101,Buchwert_je_Aktie!A$3:AJ$103,18,FALSE),""),"")</f>
        <v>#N/A</v>
      </c>
      <c r="P101" s="70" t="e">
        <f t="shared" si="6"/>
        <v>#N/A</v>
      </c>
      <c r="Q101" s="3" t="e">
        <f>VLOOKUP(A101,Schlußkurse!A$5:AU$105,35,FALSE)/VLOOKUP(A101,Buchwert_je_Aktie!A$3:AK$103,23,FALSE)</f>
        <v>#N/A</v>
      </c>
      <c r="R101" s="5" t="e">
        <f t="shared" si="7"/>
        <v>#N/A</v>
      </c>
    </row>
    <row r="102" spans="2:18">
      <c r="B102" s="38"/>
      <c r="C102" s="70" t="e">
        <f>IF(VLOOKUP(A102,Buchwert_je_Aktie!A$3:AJ$103,6,FALSE)&lt;&gt;"",IF(VLOOKUP(A102,Schlußkurse!A$5:AU$105,35,FALSE)&gt;0,VLOOKUP(A102,Schlußkurse!A$5:AU$105,35,FALSE) /VLOOKUP(A102,Buchwert_je_Aktie!A$3:AJ$103,6,FALSE),""),"")</f>
        <v>#N/A</v>
      </c>
      <c r="D102" s="70" t="e">
        <f>IF(VLOOKUP(A102,Buchwert_je_Aktie!A$3:AJ$103,7,FALSE)&lt;&gt;"",IF(VLOOKUP(A102,Schlußkurse!A$5:AU$105,36,FALSE)&gt;0,VLOOKUP(A102,Schlußkurse!A$5:AU$105,36,FALSE)/VLOOKUP(A102,Buchwert_je_Aktie!A$3:AJ$103,7,FALSE),""),"")</f>
        <v>#N/A</v>
      </c>
      <c r="E102" s="70" t="e">
        <f>IF(VLOOKUP(A102,Buchwert_je_Aktie!A$3:AJ$103,8,FALSE)&lt;&gt;"",IF(VLOOKUP(A102,Schlußkurse!A$5:AU$105,37,FALSE)&gt;0,VLOOKUP(A102,Schlußkurse!A$5:AU$105,37,FALSE)/VLOOKUP(A102,Buchwert_je_Aktie!A$3:AJ$103,8,FALSE),""),"")</f>
        <v>#N/A</v>
      </c>
      <c r="F102" s="70" t="e">
        <f>IF(VLOOKUP(A102,Buchwert_je_Aktie!A$3:AJ$103,9,FALSE)&lt;&gt;"",IF(VLOOKUP(A102,Schlußkurse!A$5:AU$105,38,FALSE)&gt;0,VLOOKUP(A102,Schlußkurse!A$5:AU$105,38,FALSE)/VLOOKUP(A102,Buchwert_je_Aktie!A$3:AJ$103,9,FALSE),""),"")</f>
        <v>#N/A</v>
      </c>
      <c r="G102" s="70" t="e">
        <f>IF(VLOOKUP(A102,Buchwert_je_Aktie!A$3:AJ$103,10,FALSE)&lt;&gt;"",IF(VLOOKUP(A102,Schlußkurse!A$5:AU$105,39,FALSE)&gt;0,VLOOKUP(A102,Schlußkurse!A$5:AU$105,39,FALSE)/VLOOKUP(A102,Buchwert_je_Aktie!A$3:AJ$103,10,FALSE),""),"")</f>
        <v>#N/A</v>
      </c>
      <c r="H102" s="70" t="e">
        <f>IF(VLOOKUP(A102,Buchwert_je_Aktie!A$3:AJ$103,11,FALSE)&lt;&gt;"",IF(VLOOKUP(A102,Schlußkurse!A$5:AU$105,40,FALSE)&gt;0,VLOOKUP(A102,Schlußkurse!A$5:AU$105,40,FALSE)/VLOOKUP(A102,Buchwert_je_Aktie!A$3:AJ$103,11,FALSE),""),"")</f>
        <v>#N/A</v>
      </c>
      <c r="I102" s="70" t="e">
        <f>IF(VLOOKUP(A102,Buchwert_je_Aktie!A$3:AJ$103,12,FALSE)&lt;&gt;"",IF(VLOOKUP(A102,Schlußkurse!A$5:AU$105,41,FALSE)&gt;0,VLOOKUP(A102,Schlußkurse!A$5:AU$105,41,FALSE)/VLOOKUP(A102,Buchwert_je_Aktie!A$3:AJ$103,12,FALSE),""),"")</f>
        <v>#N/A</v>
      </c>
      <c r="J102" s="70" t="e">
        <f>IF(VLOOKUP(A102,Buchwert_je_Aktie!A$3:AJ$103,13,FALSE)&lt;&gt;"",IF(VLOOKUP(A102,Schlußkurse!A$5:AU$105,42,FALSE)&gt;0,VLOOKUP(A102,Schlußkurse!A$5:AU$105,42,FALSE)/VLOOKUP(A102,Buchwert_je_Aktie!A$3:AJ$103,13,FALSE),""),"")</f>
        <v>#N/A</v>
      </c>
      <c r="K102" s="70" t="e">
        <f>IF(VLOOKUP(A102,Buchwert_je_Aktie!A$3:AJ$103,14,FALSE)&lt;&gt;"",IF(VLOOKUP(A102,Schlußkurse!A$5:AU$105,43,FALSE)&gt;0,VLOOKUP(A102,Schlußkurse!A$5:AU$105,43,FALSE)/VLOOKUP(A102,Buchwert_je_Aktie!A$3:AJ$103,14,FALSE),""),"")</f>
        <v>#N/A</v>
      </c>
      <c r="L102" s="70" t="e">
        <f>IF(VLOOKUP(A102,Buchwert_je_Aktie!A$3:AJ$103,15,FALSE)&lt;&gt;"",IF(VLOOKUP(A102,Schlußkurse!A$5:AU$105,44,FALSE)&gt;0,VLOOKUP(A102,Schlußkurse!A$5:AU$105,44,FALSE)/VLOOKUP(A102,Buchwert_je_Aktie!A$3:AJ$103,15,FALSE),""),"")</f>
        <v>#N/A</v>
      </c>
      <c r="M102" s="70" t="e">
        <f>IF(VLOOKUP(A102,Buchwert_je_Aktie!A$3:AJ$103,16,FALSE)&lt;&gt;"",IF(VLOOKUP(A102,Schlußkurse!A$5:AU$105,45,FALSE)&gt;0,VLOOKUP(A102,Schlußkurse!A$5:AU$105,45,FALSE)/VLOOKUP(A102,Buchwert_je_Aktie!A$3:AJ$103,16,FALSE),""),"")</f>
        <v>#N/A</v>
      </c>
      <c r="N102" s="70" t="e">
        <f>IF(VLOOKUP(A102,Buchwert_je_Aktie!A$3:AJ$103,17,FALSE)&lt;&gt;"",IF(VLOOKUP(A102,Schlußkurse!A$5:AU$105,46,FALSE)&gt;0,VLOOKUP(A102,Schlußkurse!A$5:AU$105,46,FALSE)/VLOOKUP(A102,Buchwert_je_Aktie!A$3:AJ$103,17,FALSE),""),"")</f>
        <v>#N/A</v>
      </c>
      <c r="O102" s="70" t="e">
        <f>IF(VLOOKUP(A102,Buchwert_je_Aktie!A$3:AJ$103,18,FALSE)&lt;&gt;"",IF(VLOOKUP(A102,Schlußkurse!A$5:AU$105,47,FALSE)&gt;0,VLOOKUP(A102,Schlußkurse!A$5:AU$105,47,FALSE)/VLOOKUP(A102,Buchwert_je_Aktie!A$3:AJ$103,18,FALSE),""),"")</f>
        <v>#N/A</v>
      </c>
      <c r="P102" s="70" t="e">
        <f t="shared" si="6"/>
        <v>#N/A</v>
      </c>
      <c r="Q102" s="3" t="e">
        <f>VLOOKUP(A102,Schlußkurse!A$5:AU$105,35,FALSE)/VLOOKUP(A102,Buchwert_je_Aktie!A$3:AK$103,23,FALSE)</f>
        <v>#N/A</v>
      </c>
      <c r="R102" s="5" t="e">
        <f t="shared" si="7"/>
        <v>#N/A</v>
      </c>
    </row>
    <row r="103" spans="2:18">
      <c r="B103" s="38"/>
      <c r="C103" s="70" t="e">
        <f>IF(VLOOKUP(A103,Buchwert_je_Aktie!A$3:AJ$103,6,FALSE)&lt;&gt;"",IF(VLOOKUP(A103,Schlußkurse!A$5:AU$105,35,FALSE)&gt;0,VLOOKUP(A103,Schlußkurse!A$5:AU$105,35,FALSE) /VLOOKUP(A103,Buchwert_je_Aktie!A$3:AJ$103,6,FALSE),""),"")</f>
        <v>#N/A</v>
      </c>
      <c r="D103" s="70" t="e">
        <f>IF(VLOOKUP(A103,Buchwert_je_Aktie!A$3:AJ$103,7,FALSE)&lt;&gt;"",IF(VLOOKUP(A103,Schlußkurse!A$5:AU$105,36,FALSE)&gt;0,VLOOKUP(A103,Schlußkurse!A$5:AU$105,36,FALSE)/VLOOKUP(A103,Buchwert_je_Aktie!A$3:AJ$103,7,FALSE),""),"")</f>
        <v>#N/A</v>
      </c>
      <c r="E103" s="70" t="e">
        <f>IF(VLOOKUP(A103,Buchwert_je_Aktie!A$3:AJ$103,8,FALSE)&lt;&gt;"",IF(VLOOKUP(A103,Schlußkurse!A$5:AU$105,37,FALSE)&gt;0,VLOOKUP(A103,Schlußkurse!A$5:AU$105,37,FALSE)/VLOOKUP(A103,Buchwert_je_Aktie!A$3:AJ$103,8,FALSE),""),"")</f>
        <v>#N/A</v>
      </c>
      <c r="F103" s="70" t="e">
        <f>IF(VLOOKUP(A103,Buchwert_je_Aktie!A$3:AJ$103,9,FALSE)&lt;&gt;"",IF(VLOOKUP(A103,Schlußkurse!A$5:AU$105,38,FALSE)&gt;0,VLOOKUP(A103,Schlußkurse!A$5:AU$105,38,FALSE)/VLOOKUP(A103,Buchwert_je_Aktie!A$3:AJ$103,9,FALSE),""),"")</f>
        <v>#N/A</v>
      </c>
      <c r="G103" s="70" t="e">
        <f>IF(VLOOKUP(A103,Buchwert_je_Aktie!A$3:AJ$103,10,FALSE)&lt;&gt;"",IF(VLOOKUP(A103,Schlußkurse!A$5:AU$105,39,FALSE)&gt;0,VLOOKUP(A103,Schlußkurse!A$5:AU$105,39,FALSE)/VLOOKUP(A103,Buchwert_je_Aktie!A$3:AJ$103,10,FALSE),""),"")</f>
        <v>#N/A</v>
      </c>
      <c r="H103" s="70" t="e">
        <f>IF(VLOOKUP(A103,Buchwert_je_Aktie!A$3:AJ$103,11,FALSE)&lt;&gt;"",IF(VLOOKUP(A103,Schlußkurse!A$5:AU$105,40,FALSE)&gt;0,VLOOKUP(A103,Schlußkurse!A$5:AU$105,40,FALSE)/VLOOKUP(A103,Buchwert_je_Aktie!A$3:AJ$103,11,FALSE),""),"")</f>
        <v>#N/A</v>
      </c>
      <c r="I103" s="70" t="e">
        <f>IF(VLOOKUP(A103,Buchwert_je_Aktie!A$3:AJ$103,12,FALSE)&lt;&gt;"",IF(VLOOKUP(A103,Schlußkurse!A$5:AU$105,41,FALSE)&gt;0,VLOOKUP(A103,Schlußkurse!A$5:AU$105,41,FALSE)/VLOOKUP(A103,Buchwert_je_Aktie!A$3:AJ$103,12,FALSE),""),"")</f>
        <v>#N/A</v>
      </c>
      <c r="J103" s="70" t="e">
        <f>IF(VLOOKUP(A103,Buchwert_je_Aktie!A$3:AJ$103,13,FALSE)&lt;&gt;"",IF(VLOOKUP(A103,Schlußkurse!A$5:AU$105,42,FALSE)&gt;0,VLOOKUP(A103,Schlußkurse!A$5:AU$105,42,FALSE)/VLOOKUP(A103,Buchwert_je_Aktie!A$3:AJ$103,13,FALSE),""),"")</f>
        <v>#N/A</v>
      </c>
      <c r="K103" s="70" t="e">
        <f>IF(VLOOKUP(A103,Buchwert_je_Aktie!A$3:AJ$103,14,FALSE)&lt;&gt;"",IF(VLOOKUP(A103,Schlußkurse!A$5:AU$105,43,FALSE)&gt;0,VLOOKUP(A103,Schlußkurse!A$5:AU$105,43,FALSE)/VLOOKUP(A103,Buchwert_je_Aktie!A$3:AJ$103,14,FALSE),""),"")</f>
        <v>#N/A</v>
      </c>
      <c r="L103" s="70" t="e">
        <f>IF(VLOOKUP(A103,Buchwert_je_Aktie!A$3:AJ$103,15,FALSE)&lt;&gt;"",IF(VLOOKUP(A103,Schlußkurse!A$5:AU$105,44,FALSE)&gt;0,VLOOKUP(A103,Schlußkurse!A$5:AU$105,44,FALSE)/VLOOKUP(A103,Buchwert_je_Aktie!A$3:AJ$103,15,FALSE),""),"")</f>
        <v>#N/A</v>
      </c>
      <c r="M103" s="70" t="e">
        <f>IF(VLOOKUP(A103,Buchwert_je_Aktie!A$3:AJ$103,16,FALSE)&lt;&gt;"",IF(VLOOKUP(A103,Schlußkurse!A$5:AU$105,45,FALSE)&gt;0,VLOOKUP(A103,Schlußkurse!A$5:AU$105,45,FALSE)/VLOOKUP(A103,Buchwert_je_Aktie!A$3:AJ$103,16,FALSE),""),"")</f>
        <v>#N/A</v>
      </c>
      <c r="N103" s="70" t="e">
        <f>IF(VLOOKUP(A103,Buchwert_je_Aktie!A$3:AJ$103,17,FALSE)&lt;&gt;"",IF(VLOOKUP(A103,Schlußkurse!A$5:AU$105,46,FALSE)&gt;0,VLOOKUP(A103,Schlußkurse!A$5:AU$105,46,FALSE)/VLOOKUP(A103,Buchwert_je_Aktie!A$3:AJ$103,17,FALSE),""),"")</f>
        <v>#N/A</v>
      </c>
      <c r="O103" s="70" t="e">
        <f>IF(VLOOKUP(A103,Buchwert_je_Aktie!A$3:AJ$103,18,FALSE)&lt;&gt;"",IF(VLOOKUP(A103,Schlußkurse!A$5:AU$105,47,FALSE)&gt;0,VLOOKUP(A103,Schlußkurse!A$5:AU$105,47,FALSE)/VLOOKUP(A103,Buchwert_je_Aktie!A$3:AJ$103,18,FALSE),""),"")</f>
        <v>#N/A</v>
      </c>
      <c r="P103" s="70" t="e">
        <f t="shared" si="6"/>
        <v>#N/A</v>
      </c>
      <c r="Q103" s="3" t="e">
        <f>VLOOKUP(A103,Schlußkurse!A$5:AU$105,35,FALSE)/VLOOKUP(A103,Buchwert_je_Aktie!A$3:AK$103,23,FALSE)</f>
        <v>#N/A</v>
      </c>
      <c r="R103" s="5" t="e">
        <f t="shared" si="7"/>
        <v>#N/A</v>
      </c>
    </row>
  </sheetData>
  <autoFilter ref="A3:R3">
    <sortState ref="A4:R103">
      <sortCondition ref="B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Report_Unternehmen</vt:lpstr>
      <vt:lpstr>Bewertung</vt:lpstr>
      <vt:lpstr>Schlußkurse</vt:lpstr>
      <vt:lpstr>Buchwert_je_Aktie</vt:lpstr>
      <vt:lpstr>Ergebnis_je_Aktie_verwässert</vt:lpstr>
      <vt:lpstr>Dividende_je_Aktie</vt:lpstr>
      <vt:lpstr>Aktien_im_Umlauf_splitbereinigt</vt:lpstr>
      <vt:lpstr>KGV</vt:lpstr>
      <vt:lpstr>KBV</vt:lpstr>
      <vt:lpstr>Dividendenrendite</vt:lpstr>
      <vt:lpstr>Fiktive_Dividende</vt:lpstr>
      <vt:lpstr>Ausschüttungsquote</vt:lpstr>
      <vt:lpstr>Bewertung_Stammdaten</vt:lpstr>
      <vt:lpstr>Bereinigung_offen</vt:lpstr>
      <vt:lpstr>Bereinigung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Obbelode</dc:creator>
  <cp:lastModifiedBy>Hensel</cp:lastModifiedBy>
  <dcterms:created xsi:type="dcterms:W3CDTF">2014-07-20T12:36:11Z</dcterms:created>
  <dcterms:modified xsi:type="dcterms:W3CDTF">2016-04-19T10:40:53Z</dcterms:modified>
</cp:coreProperties>
</file>